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5.xml" ContentType="application/vnd.openxmlformats-officedocument.spreadsheetml.comments+xml"/>
  <Override PartName="/xl/drawings/drawing16.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312" codeName="{7AA9133B-0738-3967-A58A-2178011A57A6}"/>
  <workbookPr codeName="ThisWorkbook" defaultThemeVersion="124226"/>
  <mc:AlternateContent xmlns:mc="http://schemas.openxmlformats.org/markup-compatibility/2006">
    <mc:Choice Requires="x15">
      <x15ac:absPath xmlns:x15ac="http://schemas.microsoft.com/office/spreadsheetml/2010/11/ac" url="/Users/rruizesparza/Code/h2a/"/>
    </mc:Choice>
  </mc:AlternateContent>
  <xr:revisionPtr revIDLastSave="0" documentId="8_{05A69049-2944-F549-A35A-C107ABF680D8}" xr6:coauthVersionLast="47" xr6:coauthVersionMax="47" xr10:uidLastSave="{00000000-0000-0000-0000-000000000000}"/>
  <bookViews>
    <workbookView xWindow="0" yWindow="500" windowWidth="46300" windowHeight="25680" tabRatio="858" firstSheet="3" activeTab="10" xr2:uid="{902787EF-0D9A-40C3-9A8F-14928D7A87ED}"/>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s>
  <functionGroups builtInGroupCount="19"/>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acre_cost">Input_Sheet_Template!$E$102</definedName>
    <definedName name="acres">Input_Sheet_Template!$E$103</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Sequestration'!$J$43</definedName>
    <definedName name="CCSEqpCap">'Carbon Sequestration'!$J$27</definedName>
    <definedName name="CEPC_Factor_08to05">'Carbon Sequestration'!$C$91</definedName>
    <definedName name="CEPCIinflator">'Capital Costs'!$C$11</definedName>
    <definedName name="Chemical_price_indexes">'HyARC Physical Property Data'!$K$94:$L$123</definedName>
    <definedName name="cmboSelectFeed">"Drop Down 23"</definedName>
    <definedName name="CO2_aprx_indCap">'Carbon Sequestration'!$J$28</definedName>
    <definedName name="CO2_cap_charge_rate">'Carbon Sequestration'!$C$48</definedName>
    <definedName name="CO2_cap_rec">'Carbon Sequestration'!$C$46</definedName>
    <definedName name="CO2_capptonneCO2">'Carbon Sequestration'!$K$47</definedName>
    <definedName name="CO2_Capture_Efficiency">'Carbon Sequestration'!$C$30</definedName>
    <definedName name="CO2_CashFlow_eUse">'Cash Flow Analysis'!$J$133</definedName>
    <definedName name="CO2_ControlSystem">'Carbon Sequestration'!$C$34</definedName>
    <definedName name="CO2_credit">'Carbon Sequestration'!$C$43</definedName>
    <definedName name="CO2_depr_factor">'Carbon Sequestration'!$C$47</definedName>
    <definedName name="CO2_eCost">'Carbon Sequestration'!$C$25</definedName>
    <definedName name="CO2_eCostpY">'Carbon Sequestration'!$J$34</definedName>
    <definedName name="CO2_energyptonneCO2">'Carbon Sequestration'!$K$45</definedName>
    <definedName name="CO2_eUse_kWhpkg">'Carbon Sequestration'!$C$26</definedName>
    <definedName name="CO2_flowrate">'Carbon Sequestration'!$C$23</definedName>
    <definedName name="CO2_flowrate_GTpY">'Carbon Sequestration'!$C$24</definedName>
    <definedName name="CO2_inUse">'Carbon Sequestration'!$B$2</definedName>
    <definedName name="CO2_Location">Lists!$T$4:$T$5</definedName>
    <definedName name="CO2_Location_factor">'Carbon Sequestration'!#REF!</definedName>
    <definedName name="CO2_MaintFactor">'Carbon Sequestration'!$C$44</definedName>
    <definedName name="CO2_Nwells">'Carbon Sequestration'!#REF!</definedName>
    <definedName name="CO2_OandMcost">Input_Sheet_Template!$E$156</definedName>
    <definedName name="CO2_OandMptonneCO2">'Carbon Sequestration'!$K$46</definedName>
    <definedName name="CO2_Pin_psia">'Carbon Sequestration'!$C$31</definedName>
    <definedName name="CO2_PipeDia">'Carbon Sequestration'!$C$38</definedName>
    <definedName name="CO2_PipeElevation">'Carbon Sequestration'!$C$37</definedName>
    <definedName name="CO2_PipeFactor">'Carbon Sequestration'!$C$45</definedName>
    <definedName name="CO2_PipeLength">'Carbon Sequestration'!$C$36</definedName>
    <definedName name="CO2_Pipeline_Temp">'Carbon Sequestration'!$C$40</definedName>
    <definedName name="CO2_Pipeline_Temp_factor">'Carbon Sequestration'!$C$40</definedName>
    <definedName name="CO2_Pump_Eff">'Carbon Sequestration'!$C$33</definedName>
    <definedName name="CO2_seq">Input_Sheet_Template!$C$89</definedName>
    <definedName name="CO2_SiteCap">'Carbon Sequestration'!#REF!</definedName>
    <definedName name="CO2_SurgeTank">'Carbon Sequestration'!$C$35</definedName>
    <definedName name="CO2_Terrain">Lists!$V$4:$V$10</definedName>
    <definedName name="CO2_Terrain_2">Lists!$V$4:$W$10</definedName>
    <definedName name="CO2_Terrain_factor">'Carbon Sequestration'!$C$40</definedName>
    <definedName name="CO2_TerrainType">'Carbon Sequestration'!#REF!</definedName>
    <definedName name="CO2_Value_Defaults">Lists!$Y$4:$Z$14</definedName>
    <definedName name="CO2_WellDepth">'Carbon Sequestration'!#REF!</definedName>
    <definedName name="co2ecost">'Carbon Sequestration'!#REF!</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Data'!$A$94:$B$123</definedName>
    <definedName name="Delete_As_List">Lists!$A$15:$A$20</definedName>
    <definedName name="depr_cap">Input_Sheet_Template!$E$99</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Sequestration'!$J$41</definedName>
    <definedName name="Det_CO2_seq">'Carbon Sequestration'!$J$26</definedName>
    <definedName name="Det_direct_cap">'Capital Costs'!$F$36</definedName>
    <definedName name="Det_scaled_cap">'Plant Scaling'!$G$27</definedName>
    <definedName name="direct_cap">Input_Sheet_Template!$C$88</definedName>
    <definedName name="DR_Carbon_Sequestration_1">'Carbon Sequestration'!$C$30:$C$48</definedName>
    <definedName name="DR_Carbon_Sequestration_2">'Carbon Sequestration'!$C$36</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Input_Sheet_Template!$F$79:$F$80</definedName>
    <definedName name="Dynamic_Feed_Total">Input_Sheet_Template!$F$73:$F$78</definedName>
    <definedName name="Dynamic_NonE_Byprod_Total">Input_Sheet_Template!$E$139:$E$140</definedName>
    <definedName name="Dynamic_NonE_Feed_Total">Input_Sheet_Template!$E$136:$E$139</definedName>
    <definedName name="Dynamic_Utilities_Total">Input_Sheet_Template!$F$78:$F$79</definedName>
    <definedName name="Energy_Feed_List">Lists!$K$12</definedName>
    <definedName name="Energy_Feed_Years">Lists!$K$14</definedName>
    <definedName name="Engin">Input_Sheet_Template!$E$93</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Input_Sheet_Template!$D$75</definedName>
    <definedName name="feedstockIndustrial_Electricity_Usage">Input_Sheet_Template!$E$75</definedName>
    <definedName name="feedstockIndustrial_Natural_Gas_Price">Input_Sheet_Template!$D$77</definedName>
    <definedName name="feedstockIndustrial_Natural_Gas_Usage">Input_Sheet_Template!$E$77</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Input_Sheet_Template!$E$97</definedName>
    <definedName name="fixed">Input_Sheet_Template!$E$124</definedName>
    <definedName name="FTE_cost">Input_Sheet_Template!$E$112</definedName>
    <definedName name="FTEs">Input_Sheet_Template!$E$111</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Input_Sheet_Template!$E$113</definedName>
    <definedName name="land_cost">Input_Sheet_Template!$E$104</definedName>
    <definedName name="lb_to_kg">'Constants and Conversions'!$C$7</definedName>
    <definedName name="licensing">Input_Sheet_Template!$E$116</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Input_Sheet_Template!$E$120</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Sequestration'!$C$32</definedName>
    <definedName name="n_pumps">'Carbon Sequestration'!$C$32</definedName>
    <definedName name="ncf_to_Nm3">'Constants and Conversions'!$C$8</definedName>
    <definedName name="NG_to_CO2Pipeline">'Carbon Sequestration'!$C$53</definedName>
    <definedName name="nominal_irr">'Cash Flow Analysis'!$B$27</definedName>
    <definedName name="non_dep_cap">Input_Sheet_Template!$E$106</definedName>
    <definedName name="non_dep_infl">'Cash Flow Analysis'!$B$52</definedName>
    <definedName name="NPV">'Cash Flow Analysis'!$E$26</definedName>
    <definedName name="operator_profit">Input_Sheet_Template!$E$154</definedName>
    <definedName name="other_fees">Input_Sheet_Template!$E$122</definedName>
    <definedName name="other_fixed">Input_Sheet_Template!$E$123</definedName>
    <definedName name="Other_indirect">Input_Sheet_Template!$E$96</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Input_Sheet_Template!$E$115</definedName>
    <definedName name="overhead_rate">Input_Sheet_Template!$C$114</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Input_Sheet_Template!$E$98</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Input_Sheet_Template!$B$126:$G$161</definedName>
    <definedName name="_xlnm.Print_Area" localSheetId="6">'Plant Scaling'!$B$2:$K$27</definedName>
    <definedName name="_xlnm.Print_Area" localSheetId="4">'Replacement Costs'!$A$13:$L$57</definedName>
    <definedName name="_xlnm.Print_Area" localSheetId="8">Results!$B$74:$G$121</definedName>
    <definedName name="_xlnm.Print_Titles" localSheetId="6">'Plant Scaling'!$B:$B</definedName>
    <definedName name="Proc_CO2_MTpY">Results!$D$84</definedName>
    <definedName name="Proc_CO2_tax">Input_Sheet_Template!$E$157</definedName>
    <definedName name="Proc_CO2_taxpYear">Input_Sheet_Template!$E$158</definedName>
    <definedName name="ProcEqpCap">'Plant Scaling'!$E$27</definedName>
    <definedName name="Process_cont">Input_Sheet_Template!$E$94</definedName>
    <definedName name="prod_maint">Input_Sheet_Template!$E$121</definedName>
    <definedName name="Project_cont">Input_Sheet_Template!$E$95</definedName>
    <definedName name="Pump_Eff">'Carbon Sequestration'!$C$33</definedName>
    <definedName name="pump_power">'Carbon Sequestration'!$C$68</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Input_Sheet_Template!$E$119</definedName>
    <definedName name="replace_factor">Input_Sheet_Template!$C$152</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Input_Sheet_Template!$E$153</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Input_Sheet_Template!$C$88</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Input_Sheet_Template!$E$92</definedName>
    <definedName name="solidwaste_treat">Input_Sheet_Template!$E$151</definedName>
    <definedName name="solver_adj" localSheetId="10" hidden="1">'Cash Flow Analysis'!#REF!</definedName>
    <definedName name="solver_cvg" localSheetId="10" hidden="1">0.001</definedName>
    <definedName name="solver_drv" localSheetId="10" hidden="1">0</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'Cash Flow Analysis'!#REF!</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val" localSheetId="10" hidden="1">0.15</definedName>
    <definedName name="START_BYPROD">Input_Sheet_Template!$A$80</definedName>
    <definedName name="START_FEED">Input_Sheet_Template!$A$78</definedName>
    <definedName name="START_NONE_BYPROD">Input_Sheet_Template!$A$140</definedName>
    <definedName name="START_NONE_FEED">Input_Sheet_Template!$A$139</definedName>
    <definedName name="START_NONE_TOP">Input_Sheet_Template!$A$136</definedName>
    <definedName name="start_time">Input_Sheet_Template!$C$38</definedName>
    <definedName name="START_TOP">Input_Sheet_Template!$A$73</definedName>
    <definedName name="START_UTILITY">Input_Sheet_Template!$A$79</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Input_Sheet_Template!$E$155</definedName>
    <definedName name="tax_ins_rate">Input_Sheet_Template!$C$117</definedName>
    <definedName name="tax_insurance">Input_Sheet_Template!$E$118</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Data'!$G$94:$H$123</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Data'!$D$94:$E$123</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Input_Sheet_Template!$C$135</definedName>
    <definedName name="TMP_NonE_Feed">Input_Sheet_Template!$C$131</definedName>
    <definedName name="TMP_NonE_StartPrice">Input_Sheet_Template!$C$132</definedName>
    <definedName name="TMP_NonE_StartYrCost">Input_Sheet_Template!$C$134</definedName>
    <definedName name="TMP_NonE_Type">Input_Sheet_Template!$B$131</definedName>
    <definedName name="TMP_NonE_Usage">Input_Sheet_Template!$C$133</definedName>
    <definedName name="TMP_NonE_Usage_txt">Input_Sheet_Template!$B$132</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Input_Sheet_Template!$C$146</definedName>
    <definedName name="total_cap">Input_Sheet_Template!$C$108</definedName>
    <definedName name="Total_Energy_Byproduct_Cost">Input_Sheet_Template!$D$84</definedName>
    <definedName name="Total_Energy_Byproduct_Credit">Input_Sheet_Template!$F$84</definedName>
    <definedName name="Total_Energy_Feed_Cost">Input_Sheet_Template!$F$82</definedName>
    <definedName name="Total_Energy_Utilities_Cost">Input_Sheet_Template!$F$83</definedName>
    <definedName name="total_feedstock">Input_Sheet_Template!$C$144</definedName>
    <definedName name="total_non_energy_byproduct_credit">Input_Sheet_Template!$C$142</definedName>
    <definedName name="Total_Non_Energy_Feed_Cost">Input_Sheet_Template!$C$141</definedName>
    <definedName name="total_other_raw">Input_Sheet_Template!$E$149</definedName>
    <definedName name="total_tax_rate">Input_Sheet_Template!$C$55</definedName>
    <definedName name="total_utilities">Input_Sheet_Template!$C$145</definedName>
    <definedName name="total_var">Input_Sheet_Template!$E$161</definedName>
    <definedName name="upper_capacity_limit">'Plant Scaling'!$C$8</definedName>
    <definedName name="Upstream_CO2_tax">Input_Sheet_Template!$E$159</definedName>
    <definedName name="Upstream_CO2_taxpYear">Input_Sheet_Template!$E$160</definedName>
    <definedName name="Upstream_GHG_total">Results!$G$77</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Input_Sheet_Template!#REF!</definedName>
    <definedName name="VAR_FEED_VALUES">Input_Sheet_Template!$B$65:$D$70</definedName>
    <definedName name="var_misc">Input_Sheet_Template!$E$148</definedName>
    <definedName name="VAR_NonE_FEED_VALUES">Input_Sheet_Template!$B$131:$D$135</definedName>
    <definedName name="waste_treat">Input_Sheet_Template!$E$150</definedName>
    <definedName name="WorkingCap">Input_Sheet_Template!$C$56</definedName>
    <definedName name="Yes_No">Lists!$C$4:$C$5</definedName>
  </definedNames>
  <calcPr calcId="191029" calcMode="manual" iterate="1" iterateDelta="1.0000000000000001E-5"/>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V12" i="113" l="1"/>
  <c r="V20" i="113"/>
  <c r="C149" i="6"/>
  <c r="C96" i="6"/>
  <c r="C103" i="6"/>
  <c r="C122" i="6"/>
  <c r="C121" i="6"/>
  <c r="C120" i="6"/>
  <c r="C150" i="6"/>
  <c r="C8" i="24" l="1"/>
  <c r="C7" i="24"/>
  <c r="V18" i="113" l="1"/>
  <c r="D138" i="6" s="1"/>
  <c r="D68" i="113" l="1"/>
  <c r="E68" i="113"/>
  <c r="F68" i="113"/>
  <c r="G68" i="113"/>
  <c r="H68" i="113"/>
  <c r="I68" i="113"/>
  <c r="J68" i="113"/>
  <c r="K68" i="113"/>
  <c r="L68" i="113"/>
  <c r="M68" i="113"/>
  <c r="N68" i="113"/>
  <c r="O68" i="113"/>
  <c r="P68" i="113"/>
  <c r="Q68" i="113"/>
  <c r="R68" i="113"/>
  <c r="C68" i="113"/>
  <c r="D99" i="113" l="1"/>
  <c r="D98" i="113"/>
  <c r="D96" i="113" l="1"/>
  <c r="D95" i="113"/>
  <c r="D97" i="113"/>
  <c r="D94" i="113"/>
  <c r="D93" i="113"/>
  <c r="D92" i="113"/>
  <c r="D91" i="113"/>
  <c r="D100" i="113" s="1"/>
  <c r="V19" i="113" s="1"/>
  <c r="C14" i="111" l="1"/>
  <c r="P134" i="15" l="1"/>
  <c r="P133" i="15"/>
  <c r="P132" i="15"/>
  <c r="P131" i="15"/>
  <c r="C135" i="15" l="1"/>
  <c r="C134" i="15"/>
  <c r="C132" i="15"/>
  <c r="C131" i="15"/>
  <c r="B135" i="15"/>
  <c r="B134" i="15"/>
  <c r="B132" i="15"/>
  <c r="B131" i="15"/>
  <c r="K119" i="18"/>
  <c r="K120" i="18" s="1"/>
  <c r="K121" i="18" s="1"/>
  <c r="K122" i="18" s="1"/>
  <c r="K123" i="18" s="1"/>
  <c r="D118" i="18"/>
  <c r="D119" i="18" s="1"/>
  <c r="D120" i="18" s="1"/>
  <c r="D121" i="18" s="1"/>
  <c r="D122" i="18" s="1"/>
  <c r="V77" i="113"/>
  <c r="W74" i="113"/>
  <c r="V74" i="113"/>
  <c r="W73" i="113"/>
  <c r="V73" i="113"/>
  <c r="W72" i="113"/>
  <c r="V72" i="113"/>
  <c r="W70" i="113"/>
  <c r="V70" i="113"/>
  <c r="W77" i="113"/>
  <c r="C70" i="113"/>
  <c r="D70" i="113"/>
  <c r="E70" i="113"/>
  <c r="F70" i="113"/>
  <c r="G70" i="113"/>
  <c r="H70" i="113"/>
  <c r="I70" i="113"/>
  <c r="J70" i="113"/>
  <c r="K70" i="113"/>
  <c r="L70" i="113"/>
  <c r="M70" i="113"/>
  <c r="N70" i="113"/>
  <c r="O70" i="113"/>
  <c r="P70" i="113"/>
  <c r="Q70" i="113"/>
  <c r="R70" i="113"/>
  <c r="C71" i="113"/>
  <c r="D71" i="113"/>
  <c r="E71" i="113"/>
  <c r="F71" i="113"/>
  <c r="G71" i="113"/>
  <c r="H71" i="113"/>
  <c r="I71" i="113"/>
  <c r="J71" i="113"/>
  <c r="K71" i="113"/>
  <c r="L71" i="113"/>
  <c r="M71" i="113"/>
  <c r="N71" i="113"/>
  <c r="O71" i="113"/>
  <c r="P71" i="113"/>
  <c r="Q71" i="113"/>
  <c r="R71" i="113"/>
  <c r="C72" i="113"/>
  <c r="D72" i="113"/>
  <c r="E72" i="113"/>
  <c r="F72" i="113"/>
  <c r="G72" i="113"/>
  <c r="H72" i="113"/>
  <c r="I72" i="113"/>
  <c r="J72" i="113"/>
  <c r="K72" i="113"/>
  <c r="L72" i="113"/>
  <c r="M72" i="113"/>
  <c r="N72" i="113"/>
  <c r="O72" i="113"/>
  <c r="P72" i="113"/>
  <c r="Q72" i="113"/>
  <c r="R72" i="113"/>
  <c r="C73" i="113"/>
  <c r="D73" i="113"/>
  <c r="E73" i="113"/>
  <c r="F73" i="113"/>
  <c r="G73" i="113"/>
  <c r="H73" i="113"/>
  <c r="I73" i="113"/>
  <c r="J73" i="113"/>
  <c r="K73" i="113"/>
  <c r="L73" i="113"/>
  <c r="M73" i="113"/>
  <c r="N73" i="113"/>
  <c r="O73" i="113"/>
  <c r="P73" i="113"/>
  <c r="Q73" i="113"/>
  <c r="R73" i="113"/>
  <c r="C74" i="113"/>
  <c r="D74" i="113"/>
  <c r="E74" i="113"/>
  <c r="F74" i="113"/>
  <c r="G74" i="113"/>
  <c r="H74" i="113"/>
  <c r="I74" i="113"/>
  <c r="J74" i="113"/>
  <c r="K74" i="113"/>
  <c r="L74" i="113"/>
  <c r="M74" i="113"/>
  <c r="N74" i="113"/>
  <c r="O74" i="113"/>
  <c r="P74" i="113"/>
  <c r="Q74" i="113"/>
  <c r="R74" i="113"/>
  <c r="C75" i="113"/>
  <c r="D75" i="113"/>
  <c r="E75" i="113"/>
  <c r="F75" i="113"/>
  <c r="G75" i="113"/>
  <c r="H75" i="113"/>
  <c r="I75" i="113"/>
  <c r="J75" i="113"/>
  <c r="K75" i="113"/>
  <c r="L75" i="113"/>
  <c r="M75" i="113"/>
  <c r="N75" i="113"/>
  <c r="O75" i="113"/>
  <c r="P75" i="113"/>
  <c r="Q75" i="113"/>
  <c r="R75" i="113"/>
  <c r="C76" i="113"/>
  <c r="D76" i="113"/>
  <c r="E76" i="113"/>
  <c r="F76" i="113"/>
  <c r="G76" i="113"/>
  <c r="H76" i="113"/>
  <c r="I76" i="113"/>
  <c r="J76" i="113"/>
  <c r="K76" i="113"/>
  <c r="L76" i="113"/>
  <c r="M76" i="113"/>
  <c r="N76" i="113"/>
  <c r="O76" i="113"/>
  <c r="P76" i="113"/>
  <c r="Q76" i="113"/>
  <c r="R76" i="113"/>
  <c r="C77" i="113"/>
  <c r="D77" i="113"/>
  <c r="E77" i="113"/>
  <c r="F77" i="113"/>
  <c r="G77" i="113"/>
  <c r="H77" i="113"/>
  <c r="I77" i="113"/>
  <c r="J77" i="113"/>
  <c r="K77" i="113"/>
  <c r="L77" i="113"/>
  <c r="M77" i="113"/>
  <c r="N77" i="113"/>
  <c r="O77" i="113"/>
  <c r="P77" i="113"/>
  <c r="Q77" i="113"/>
  <c r="R77" i="113"/>
  <c r="C78" i="113"/>
  <c r="D78" i="113"/>
  <c r="E78" i="113"/>
  <c r="F78" i="113"/>
  <c r="G78" i="113"/>
  <c r="H78" i="113"/>
  <c r="V6" i="113" s="1"/>
  <c r="I78" i="113"/>
  <c r="J78" i="113"/>
  <c r="K78" i="113"/>
  <c r="L78" i="113"/>
  <c r="M78" i="113"/>
  <c r="N78" i="113"/>
  <c r="O78" i="113"/>
  <c r="P78" i="113"/>
  <c r="Q78" i="113"/>
  <c r="R78" i="113"/>
  <c r="C79" i="113"/>
  <c r="D79" i="113"/>
  <c r="E79" i="113"/>
  <c r="F79" i="113"/>
  <c r="G79" i="113"/>
  <c r="H79" i="113"/>
  <c r="I79" i="113"/>
  <c r="J79" i="113"/>
  <c r="K79" i="113"/>
  <c r="L79" i="113"/>
  <c r="M79" i="113"/>
  <c r="N79" i="113"/>
  <c r="O79" i="113"/>
  <c r="P79" i="113"/>
  <c r="Q79" i="113"/>
  <c r="R79" i="113"/>
  <c r="C80" i="113"/>
  <c r="D80" i="113"/>
  <c r="E80" i="113"/>
  <c r="F80" i="113"/>
  <c r="G80" i="113"/>
  <c r="H80" i="113"/>
  <c r="I80" i="113"/>
  <c r="J80" i="113"/>
  <c r="K80" i="113"/>
  <c r="L80" i="113"/>
  <c r="M80" i="113"/>
  <c r="N80" i="113"/>
  <c r="O80" i="113"/>
  <c r="P80" i="113"/>
  <c r="Q80" i="113"/>
  <c r="R80" i="113"/>
  <c r="C81" i="113"/>
  <c r="D81" i="113"/>
  <c r="E81" i="113"/>
  <c r="F81" i="113"/>
  <c r="G81" i="113"/>
  <c r="H81" i="113"/>
  <c r="I81" i="113"/>
  <c r="J81" i="113"/>
  <c r="K81" i="113"/>
  <c r="L81" i="113"/>
  <c r="M81" i="113"/>
  <c r="N81" i="113"/>
  <c r="O81" i="113"/>
  <c r="P81" i="113"/>
  <c r="Q81" i="113"/>
  <c r="R81" i="113"/>
  <c r="C82" i="113"/>
  <c r="D82" i="113"/>
  <c r="E82" i="113"/>
  <c r="F82" i="113"/>
  <c r="G82" i="113"/>
  <c r="H82" i="113"/>
  <c r="I82" i="113"/>
  <c r="J82" i="113"/>
  <c r="K82" i="113"/>
  <c r="L82" i="113"/>
  <c r="M82" i="113"/>
  <c r="N82" i="113"/>
  <c r="O82" i="113"/>
  <c r="P82" i="113"/>
  <c r="Q82" i="113"/>
  <c r="R82" i="113"/>
  <c r="D69" i="113"/>
  <c r="E69" i="113"/>
  <c r="F69" i="113"/>
  <c r="G69" i="113"/>
  <c r="H69" i="113"/>
  <c r="I69" i="113"/>
  <c r="J69" i="113"/>
  <c r="K69" i="113"/>
  <c r="L69" i="113"/>
  <c r="M69" i="113"/>
  <c r="N69" i="113"/>
  <c r="O69" i="113"/>
  <c r="P69" i="113"/>
  <c r="Q69" i="113"/>
  <c r="R69" i="113"/>
  <c r="C69" i="113"/>
  <c r="V13" i="113" l="1"/>
  <c r="W7" i="113"/>
  <c r="W8" i="113" s="1"/>
  <c r="W9" i="113" s="1"/>
  <c r="V7" i="113"/>
  <c r="W10" i="113"/>
  <c r="W11" i="113" s="1"/>
  <c r="V10" i="113"/>
  <c r="E75" i="6"/>
  <c r="B133" i="15" s="1"/>
  <c r="V15" i="113"/>
  <c r="V14" i="113"/>
  <c r="V8" i="113"/>
  <c r="V9" i="113" s="1"/>
  <c r="V16" i="113" s="1"/>
  <c r="V11" i="113"/>
  <c r="E77" i="6" l="1"/>
  <c r="C133" i="15" s="1"/>
  <c r="C68" i="6"/>
  <c r="A14" i="13"/>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C141" i="12"/>
  <c r="C140" i="12"/>
  <c r="C139" i="12"/>
  <c r="C138" i="12"/>
  <c r="C137" i="12"/>
  <c r="C136" i="12"/>
  <c r="C135" i="12"/>
  <c r="C134" i="12"/>
  <c r="C133" i="12"/>
  <c r="V23" i="119" l="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V24" i="119" l="1"/>
  <c r="C91" i="33"/>
  <c r="C61" i="33"/>
  <c r="V25" i="119" l="1"/>
  <c r="C105" i="33"/>
  <c r="C104" i="33"/>
  <c r="C103" i="33"/>
  <c r="C93" i="33"/>
  <c r="C69" i="33"/>
  <c r="V26" i="119" l="1"/>
  <c r="D86" i="33"/>
  <c r="D78" i="33"/>
  <c r="D61" i="33"/>
  <c r="V27" i="119" l="1"/>
  <c r="D71" i="33"/>
  <c r="V28" i="119" l="1"/>
  <c r="D58" i="33"/>
  <c r="V29" i="119" l="1"/>
  <c r="D107" i="33"/>
  <c r="D106" i="33"/>
  <c r="D105" i="33"/>
  <c r="D104" i="33"/>
  <c r="D103" i="33"/>
  <c r="D100" i="33"/>
  <c r="D99" i="33"/>
  <c r="D98" i="33"/>
  <c r="D95" i="33"/>
  <c r="D94" i="33"/>
  <c r="D93" i="33"/>
  <c r="B92" i="33"/>
  <c r="D83" i="33"/>
  <c r="D82" i="33"/>
  <c r="V30" i="119" l="1"/>
  <c r="D74" i="33"/>
  <c r="D70" i="33"/>
  <c r="D69" i="33"/>
  <c r="D55" i="33"/>
  <c r="D56" i="33"/>
  <c r="D57" i="33"/>
  <c r="D54" i="33"/>
  <c r="V31" i="119" l="1"/>
  <c r="K41" i="33"/>
  <c r="K43" i="33" s="1"/>
  <c r="K34" i="33"/>
  <c r="J37" i="33"/>
  <c r="K26" i="33"/>
  <c r="B51" i="33"/>
  <c r="V32" i="119" l="1"/>
  <c r="C66" i="33"/>
  <c r="V33" i="119" l="1"/>
  <c r="C67" i="33"/>
  <c r="C41" i="33"/>
  <c r="B18" i="17" l="1"/>
  <c r="C142" i="6"/>
  <c r="C3" i="24"/>
  <c r="C36" i="35"/>
  <c r="C11" i="35"/>
  <c r="F84" i="6"/>
  <c r="C55" i="6" l="1"/>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2" i="6"/>
  <c r="E112" i="6" s="1"/>
  <c r="C12" i="35"/>
  <c r="F13" i="24"/>
  <c r="F14" i="24"/>
  <c r="F15" i="24"/>
  <c r="F16" i="24"/>
  <c r="F17" i="24"/>
  <c r="F18" i="24"/>
  <c r="F19" i="24"/>
  <c r="F20" i="24"/>
  <c r="F21" i="24"/>
  <c r="F22" i="24"/>
  <c r="F23" i="24"/>
  <c r="F24" i="24"/>
  <c r="F25" i="24"/>
  <c r="F26" i="24"/>
  <c r="E91" i="6"/>
  <c r="C91" i="6"/>
  <c r="E147" i="6"/>
  <c r="C147" i="6"/>
  <c r="E110" i="6"/>
  <c r="C110" i="6"/>
  <c r="E101" i="6"/>
  <c r="C101" i="6"/>
  <c r="C9" i="35"/>
  <c r="B15" i="24"/>
  <c r="B16" i="24"/>
  <c r="B17" i="24"/>
  <c r="B18" i="24"/>
  <c r="B19" i="24"/>
  <c r="C131" i="6"/>
  <c r="B132"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3"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s="1"/>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F17" i="34"/>
  <c r="B30" i="15"/>
  <c r="I76" i="18"/>
  <c r="C7" i="5"/>
  <c r="B14" i="24"/>
  <c r="B13" i="24"/>
  <c r="B134" i="6"/>
  <c r="F50" i="34"/>
  <c r="F49" i="34"/>
  <c r="F48" i="34"/>
  <c r="F40" i="34"/>
  <c r="F39" i="34"/>
  <c r="F35" i="34"/>
  <c r="F33" i="34"/>
  <c r="B50" i="34"/>
  <c r="B49" i="34"/>
  <c r="B48" i="34"/>
  <c r="C48" i="34" s="1"/>
  <c r="B47" i="34"/>
  <c r="H47" i="34" s="1"/>
  <c r="C136" i="15"/>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B186" i="15" l="1"/>
  <c r="Q65" i="15"/>
  <c r="B15" i="13"/>
  <c r="F14" i="13"/>
  <c r="AI507" i="11"/>
  <c r="Z677" i="11" s="1"/>
  <c r="AA507" i="11" s="1"/>
  <c r="AB507" i="11" s="1"/>
  <c r="AC507" i="11" s="1"/>
  <c r="AD507" i="11" s="1"/>
  <c r="AE507" i="11" s="1"/>
  <c r="AF507" i="11" s="1"/>
  <c r="AG507" i="11" s="1"/>
  <c r="AH507" i="11" s="1"/>
  <c r="D54" i="119"/>
  <c r="D189" i="119"/>
  <c r="D191" i="119"/>
  <c r="G60" i="119"/>
  <c r="G189" i="119"/>
  <c r="G191" i="119"/>
  <c r="E56" i="119"/>
  <c r="E189" i="119"/>
  <c r="E191" i="119"/>
  <c r="H6" i="119"/>
  <c r="C86" i="119" s="1"/>
  <c r="D86" i="119" s="1"/>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Z550" i="11" s="1"/>
  <c r="AA380" i="11" s="1"/>
  <c r="AB380" i="11" s="1"/>
  <c r="AC380" i="11" s="1"/>
  <c r="AD380" i="11" s="1"/>
  <c r="AE380" i="11" s="1"/>
  <c r="AF380" i="11" s="1"/>
  <c r="AG380" i="11" s="1"/>
  <c r="AH380" i="11" s="1"/>
  <c r="AI277" i="11"/>
  <c r="AX277" i="11" s="1"/>
  <c r="BM277" i="11" s="1"/>
  <c r="BR277" i="11" s="1"/>
  <c r="D16" i="35"/>
  <c r="C13" i="24" s="1"/>
  <c r="G94" i="12"/>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G96" i="12"/>
  <c r="AQ34" i="12"/>
  <c r="G7" i="12"/>
  <c r="H38" i="34"/>
  <c r="B116" i="34"/>
  <c r="G49" i="11"/>
  <c r="G50" i="11" s="1"/>
  <c r="G10" i="12"/>
  <c r="D102" i="6"/>
  <c r="E102"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57" i="6"/>
  <c r="P5" i="19"/>
  <c r="AA94" i="12"/>
  <c r="AP34" i="12"/>
  <c r="AJ98" i="12"/>
  <c r="AR94" i="12"/>
  <c r="AE34" i="12"/>
  <c r="AE98" i="12"/>
  <c r="AT94" i="12"/>
  <c r="BD94" i="12"/>
  <c r="AU94" i="12"/>
  <c r="AI94" i="12"/>
  <c r="AS94" i="12"/>
  <c r="T98" i="12"/>
  <c r="N18" i="12"/>
  <c r="D93"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U95" i="12"/>
  <c r="AJ95" i="12"/>
  <c r="AB95" i="12"/>
  <c r="AA95" i="12"/>
  <c r="F28" i="12"/>
  <c r="F61" i="12"/>
  <c r="F92" i="12"/>
  <c r="F89" i="12"/>
  <c r="F11" i="12"/>
  <c r="F26" i="12"/>
  <c r="F10" i="12"/>
  <c r="F7" i="12"/>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A100" i="12"/>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AX380" i="11"/>
  <c r="F65" i="12"/>
  <c r="F97" i="12"/>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D25" i="35"/>
  <c r="C22" i="24" s="1"/>
  <c r="H22" i="24" s="1"/>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D17" i="35"/>
  <c r="F17" i="35" s="1"/>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F35" i="35" s="1"/>
  <c r="D27" i="35"/>
  <c r="C24" i="24" s="1"/>
  <c r="H24" i="24" s="1"/>
  <c r="D21" i="35"/>
  <c r="D32" i="35"/>
  <c r="F32" i="35" s="1"/>
  <c r="D19" i="35"/>
  <c r="AJ68" i="12"/>
  <c r="D94" i="6"/>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5"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6" i="6"/>
  <c r="E96" i="6" s="1"/>
  <c r="D28" i="35"/>
  <c r="D33" i="35"/>
  <c r="F33" i="35" s="1"/>
  <c r="D18" i="35"/>
  <c r="D92" i="6"/>
  <c r="D24" i="35"/>
  <c r="C21" i="24" s="1"/>
  <c r="H21" i="24" s="1"/>
  <c r="D95" i="6"/>
  <c r="D22" i="35"/>
  <c r="D20" i="35"/>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D23" i="35"/>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6" i="6"/>
  <c r="I17" i="12"/>
  <c r="Z34" i="12"/>
  <c r="AM12" i="12"/>
  <c r="BN12" i="12"/>
  <c r="K17" i="12"/>
  <c r="T66" i="12"/>
  <c r="H12" i="12"/>
  <c r="M12" i="12"/>
  <c r="D97" i="6"/>
  <c r="E97" i="6" s="1"/>
  <c r="D29" i="35"/>
  <c r="AL95" i="12"/>
  <c r="AK95" i="12"/>
  <c r="D26" i="35"/>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U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Q66" i="15" s="1"/>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98" i="6"/>
  <c r="D159"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F58" i="119"/>
  <c r="N101" i="119"/>
  <c r="N107" i="119"/>
  <c r="N103" i="119"/>
  <c r="N105" i="119"/>
  <c r="N104" i="119"/>
  <c r="N106" i="119"/>
  <c r="N102" i="119"/>
  <c r="B68" i="6"/>
  <c r="B67" i="6"/>
  <c r="B66" i="6"/>
  <c r="C25" i="33"/>
  <c r="C281" i="15"/>
  <c r="AL28" i="12" l="1"/>
  <c r="AJ32" i="12"/>
  <c r="AY276" i="11"/>
  <c r="AZ276" i="11" s="1"/>
  <c r="BA276" i="11" s="1"/>
  <c r="BB276" i="11" s="1"/>
  <c r="BC276" i="11" s="1"/>
  <c r="BD276" i="11" s="1"/>
  <c r="BE276" i="11" s="1"/>
  <c r="BF276" i="11" s="1"/>
  <c r="BG276" i="11" s="1"/>
  <c r="BH276" i="11" s="1"/>
  <c r="BI276" i="11" s="1"/>
  <c r="BJ276" i="11" s="1"/>
  <c r="BK276" i="11" s="1"/>
  <c r="BL276" i="11" s="1"/>
  <c r="T9" i="12"/>
  <c r="E32" i="34"/>
  <c r="AE276" i="11"/>
  <c r="AF276" i="11" s="1"/>
  <c r="AG276" i="11" s="1"/>
  <c r="AH276" i="11" s="1"/>
  <c r="R7" i="12"/>
  <c r="AF9" i="12"/>
  <c r="E249" i="119"/>
  <c r="B16" i="13"/>
  <c r="F15" i="13"/>
  <c r="AY480" i="11"/>
  <c r="AZ480" i="11" s="1"/>
  <c r="BA480" i="11" s="1"/>
  <c r="BB480" i="11" s="1"/>
  <c r="BC480" i="11" s="1"/>
  <c r="BD480" i="11" s="1"/>
  <c r="BE480" i="11" s="1"/>
  <c r="BF480" i="11" s="1"/>
  <c r="BG480" i="11" s="1"/>
  <c r="BH480" i="11" s="1"/>
  <c r="BI480" i="11" s="1"/>
  <c r="BJ480" i="11" s="1"/>
  <c r="BK480" i="11" s="1"/>
  <c r="BL480" i="11" s="1"/>
  <c r="Z664" i="11"/>
  <c r="AA494" i="11" s="1"/>
  <c r="AB494" i="11" s="1"/>
  <c r="AC494" i="11" s="1"/>
  <c r="AD494" i="11" s="1"/>
  <c r="AE494" i="11" s="1"/>
  <c r="AF494" i="11" s="1"/>
  <c r="AG494" i="11" s="1"/>
  <c r="AH494" i="11" s="1"/>
  <c r="AG97" i="12"/>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F16" i="35"/>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AI8" i="12" s="1"/>
  <c r="AJ8" i="12" s="1"/>
  <c r="AK8" i="12" s="1"/>
  <c r="AL8" i="12" s="1"/>
  <c r="AM8" i="12" s="1"/>
  <c r="AN8" i="12" s="1"/>
  <c r="AO8" i="12" s="1"/>
  <c r="AP8" i="12" s="1"/>
  <c r="AQ8" i="12" s="1"/>
  <c r="AR8" i="12" s="1"/>
  <c r="AS8" i="12" s="1"/>
  <c r="AT8" i="12" s="1"/>
  <c r="AU8" i="12" s="1"/>
  <c r="AV8" i="12" s="1"/>
  <c r="AW8" i="12" s="1"/>
  <c r="AX8" i="12" s="1"/>
  <c r="AY8" i="12" s="1"/>
  <c r="AZ8" i="12" s="1"/>
  <c r="BA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O14" i="12"/>
  <c r="P14" i="12" s="1"/>
  <c r="Q14" i="12" s="1"/>
  <c r="R14" i="12" s="1"/>
  <c r="S14" i="12" s="1"/>
  <c r="T14" i="12" s="1"/>
  <c r="C132" i="6"/>
  <c r="F25" i="35"/>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F24" i="35"/>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G187" i="15"/>
  <c r="N187" i="15"/>
  <c r="F187" i="15"/>
  <c r="M187" i="15"/>
  <c r="E187" i="15"/>
  <c r="L187" i="15"/>
  <c r="D187" i="15"/>
  <c r="J187" i="15"/>
  <c r="H187" i="15"/>
  <c r="K187" i="15"/>
  <c r="C187" i="15"/>
  <c r="I187" i="15"/>
  <c r="AS67" i="12"/>
  <c r="AT67" i="12" s="1"/>
  <c r="AU67" i="12" s="1"/>
  <c r="AV67" i="12" s="1"/>
  <c r="AW67" i="12" s="1"/>
  <c r="AX67" i="12" s="1"/>
  <c r="AY67" i="12" s="1"/>
  <c r="AZ67" i="12" s="1"/>
  <c r="BA67" i="12" s="1"/>
  <c r="O66" i="15"/>
  <c r="B187" i="15"/>
  <c r="D66" i="15"/>
  <c r="M66" i="15" s="1"/>
  <c r="C34" i="34"/>
  <c r="E63" i="34" s="1"/>
  <c r="I49" i="14"/>
  <c r="C102" i="34"/>
  <c r="D102" i="34"/>
  <c r="AE66" i="15"/>
  <c r="B115" i="34"/>
  <c r="E37" i="34"/>
  <c r="H32" i="34"/>
  <c r="B110" i="34"/>
  <c r="B61" i="34"/>
  <c r="C117" i="34"/>
  <c r="D117" i="34"/>
  <c r="W66" i="15"/>
  <c r="E117" i="34"/>
  <c r="F102" i="34"/>
  <c r="F117" i="34"/>
  <c r="C49" i="14"/>
  <c r="B97" i="14" s="1"/>
  <c r="E68" i="34"/>
  <c r="D68" i="34"/>
  <c r="C98" i="34"/>
  <c r="C35" i="34"/>
  <c r="E64" i="34" s="1"/>
  <c r="D98" i="34"/>
  <c r="E98" i="34"/>
  <c r="V49" i="14"/>
  <c r="L49" i="14"/>
  <c r="L66" i="15"/>
  <c r="B66" i="34"/>
  <c r="K49" i="14"/>
  <c r="W49" i="14"/>
  <c r="H49" i="14"/>
  <c r="C18" i="24"/>
  <c r="H18" i="24" s="1"/>
  <c r="F21" i="35"/>
  <c r="O49" i="14"/>
  <c r="T49" i="14"/>
  <c r="M49" i="14"/>
  <c r="N66" i="15"/>
  <c r="K66" i="15"/>
  <c r="N49" i="14"/>
  <c r="J49" i="14"/>
  <c r="R66" i="15"/>
  <c r="U49" i="14"/>
  <c r="S49" i="14"/>
  <c r="G49" i="14"/>
  <c r="C16" i="24"/>
  <c r="H16" i="24" s="1"/>
  <c r="F19" i="35"/>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15" i="24"/>
  <c r="H15" i="24" s="1"/>
  <c r="F18" i="35"/>
  <c r="F20" i="35"/>
  <c r="C17" i="24"/>
  <c r="H17" i="24" s="1"/>
  <c r="C19" i="24"/>
  <c r="H19" i="24" s="1"/>
  <c r="F22" i="35"/>
  <c r="F26" i="35"/>
  <c r="C23" i="24"/>
  <c r="H23" i="24" s="1"/>
  <c r="C20" i="24"/>
  <c r="H20" i="24" s="1"/>
  <c r="F23" i="35"/>
  <c r="C25" i="24"/>
  <c r="H25" i="24" s="1"/>
  <c r="F28" i="35"/>
  <c r="F29" i="35"/>
  <c r="C26" i="24"/>
  <c r="H26" i="24" s="1"/>
  <c r="C33" i="34"/>
  <c r="C111" i="34" s="1"/>
  <c r="C67" i="15"/>
  <c r="Q67" i="15" s="1"/>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H13" i="24"/>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B50" i="14" s="1"/>
  <c r="AF66" i="15"/>
  <c r="P66" i="15"/>
  <c r="J66" i="15"/>
  <c r="I66" i="15"/>
  <c r="F66" i="15"/>
  <c r="U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D36" i="35"/>
  <c r="E96" i="34"/>
  <c r="C96" i="34"/>
  <c r="D96" i="34"/>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67" i="6"/>
  <c r="C282" i="15"/>
  <c r="C139" i="15"/>
  <c r="D281" i="15"/>
  <c r="BQ8" i="12" l="1"/>
  <c r="BV8" i="12" s="1"/>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AJ358" i="11"/>
  <c r="AK358" i="11" s="1"/>
  <c r="AL358" i="11" s="1"/>
  <c r="AM358" i="11" s="1"/>
  <c r="AN358" i="11" s="1"/>
  <c r="AO358" i="11" s="1"/>
  <c r="AP358" i="11" s="1"/>
  <c r="AQ358" i="11" s="1"/>
  <c r="AR358" i="11" s="1"/>
  <c r="AS358" i="11" s="1"/>
  <c r="AT358" i="11" s="1"/>
  <c r="AU358" i="11" s="1"/>
  <c r="AV358" i="11" s="1"/>
  <c r="AW358" i="11" s="1"/>
  <c r="F16" i="13"/>
  <c r="B17" i="13"/>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s="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B188" i="15"/>
  <c r="K188" i="15"/>
  <c r="C188" i="15"/>
  <c r="J188" i="15"/>
  <c r="I188" i="15"/>
  <c r="H188" i="15"/>
  <c r="N188" i="15"/>
  <c r="F188" i="15"/>
  <c r="L188" i="15"/>
  <c r="D188" i="15"/>
  <c r="G188" i="15"/>
  <c r="M188" i="15"/>
  <c r="E188" i="15"/>
  <c r="C63" i="34"/>
  <c r="E112" i="34"/>
  <c r="C180" i="119"/>
  <c r="C179" i="119"/>
  <c r="C178" i="119"/>
  <c r="C177" i="119"/>
  <c r="C176" i="119"/>
  <c r="D34" i="34"/>
  <c r="C112" i="34"/>
  <c r="D112" i="34"/>
  <c r="D63" i="34"/>
  <c r="C113" i="34"/>
  <c r="D113" i="34"/>
  <c r="E113" i="34"/>
  <c r="C64" i="34"/>
  <c r="F98" i="34"/>
  <c r="X49" i="14"/>
  <c r="D35" i="34"/>
  <c r="D64" i="34"/>
  <c r="F36" i="35"/>
  <c r="F97" i="34"/>
  <c r="E111" i="34"/>
  <c r="D111" i="34"/>
  <c r="D62" i="34"/>
  <c r="E62" i="34"/>
  <c r="C62" i="34"/>
  <c r="D33" i="34"/>
  <c r="H27" i="24"/>
  <c r="C27" i="24"/>
  <c r="F96" i="3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F50" i="14"/>
  <c r="W50" i="14"/>
  <c r="G50" i="14"/>
  <c r="P50" i="14"/>
  <c r="H50" i="14"/>
  <c r="Q50" i="14"/>
  <c r="M50" i="14"/>
  <c r="N50" i="14"/>
  <c r="L50" i="14"/>
  <c r="I50" i="14"/>
  <c r="C50" i="14"/>
  <c r="K50" i="14"/>
  <c r="J50" i="14"/>
  <c r="T50" i="14"/>
  <c r="O50" i="14"/>
  <c r="E50" i="14"/>
  <c r="S50" i="14"/>
  <c r="R50" i="14"/>
  <c r="D50" i="14"/>
  <c r="V50" i="14"/>
  <c r="U50" i="14"/>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P67" i="15"/>
  <c r="AF67" i="15"/>
  <c r="I67" i="15"/>
  <c r="O67" i="15"/>
  <c r="AE67" i="15"/>
  <c r="F67" i="15"/>
  <c r="D67" i="15"/>
  <c r="M67" i="15" s="1"/>
  <c r="N67" i="15"/>
  <c r="W67" i="15"/>
  <c r="K67" i="15"/>
  <c r="A51" i="14"/>
  <c r="B51" i="14" s="1"/>
  <c r="J67" i="15"/>
  <c r="A99" i="14"/>
  <c r="C99" i="14" s="1"/>
  <c r="R67" i="15"/>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E140" i="15"/>
  <c r="D140" i="15"/>
  <c r="C140" i="15"/>
  <c r="D282" i="15"/>
  <c r="BC8" i="12" l="1"/>
  <c r="BD8" i="12" s="1"/>
  <c r="BE8" i="12" s="1"/>
  <c r="BF8" i="12" s="1"/>
  <c r="BG8" i="12" s="1"/>
  <c r="BH8" i="12" s="1"/>
  <c r="BI8" i="12" s="1"/>
  <c r="BJ8" i="12" s="1"/>
  <c r="BK8" i="12" s="1"/>
  <c r="BL8" i="12" s="1"/>
  <c r="BM8" i="12" s="1"/>
  <c r="BN8" i="12" s="1"/>
  <c r="BO8" i="12" s="1"/>
  <c r="BP8" i="12" s="1"/>
  <c r="BR27" i="12"/>
  <c r="BS27" i="12" s="1"/>
  <c r="BT27" i="12" s="1"/>
  <c r="BU27" i="12" s="1"/>
  <c r="F17" i="13"/>
  <c r="B18" i="13"/>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F111" i="34"/>
  <c r="X50" i="14"/>
  <c r="B98" i="14"/>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R51" i="14"/>
  <c r="V51" i="14"/>
  <c r="N51" i="14"/>
  <c r="S51" i="14"/>
  <c r="G51" i="14"/>
  <c r="F51" i="14"/>
  <c r="M51" i="14"/>
  <c r="T51" i="14"/>
  <c r="W51" i="14"/>
  <c r="I51" i="14"/>
  <c r="D51" i="14"/>
  <c r="U51" i="14"/>
  <c r="P51" i="14"/>
  <c r="K51" i="14"/>
  <c r="L51" i="14"/>
  <c r="J51" i="14"/>
  <c r="Q51" i="14"/>
  <c r="E51" i="14"/>
  <c r="O51" i="14"/>
  <c r="H51" i="14"/>
  <c r="C51" i="14"/>
  <c r="B99" i="14" s="1"/>
  <c r="U67" i="15"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E141" i="15"/>
  <c r="C141" i="15"/>
  <c r="F18" i="13" l="1"/>
  <c r="B19" i="13"/>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X51" i="14"/>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C142" i="15"/>
  <c r="F19" i="13" l="1"/>
  <c r="B20" i="13"/>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C143" i="15"/>
  <c r="B21" i="13" l="1"/>
  <c r="F20" i="13"/>
  <c r="E105"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E144" i="15"/>
  <c r="C144" i="15"/>
  <c r="B74" i="15" l="1"/>
  <c r="A23" i="13" s="1"/>
  <c r="A22" i="13"/>
  <c r="B22" i="13" s="1"/>
  <c r="F21" i="13"/>
  <c r="B29" i="17"/>
  <c r="C28" i="17"/>
  <c r="C73" i="15"/>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E145" i="15"/>
  <c r="C145" i="15"/>
  <c r="C74" i="15" l="1"/>
  <c r="H74" i="15" s="1"/>
  <c r="B75" i="15"/>
  <c r="A24" i="13" s="1"/>
  <c r="B23" i="13"/>
  <c r="F22" i="13"/>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C146" i="15"/>
  <c r="A58" i="14" l="1"/>
  <c r="D74" i="15"/>
  <c r="M74" i="15" s="1"/>
  <c r="L74" i="15"/>
  <c r="W74" i="15"/>
  <c r="A106" i="14"/>
  <c r="C106" i="14" s="1"/>
  <c r="AF74" i="15"/>
  <c r="K74" i="15"/>
  <c r="C75" i="15"/>
  <c r="AF75" i="15" s="1"/>
  <c r="B76" i="15"/>
  <c r="F23" i="13"/>
  <c r="B24" i="13"/>
  <c r="C30" i="17"/>
  <c r="B31" i="17"/>
  <c r="A148" i="15"/>
  <c r="A195" i="15" s="1"/>
  <c r="A27" i="17"/>
  <c r="A75" i="15"/>
  <c r="E74" i="15"/>
  <c r="Q147" i="15"/>
  <c r="R147" i="15"/>
  <c r="V147" i="15"/>
  <c r="L147" i="15"/>
  <c r="T147" i="15"/>
  <c r="P147" i="15"/>
  <c r="M147" i="15"/>
  <c r="U147" i="15"/>
  <c r="I147" i="15"/>
  <c r="H147" i="15"/>
  <c r="N147" i="15"/>
  <c r="E147" i="15"/>
  <c r="D147" i="15"/>
  <c r="C147" i="15"/>
  <c r="H75" i="15" l="1"/>
  <c r="A107" i="14"/>
  <c r="C107" i="14" s="1"/>
  <c r="C76" i="15"/>
  <c r="A108" i="14" s="1"/>
  <c r="C108" i="14" s="1"/>
  <c r="L75" i="15"/>
  <c r="K75" i="15"/>
  <c r="A59" i="14"/>
  <c r="W75" i="15"/>
  <c r="A25" i="13"/>
  <c r="B25" i="13" s="1"/>
  <c r="D75" i="15"/>
  <c r="M75" i="15" s="1"/>
  <c r="B77" i="15"/>
  <c r="A26" i="13" s="1"/>
  <c r="F24" i="13"/>
  <c r="C31" i="17"/>
  <c r="B32" i="17"/>
  <c r="P148" i="15"/>
  <c r="U148" i="15"/>
  <c r="L148" i="15"/>
  <c r="Q148" i="15"/>
  <c r="R148" i="15"/>
  <c r="M148" i="15"/>
  <c r="H148" i="15"/>
  <c r="N148" i="15"/>
  <c r="V148" i="15"/>
  <c r="T148" i="15"/>
  <c r="I148" i="15"/>
  <c r="A149" i="15"/>
  <c r="A196" i="15" s="1"/>
  <c r="A28" i="17"/>
  <c r="A76" i="15"/>
  <c r="E75" i="15"/>
  <c r="E148" i="15"/>
  <c r="D148" i="15"/>
  <c r="C148" i="15"/>
  <c r="K76" i="15" l="1"/>
  <c r="W76" i="15"/>
  <c r="AF76" i="15"/>
  <c r="H76" i="15"/>
  <c r="L76" i="15"/>
  <c r="A60" i="14"/>
  <c r="D76" i="15"/>
  <c r="M76" i="15" s="1"/>
  <c r="B78" i="15"/>
  <c r="A27" i="13" s="1"/>
  <c r="C77" i="15"/>
  <c r="D77" i="15" s="1"/>
  <c r="M77" i="15" s="1"/>
  <c r="B26" i="13"/>
  <c r="F25" i="13"/>
  <c r="B33" i="17"/>
  <c r="C32" i="17"/>
  <c r="P149" i="15"/>
  <c r="Q149" i="15"/>
  <c r="H149" i="15"/>
  <c r="I149" i="15"/>
  <c r="N149" i="15"/>
  <c r="R149" i="15"/>
  <c r="V149" i="15"/>
  <c r="M149" i="15"/>
  <c r="L149" i="15"/>
  <c r="T149" i="15"/>
  <c r="U149" i="15"/>
  <c r="A29" i="17"/>
  <c r="A150" i="15"/>
  <c r="A197" i="15" s="1"/>
  <c r="A77" i="15"/>
  <c r="E76" i="15"/>
  <c r="D149" i="15"/>
  <c r="E149" i="15"/>
  <c r="C149" i="15"/>
  <c r="AF77" i="15" l="1"/>
  <c r="W77" i="15"/>
  <c r="A61" i="14"/>
  <c r="L77" i="15"/>
  <c r="A109" i="14"/>
  <c r="C109" i="14" s="1"/>
  <c r="H77" i="15"/>
  <c r="B79" i="15"/>
  <c r="A28" i="13" s="1"/>
  <c r="K77" i="15"/>
  <c r="C78" i="15"/>
  <c r="B27" i="13"/>
  <c r="F26" i="13"/>
  <c r="C33" i="17"/>
  <c r="B34" i="17"/>
  <c r="A30" i="17"/>
  <c r="A151" i="15"/>
  <c r="A198" i="15" s="1"/>
  <c r="A78" i="15"/>
  <c r="E77" i="15"/>
  <c r="P150" i="15"/>
  <c r="U150" i="15"/>
  <c r="I150" i="15"/>
  <c r="R150" i="15"/>
  <c r="Q150" i="15"/>
  <c r="V150" i="15"/>
  <c r="L150" i="15"/>
  <c r="N150" i="15"/>
  <c r="T150" i="15"/>
  <c r="M150" i="15"/>
  <c r="H150" i="15"/>
  <c r="E150" i="15"/>
  <c r="D150" i="15"/>
  <c r="C150" i="15"/>
  <c r="B80" i="15" l="1"/>
  <c r="A29" i="13" s="1"/>
  <c r="C79" i="15"/>
  <c r="A63" i="14" s="1"/>
  <c r="A110" i="14"/>
  <c r="C110" i="14" s="1"/>
  <c r="L78" i="15"/>
  <c r="K78" i="15"/>
  <c r="AF78" i="15"/>
  <c r="H78" i="15"/>
  <c r="A62" i="14"/>
  <c r="D78" i="15"/>
  <c r="M78" i="15" s="1"/>
  <c r="W78" i="15"/>
  <c r="B28" i="13"/>
  <c r="F27" i="13"/>
  <c r="B35" i="17"/>
  <c r="C34" i="17"/>
  <c r="A31" i="17"/>
  <c r="A152" i="15"/>
  <c r="A199" i="15" s="1"/>
  <c r="A79" i="15"/>
  <c r="E78" i="15"/>
  <c r="Q151" i="15"/>
  <c r="P151" i="15"/>
  <c r="T151" i="15"/>
  <c r="U151" i="15"/>
  <c r="I151" i="15"/>
  <c r="V151" i="15"/>
  <c r="L151" i="15"/>
  <c r="R151" i="15"/>
  <c r="N151" i="15"/>
  <c r="H151" i="15"/>
  <c r="M151" i="15"/>
  <c r="E151" i="15"/>
  <c r="D151" i="15"/>
  <c r="C151" i="15"/>
  <c r="H79" i="15" l="1"/>
  <c r="D79" i="15"/>
  <c r="M79" i="15" s="1"/>
  <c r="L79" i="15"/>
  <c r="AF79" i="15"/>
  <c r="K79" i="15"/>
  <c r="W79" i="15"/>
  <c r="A111" i="14"/>
  <c r="C111" i="14" s="1"/>
  <c r="C80" i="15"/>
  <c r="B81" i="15"/>
  <c r="A30" i="13" s="1"/>
  <c r="B29" i="13"/>
  <c r="F28" i="13"/>
  <c r="B36" i="17"/>
  <c r="C35" i="17"/>
  <c r="A32" i="17"/>
  <c r="A153" i="15"/>
  <c r="A200" i="15" s="1"/>
  <c r="A80" i="15"/>
  <c r="E79" i="15"/>
  <c r="P152" i="15"/>
  <c r="Q152" i="15"/>
  <c r="R152" i="15"/>
  <c r="H152" i="15"/>
  <c r="N152" i="15"/>
  <c r="I152" i="15"/>
  <c r="U152" i="15"/>
  <c r="T152" i="15"/>
  <c r="M152" i="15"/>
  <c r="L152" i="15"/>
  <c r="V152" i="15"/>
  <c r="E152" i="15"/>
  <c r="D152" i="15"/>
  <c r="C152" i="15"/>
  <c r="A64" i="14" l="1"/>
  <c r="D80" i="15"/>
  <c r="M80" i="15" s="1"/>
  <c r="K80" i="15"/>
  <c r="L80" i="15"/>
  <c r="AF80" i="15"/>
  <c r="W80" i="15"/>
  <c r="H80" i="15"/>
  <c r="A112" i="14"/>
  <c r="C112" i="14" s="1"/>
  <c r="C81" i="15"/>
  <c r="B82" i="15"/>
  <c r="A31" i="13" s="1"/>
  <c r="F29" i="13"/>
  <c r="B30" i="13"/>
  <c r="B37" i="17"/>
  <c r="C36" i="17"/>
  <c r="A33" i="17"/>
  <c r="A154" i="15"/>
  <c r="A201" i="15" s="1"/>
  <c r="A81" i="15"/>
  <c r="E80" i="15"/>
  <c r="M153" i="15"/>
  <c r="V153" i="15"/>
  <c r="P153" i="15"/>
  <c r="R153" i="15"/>
  <c r="L153" i="15"/>
  <c r="H153" i="15"/>
  <c r="Q153" i="15"/>
  <c r="N153" i="15"/>
  <c r="T153" i="15"/>
  <c r="I153" i="15"/>
  <c r="U153" i="15"/>
  <c r="D153" i="15"/>
  <c r="E153" i="15"/>
  <c r="C153" i="15"/>
  <c r="B83" i="15" l="1"/>
  <c r="B84" i="15" s="1"/>
  <c r="C82" i="15"/>
  <c r="W81" i="15"/>
  <c r="AF81" i="15"/>
  <c r="L81" i="15"/>
  <c r="A113" i="14"/>
  <c r="C113" i="14" s="1"/>
  <c r="K81" i="15"/>
  <c r="A65" i="14"/>
  <c r="H81" i="15"/>
  <c r="D81" i="15"/>
  <c r="M81" i="15" s="1"/>
  <c r="B31" i="13"/>
  <c r="F30" i="13"/>
  <c r="B38" i="17"/>
  <c r="C37" i="17"/>
  <c r="P154" i="15"/>
  <c r="I154" i="15"/>
  <c r="R154" i="15"/>
  <c r="M154" i="15"/>
  <c r="H154" i="15"/>
  <c r="L154" i="15"/>
  <c r="N154" i="15"/>
  <c r="Q154" i="15"/>
  <c r="U154" i="15"/>
  <c r="V154" i="15"/>
  <c r="T154" i="15"/>
  <c r="A34" i="17"/>
  <c r="A155" i="15"/>
  <c r="A202" i="15" s="1"/>
  <c r="A82" i="15"/>
  <c r="E81" i="15"/>
  <c r="D154" i="15"/>
  <c r="E154" i="15"/>
  <c r="C154" i="15"/>
  <c r="K82" i="15" l="1"/>
  <c r="A66" i="14"/>
  <c r="H82" i="15"/>
  <c r="AF82" i="15"/>
  <c r="L82" i="15"/>
  <c r="D82" i="15"/>
  <c r="M82" i="15" s="1"/>
  <c r="A114" i="14"/>
  <c r="C114" i="14" s="1"/>
  <c r="W82" i="15"/>
  <c r="A32" i="13"/>
  <c r="B32" i="13" s="1"/>
  <c r="C83" i="15"/>
  <c r="C84" i="15" s="1"/>
  <c r="A33" i="13"/>
  <c r="B85" i="15"/>
  <c r="F31" i="13"/>
  <c r="C38" i="17"/>
  <c r="B39" i="17"/>
  <c r="A156" i="15"/>
  <c r="A203" i="15" s="1"/>
  <c r="A35" i="17"/>
  <c r="A83" i="15"/>
  <c r="E82" i="15"/>
  <c r="Q155" i="15"/>
  <c r="P155" i="15"/>
  <c r="T155" i="15"/>
  <c r="M155" i="15"/>
  <c r="I155" i="15"/>
  <c r="V155" i="15"/>
  <c r="N155" i="15"/>
  <c r="L155" i="15"/>
  <c r="H155" i="15"/>
  <c r="U155" i="15"/>
  <c r="R155" i="15"/>
  <c r="E155" i="15"/>
  <c r="D155" i="15"/>
  <c r="C155" i="15"/>
  <c r="L84" i="15" l="1"/>
  <c r="AF84" i="15"/>
  <c r="A68" i="14"/>
  <c r="D84" i="15"/>
  <c r="M84" i="15" s="1"/>
  <c r="K84" i="15"/>
  <c r="H84" i="15"/>
  <c r="A116" i="14"/>
  <c r="C116" i="14" s="1"/>
  <c r="D83" i="15"/>
  <c r="M83" i="15" s="1"/>
  <c r="W83" i="15"/>
  <c r="AF83" i="15"/>
  <c r="A67" i="14"/>
  <c r="K83" i="15"/>
  <c r="H83" i="15"/>
  <c r="A115" i="14"/>
  <c r="C115" i="14" s="1"/>
  <c r="L83" i="15"/>
  <c r="C85" i="15"/>
  <c r="K85" i="15" s="1"/>
  <c r="W84" i="15"/>
  <c r="A34" i="13"/>
  <c r="B86" i="15"/>
  <c r="A35" i="13" s="1"/>
  <c r="F32" i="13"/>
  <c r="B33" i="13"/>
  <c r="B40" i="17"/>
  <c r="C39" i="17"/>
  <c r="P156" i="15"/>
  <c r="V156" i="15"/>
  <c r="R156" i="15"/>
  <c r="Q156" i="15"/>
  <c r="H156" i="15"/>
  <c r="L156" i="15"/>
  <c r="N156" i="15"/>
  <c r="M156" i="15"/>
  <c r="U156" i="15"/>
  <c r="T156" i="15"/>
  <c r="I156" i="15"/>
  <c r="A36" i="17"/>
  <c r="A157" i="15"/>
  <c r="A204" i="15" s="1"/>
  <c r="A84" i="15"/>
  <c r="E83" i="15"/>
  <c r="D156" i="15"/>
  <c r="E156" i="15"/>
  <c r="C156" i="15"/>
  <c r="D85" i="15" l="1"/>
  <c r="M85" i="15" s="1"/>
  <c r="AF85" i="15"/>
  <c r="A69" i="14"/>
  <c r="H85" i="15"/>
  <c r="W85" i="15"/>
  <c r="A117" i="14"/>
  <c r="C117" i="14" s="1"/>
  <c r="L85" i="15"/>
  <c r="C86" i="15"/>
  <c r="A118" i="14" s="1"/>
  <c r="C118" i="14" s="1"/>
  <c r="B87" i="15"/>
  <c r="A36" i="13" s="1"/>
  <c r="F33" i="13"/>
  <c r="B34" i="13"/>
  <c r="C40" i="17"/>
  <c r="B41" i="17"/>
  <c r="A37" i="17"/>
  <c r="A158" i="15"/>
  <c r="A205" i="15" s="1"/>
  <c r="A85" i="15"/>
  <c r="E84" i="15"/>
  <c r="Q157" i="15"/>
  <c r="P157" i="15"/>
  <c r="U157" i="15"/>
  <c r="L157" i="15"/>
  <c r="V157" i="15"/>
  <c r="N157" i="15"/>
  <c r="R157" i="15"/>
  <c r="H157" i="15"/>
  <c r="T157" i="15"/>
  <c r="I157" i="15"/>
  <c r="M157" i="15"/>
  <c r="E157" i="15"/>
  <c r="D157" i="15"/>
  <c r="C157" i="15"/>
  <c r="B88" i="15" l="1"/>
  <c r="A37" i="13" s="1"/>
  <c r="W86" i="15"/>
  <c r="C87" i="15"/>
  <c r="AF87" i="15" s="1"/>
  <c r="D86" i="15"/>
  <c r="M86" i="15" s="1"/>
  <c r="K86" i="15"/>
  <c r="AF86" i="15"/>
  <c r="L86" i="15"/>
  <c r="A70" i="14"/>
  <c r="H86" i="15"/>
  <c r="F34" i="13"/>
  <c r="B35" i="13"/>
  <c r="B42" i="17"/>
  <c r="C41" i="17"/>
  <c r="A159" i="15"/>
  <c r="A206" i="15" s="1"/>
  <c r="A38" i="17"/>
  <c r="A86" i="15"/>
  <c r="E85" i="15"/>
  <c r="P158" i="15"/>
  <c r="Q158" i="15"/>
  <c r="I158" i="15"/>
  <c r="V158" i="15"/>
  <c r="L158" i="15"/>
  <c r="H158" i="15"/>
  <c r="U158" i="15"/>
  <c r="M158" i="15"/>
  <c r="T158" i="15"/>
  <c r="N158" i="15"/>
  <c r="R158" i="15"/>
  <c r="E158" i="15"/>
  <c r="D158" i="15"/>
  <c r="C158" i="15"/>
  <c r="A71" i="14" l="1"/>
  <c r="C88" i="15"/>
  <c r="D88" i="15" s="1"/>
  <c r="M88" i="15" s="1"/>
  <c r="B89" i="15"/>
  <c r="A38" i="13" s="1"/>
  <c r="D87" i="15"/>
  <c r="W87" i="15"/>
  <c r="A119" i="14"/>
  <c r="C119" i="14" s="1"/>
  <c r="K87" i="15"/>
  <c r="H87" i="15"/>
  <c r="B36" i="13"/>
  <c r="F35" i="13"/>
  <c r="C42" i="17"/>
  <c r="B43" i="17"/>
  <c r="A160" i="15"/>
  <c r="A207" i="15" s="1"/>
  <c r="A39" i="17"/>
  <c r="A87" i="15"/>
  <c r="E86" i="15"/>
  <c r="Q159" i="15"/>
  <c r="P159" i="15"/>
  <c r="U159" i="15"/>
  <c r="I159" i="15"/>
  <c r="N159" i="15"/>
  <c r="H159" i="15"/>
  <c r="T159" i="15"/>
  <c r="R159" i="15"/>
  <c r="V159" i="15"/>
  <c r="L159" i="15"/>
  <c r="M159" i="15"/>
  <c r="E159" i="15"/>
  <c r="D159" i="15"/>
  <c r="C159" i="15"/>
  <c r="AF88" i="15" l="1"/>
  <c r="A120" i="14"/>
  <c r="B90" i="15"/>
  <c r="B91" i="15" s="1"/>
  <c r="A40" i="13" s="1"/>
  <c r="H88" i="15"/>
  <c r="W88" i="15"/>
  <c r="A72" i="14"/>
  <c r="L88" i="15"/>
  <c r="C89" i="15"/>
  <c r="D89" i="15" s="1"/>
  <c r="M89" i="15" s="1"/>
  <c r="K88" i="15"/>
  <c r="B37" i="13"/>
  <c r="F36" i="13"/>
  <c r="C43" i="17"/>
  <c r="B44" i="17"/>
  <c r="A40" i="17"/>
  <c r="A161" i="15"/>
  <c r="A208" i="15" s="1"/>
  <c r="A88" i="15"/>
  <c r="E87" i="15"/>
  <c r="P160" i="15"/>
  <c r="L160" i="15"/>
  <c r="M160" i="15"/>
  <c r="N160" i="15"/>
  <c r="U160" i="15"/>
  <c r="V160" i="15"/>
  <c r="Q160" i="15"/>
  <c r="T160" i="15"/>
  <c r="I160" i="15"/>
  <c r="R160" i="15"/>
  <c r="H160" i="15"/>
  <c r="D160" i="15"/>
  <c r="E160" i="15"/>
  <c r="C160" i="15"/>
  <c r="A39" i="13" l="1"/>
  <c r="W89" i="15"/>
  <c r="A121" i="14"/>
  <c r="K89" i="15"/>
  <c r="C90" i="15"/>
  <c r="L90" i="15" s="1"/>
  <c r="H89" i="15"/>
  <c r="A73" i="14"/>
  <c r="AF89" i="15"/>
  <c r="B92" i="15"/>
  <c r="B93" i="15" s="1"/>
  <c r="A42" i="13" s="1"/>
  <c r="L89" i="15"/>
  <c r="B38" i="13"/>
  <c r="F37" i="13"/>
  <c r="C44" i="17"/>
  <c r="B45" i="17"/>
  <c r="A162" i="15"/>
  <c r="A209" i="15" s="1"/>
  <c r="A41" i="17"/>
  <c r="A89" i="15"/>
  <c r="E88" i="15"/>
  <c r="Q161" i="15"/>
  <c r="L161" i="15"/>
  <c r="H161" i="15"/>
  <c r="R161" i="15"/>
  <c r="N161" i="15"/>
  <c r="I161" i="15"/>
  <c r="U161" i="15"/>
  <c r="T161" i="15"/>
  <c r="M161" i="15"/>
  <c r="P161" i="15"/>
  <c r="V161" i="15"/>
  <c r="D161" i="15"/>
  <c r="E161" i="15"/>
  <c r="C161" i="15"/>
  <c r="K90" i="15" l="1"/>
  <c r="A122" i="14"/>
  <c r="A74" i="14"/>
  <c r="W90" i="15"/>
  <c r="H90" i="15"/>
  <c r="D90" i="15"/>
  <c r="M90" i="15" s="1"/>
  <c r="A41" i="13"/>
  <c r="C91" i="15"/>
  <c r="D91" i="15" s="1"/>
  <c r="M91" i="15" s="1"/>
  <c r="AF90" i="15"/>
  <c r="B94" i="15"/>
  <c r="B95" i="15" s="1"/>
  <c r="A44" i="13" s="1"/>
  <c r="B39" i="13"/>
  <c r="F38" i="13"/>
  <c r="C45" i="17"/>
  <c r="B46" i="17"/>
  <c r="A163" i="15"/>
  <c r="A210" i="15" s="1"/>
  <c r="A42" i="17"/>
  <c r="A90" i="15"/>
  <c r="E89" i="15"/>
  <c r="P162" i="15"/>
  <c r="Q162" i="15"/>
  <c r="T162" i="15"/>
  <c r="M162" i="15"/>
  <c r="H162" i="15"/>
  <c r="R162" i="15"/>
  <c r="N162" i="15"/>
  <c r="I162" i="15"/>
  <c r="U162" i="15"/>
  <c r="V162" i="15"/>
  <c r="L162" i="15"/>
  <c r="E162" i="15"/>
  <c r="D162" i="15"/>
  <c r="C162" i="15"/>
  <c r="A75" i="14" l="1"/>
  <c r="K91" i="15"/>
  <c r="AF91" i="15"/>
  <c r="A123" i="14"/>
  <c r="C92" i="15"/>
  <c r="L91" i="15"/>
  <c r="W91" i="15"/>
  <c r="H91" i="15"/>
  <c r="A43" i="13"/>
  <c r="B96" i="15"/>
  <c r="A45" i="13" s="1"/>
  <c r="B40" i="13"/>
  <c r="F39" i="13"/>
  <c r="C46" i="17"/>
  <c r="B47" i="17"/>
  <c r="A164" i="15"/>
  <c r="A211" i="15" s="1"/>
  <c r="A43" i="17"/>
  <c r="A91" i="15"/>
  <c r="E90" i="15"/>
  <c r="Q163" i="15"/>
  <c r="T163" i="15"/>
  <c r="R163" i="15"/>
  <c r="V163" i="15"/>
  <c r="N163" i="15"/>
  <c r="P163" i="15"/>
  <c r="U163" i="15"/>
  <c r="H163" i="15"/>
  <c r="I163" i="15"/>
  <c r="M163" i="15"/>
  <c r="L163" i="15"/>
  <c r="E163" i="15"/>
  <c r="D163" i="15"/>
  <c r="C163" i="15"/>
  <c r="A124" i="14" l="1"/>
  <c r="D92" i="15"/>
  <c r="M92" i="15" s="1"/>
  <c r="A76" i="14"/>
  <c r="W92" i="15"/>
  <c r="L92" i="15"/>
  <c r="K92" i="15"/>
  <c r="AF92" i="15"/>
  <c r="C93" i="15"/>
  <c r="H92" i="15"/>
  <c r="B97" i="15"/>
  <c r="B41" i="13"/>
  <c r="F40" i="13"/>
  <c r="C47" i="17"/>
  <c r="B48" i="17"/>
  <c r="P164" i="15"/>
  <c r="Q164" i="15"/>
  <c r="R164" i="15"/>
  <c r="N164" i="15"/>
  <c r="L164" i="15"/>
  <c r="T164" i="15"/>
  <c r="H164" i="15"/>
  <c r="U164" i="15"/>
  <c r="V164" i="15"/>
  <c r="M164" i="15"/>
  <c r="I164" i="15"/>
  <c r="A44" i="17"/>
  <c r="A165" i="15"/>
  <c r="A212" i="15" s="1"/>
  <c r="A92" i="15"/>
  <c r="E91" i="15"/>
  <c r="E164" i="15"/>
  <c r="D164" i="15"/>
  <c r="C164" i="15"/>
  <c r="A77" i="14" l="1"/>
  <c r="W93" i="15"/>
  <c r="K93" i="15"/>
  <c r="L93" i="15"/>
  <c r="A125" i="14"/>
  <c r="AF93" i="15"/>
  <c r="D93" i="15"/>
  <c r="M93" i="15" s="1"/>
  <c r="C94" i="15"/>
  <c r="H93" i="15"/>
  <c r="B98" i="15"/>
  <c r="B99" i="15" s="1"/>
  <c r="A46" i="13"/>
  <c r="B42" i="13"/>
  <c r="F41" i="13"/>
  <c r="C48" i="17"/>
  <c r="B49" i="17"/>
  <c r="A45" i="17"/>
  <c r="A166" i="15"/>
  <c r="A213" i="15" s="1"/>
  <c r="A93" i="15"/>
  <c r="E92" i="15"/>
  <c r="P165" i="15"/>
  <c r="Q165" i="15"/>
  <c r="I165" i="15"/>
  <c r="M165" i="15"/>
  <c r="H165" i="15"/>
  <c r="L165" i="15"/>
  <c r="N165" i="15"/>
  <c r="R165" i="15"/>
  <c r="U165" i="15"/>
  <c r="V165" i="15"/>
  <c r="T165" i="15"/>
  <c r="E165" i="15"/>
  <c r="D165" i="15"/>
  <c r="C165" i="15"/>
  <c r="D94" i="15" l="1"/>
  <c r="M94" i="15" s="1"/>
  <c r="K94" i="15"/>
  <c r="AF94" i="15"/>
  <c r="W94" i="15"/>
  <c r="L94" i="15"/>
  <c r="H94" i="15"/>
  <c r="A126" i="14"/>
  <c r="C95" i="15"/>
  <c r="A78" i="14"/>
  <c r="A48" i="13"/>
  <c r="A47" i="13"/>
  <c r="B100" i="15"/>
  <c r="A49" i="13" s="1"/>
  <c r="F42" i="13"/>
  <c r="B43" i="13"/>
  <c r="C121" i="14"/>
  <c r="C49" i="17"/>
  <c r="B50" i="17"/>
  <c r="A46" i="17"/>
  <c r="A167" i="15"/>
  <c r="A214" i="15" s="1"/>
  <c r="A94" i="15"/>
  <c r="E93" i="15"/>
  <c r="P166" i="15"/>
  <c r="R166" i="15"/>
  <c r="V166" i="15"/>
  <c r="Q166" i="15"/>
  <c r="I166" i="15"/>
  <c r="L166" i="15"/>
  <c r="T166" i="15"/>
  <c r="H166" i="15"/>
  <c r="M166" i="15"/>
  <c r="U166" i="15"/>
  <c r="N166" i="15"/>
  <c r="D166" i="15"/>
  <c r="E166" i="15"/>
  <c r="C166" i="15"/>
  <c r="W95" i="15" l="1"/>
  <c r="L95" i="15"/>
  <c r="H95" i="15"/>
  <c r="C96" i="15"/>
  <c r="A127" i="14"/>
  <c r="K95" i="15"/>
  <c r="A79" i="14"/>
  <c r="AF95" i="15"/>
  <c r="D95" i="15"/>
  <c r="M95" i="15" s="1"/>
  <c r="B101" i="15"/>
  <c r="A50" i="13" s="1"/>
  <c r="B44" i="13"/>
  <c r="F43" i="13"/>
  <c r="C122" i="14"/>
  <c r="B51" i="17"/>
  <c r="C50" i="17"/>
  <c r="A168" i="15"/>
  <c r="A215" i="15" s="1"/>
  <c r="A47" i="17"/>
  <c r="A95" i="15"/>
  <c r="E94" i="15"/>
  <c r="Q167" i="15"/>
  <c r="P167" i="15"/>
  <c r="M167" i="15"/>
  <c r="U167" i="15"/>
  <c r="I167" i="15"/>
  <c r="V167" i="15"/>
  <c r="T167" i="15"/>
  <c r="R167" i="15"/>
  <c r="L167" i="15"/>
  <c r="N167" i="15"/>
  <c r="H167" i="15"/>
  <c r="D167" i="15"/>
  <c r="E167" i="15"/>
  <c r="C167" i="15"/>
  <c r="A128" i="14" l="1"/>
  <c r="W96" i="15"/>
  <c r="L96" i="15"/>
  <c r="K96" i="15"/>
  <c r="A80" i="14"/>
  <c r="D96" i="15"/>
  <c r="M96" i="15" s="1"/>
  <c r="C97" i="15"/>
  <c r="AF96" i="15"/>
  <c r="H96" i="15"/>
  <c r="B102" i="15"/>
  <c r="B45" i="13"/>
  <c r="F44" i="13"/>
  <c r="C123" i="14"/>
  <c r="B52" i="17"/>
  <c r="C51" i="17"/>
  <c r="A169" i="15"/>
  <c r="A216" i="15" s="1"/>
  <c r="A48" i="17"/>
  <c r="A96" i="15"/>
  <c r="E95" i="15"/>
  <c r="P168" i="15"/>
  <c r="Q168" i="15"/>
  <c r="I168" i="15"/>
  <c r="V168" i="15"/>
  <c r="N168" i="15"/>
  <c r="M168" i="15"/>
  <c r="T168" i="15"/>
  <c r="L168" i="15"/>
  <c r="H168" i="15"/>
  <c r="U168" i="15"/>
  <c r="R168" i="15"/>
  <c r="E168" i="15"/>
  <c r="D168" i="15"/>
  <c r="C168" i="15"/>
  <c r="A81" i="14" l="1"/>
  <c r="K97" i="15"/>
  <c r="H97" i="15"/>
  <c r="W97" i="15"/>
  <c r="AF97" i="15"/>
  <c r="A129" i="14"/>
  <c r="D97" i="15"/>
  <c r="M97" i="15" s="1"/>
  <c r="L97" i="15"/>
  <c r="C98" i="15"/>
  <c r="A51" i="13"/>
  <c r="B103" i="15"/>
  <c r="B46" i="13"/>
  <c r="F45" i="13"/>
  <c r="C124" i="14"/>
  <c r="B53" i="17"/>
  <c r="C52" i="17"/>
  <c r="A49" i="17"/>
  <c r="A170" i="15"/>
  <c r="A217" i="15" s="1"/>
  <c r="A97" i="15"/>
  <c r="E96" i="15"/>
  <c r="P169" i="15"/>
  <c r="M169" i="15"/>
  <c r="L169" i="15"/>
  <c r="Q169" i="15"/>
  <c r="N169" i="15"/>
  <c r="I169" i="15"/>
  <c r="V169" i="15"/>
  <c r="H169" i="15"/>
  <c r="R169" i="15"/>
  <c r="T169" i="15"/>
  <c r="U169" i="15"/>
  <c r="E169" i="15"/>
  <c r="D169" i="15"/>
  <c r="C169" i="15"/>
  <c r="D98" i="15" l="1"/>
  <c r="M98" i="15" s="1"/>
  <c r="A82" i="14"/>
  <c r="A130" i="14"/>
  <c r="AF98" i="15"/>
  <c r="K98" i="15"/>
  <c r="H98" i="15"/>
  <c r="W98" i="15"/>
  <c r="L98" i="15"/>
  <c r="C99" i="15"/>
  <c r="A52" i="13"/>
  <c r="B104" i="15"/>
  <c r="B47" i="13"/>
  <c r="F46" i="13"/>
  <c r="C53" i="17"/>
  <c r="B54" i="17"/>
  <c r="A171" i="15"/>
  <c r="A218" i="15" s="1"/>
  <c r="A50" i="17"/>
  <c r="A98" i="15"/>
  <c r="E97" i="15"/>
  <c r="P170" i="15"/>
  <c r="Q170" i="15"/>
  <c r="L170" i="15"/>
  <c r="N170" i="15"/>
  <c r="R170" i="15"/>
  <c r="I170" i="15"/>
  <c r="T170" i="15"/>
  <c r="V170" i="15"/>
  <c r="U170" i="15"/>
  <c r="M170" i="15"/>
  <c r="H170" i="15"/>
  <c r="E170" i="15"/>
  <c r="D170" i="15"/>
  <c r="C170" i="15"/>
  <c r="K99" i="15" l="1"/>
  <c r="A83" i="14"/>
  <c r="A131" i="14"/>
  <c r="H99" i="15"/>
  <c r="W99" i="15"/>
  <c r="C100" i="15"/>
  <c r="D99" i="15"/>
  <c r="M99" i="15" s="1"/>
  <c r="L99" i="15"/>
  <c r="AF99" i="15"/>
  <c r="A53" i="13"/>
  <c r="B105" i="15"/>
  <c r="B48" i="13"/>
  <c r="F47" i="13"/>
  <c r="C125" i="14"/>
  <c r="C54" i="17"/>
  <c r="B55" i="17"/>
  <c r="A51" i="17"/>
  <c r="A172" i="15"/>
  <c r="A219" i="15" s="1"/>
  <c r="A99" i="15"/>
  <c r="E98" i="15"/>
  <c r="Q171" i="15"/>
  <c r="P171" i="15"/>
  <c r="L171" i="15"/>
  <c r="H171" i="15"/>
  <c r="V171" i="15"/>
  <c r="T171" i="15"/>
  <c r="M171" i="15"/>
  <c r="U171" i="15"/>
  <c r="I171" i="15"/>
  <c r="N171" i="15"/>
  <c r="R171" i="15"/>
  <c r="E171" i="15"/>
  <c r="D171" i="15"/>
  <c r="C171" i="15"/>
  <c r="K100" i="15" l="1"/>
  <c r="A84" i="14"/>
  <c r="D100" i="15"/>
  <c r="M100" i="15" s="1"/>
  <c r="AF100" i="15"/>
  <c r="C101" i="15"/>
  <c r="H100" i="15"/>
  <c r="L100" i="15"/>
  <c r="A132" i="14"/>
  <c r="W100" i="15"/>
  <c r="A54" i="13"/>
  <c r="B106" i="15"/>
  <c r="B49" i="13"/>
  <c r="F48" i="13"/>
  <c r="C126" i="14"/>
  <c r="C127" i="14"/>
  <c r="B56" i="17"/>
  <c r="C55" i="17"/>
  <c r="A52" i="17"/>
  <c r="A173" i="15"/>
  <c r="A220" i="15" s="1"/>
  <c r="A100" i="15"/>
  <c r="E99" i="15"/>
  <c r="P172" i="15"/>
  <c r="L172" i="15"/>
  <c r="V172" i="15"/>
  <c r="U172" i="15"/>
  <c r="M172" i="15"/>
  <c r="N172" i="15"/>
  <c r="Q172" i="15"/>
  <c r="I172" i="15"/>
  <c r="H172" i="15"/>
  <c r="T172" i="15"/>
  <c r="R172" i="15"/>
  <c r="D172" i="15"/>
  <c r="E172" i="15"/>
  <c r="C172" i="15"/>
  <c r="D101" i="15" l="1"/>
  <c r="M101" i="15" s="1"/>
  <c r="A133" i="14"/>
  <c r="W101" i="15"/>
  <c r="AF101" i="15"/>
  <c r="A85" i="14"/>
  <c r="K101" i="15"/>
  <c r="L101" i="15"/>
  <c r="C102" i="15"/>
  <c r="H101" i="15"/>
  <c r="A55" i="13"/>
  <c r="B107" i="15"/>
  <c r="B50" i="13"/>
  <c r="F49" i="13"/>
  <c r="C128" i="14"/>
  <c r="C56" i="17"/>
  <c r="B57" i="17"/>
  <c r="A53" i="17"/>
  <c r="A174" i="15"/>
  <c r="A221" i="15" s="1"/>
  <c r="A101" i="15"/>
  <c r="E100" i="15"/>
  <c r="P173" i="15"/>
  <c r="Q173" i="15"/>
  <c r="V173" i="15"/>
  <c r="U173" i="15"/>
  <c r="M173" i="15"/>
  <c r="I173" i="15"/>
  <c r="L173" i="15"/>
  <c r="N173" i="15"/>
  <c r="H173" i="15"/>
  <c r="R173" i="15"/>
  <c r="T173" i="15"/>
  <c r="E173" i="15"/>
  <c r="D173" i="15"/>
  <c r="C173" i="15"/>
  <c r="A86" i="14" l="1"/>
  <c r="D102" i="15"/>
  <c r="H102" i="15"/>
  <c r="A134" i="14"/>
  <c r="C103" i="15"/>
  <c r="AF102" i="15"/>
  <c r="K102" i="15"/>
  <c r="W102" i="15"/>
  <c r="A56" i="13"/>
  <c r="B108" i="15"/>
  <c r="B51" i="13"/>
  <c r="F50" i="13"/>
  <c r="C57" i="17"/>
  <c r="A175" i="15"/>
  <c r="A222" i="15" s="1"/>
  <c r="A54" i="17"/>
  <c r="A102" i="15"/>
  <c r="E101" i="15"/>
  <c r="P174" i="15"/>
  <c r="Q174" i="15"/>
  <c r="N174" i="15"/>
  <c r="T174" i="15"/>
  <c r="U174" i="15"/>
  <c r="I174" i="15"/>
  <c r="L174" i="15"/>
  <c r="H174" i="15"/>
  <c r="R174" i="15"/>
  <c r="V174" i="15"/>
  <c r="M174" i="15"/>
  <c r="E174" i="15"/>
  <c r="D174" i="15"/>
  <c r="C174" i="15"/>
  <c r="W103" i="15" l="1"/>
  <c r="C104" i="15"/>
  <c r="L103" i="15"/>
  <c r="H103" i="15"/>
  <c r="K103" i="15"/>
  <c r="A135" i="14"/>
  <c r="A87" i="14"/>
  <c r="D103" i="15"/>
  <c r="M103" i="15" s="1"/>
  <c r="AF103" i="15"/>
  <c r="A57" i="13"/>
  <c r="S108" i="15"/>
  <c r="B109" i="15"/>
  <c r="B52" i="13"/>
  <c r="F51" i="13"/>
  <c r="C129" i="14"/>
  <c r="A176" i="15"/>
  <c r="A223" i="15" s="1"/>
  <c r="A55" i="17"/>
  <c r="A103" i="15"/>
  <c r="E102" i="15"/>
  <c r="Q175" i="15"/>
  <c r="N175" i="15"/>
  <c r="H175" i="15"/>
  <c r="L175" i="15"/>
  <c r="P175" i="15"/>
  <c r="R175" i="15"/>
  <c r="I175" i="15"/>
  <c r="U175" i="15"/>
  <c r="V175" i="15"/>
  <c r="T175" i="15"/>
  <c r="M175" i="15"/>
  <c r="E175" i="15"/>
  <c r="D175" i="15"/>
  <c r="C175" i="15"/>
  <c r="A136" i="14" l="1"/>
  <c r="L104" i="15"/>
  <c r="K104" i="15"/>
  <c r="AF104" i="15"/>
  <c r="H104" i="15"/>
  <c r="D104" i="15"/>
  <c r="M104" i="15" s="1"/>
  <c r="C105" i="15"/>
  <c r="A88" i="14"/>
  <c r="W104" i="15"/>
  <c r="B110" i="15"/>
  <c r="S109" i="15"/>
  <c r="B53" i="13"/>
  <c r="F52" i="13"/>
  <c r="C130" i="14"/>
  <c r="L102" i="15"/>
  <c r="M102" i="15"/>
  <c r="P176" i="15"/>
  <c r="Q176" i="15"/>
  <c r="T176" i="15"/>
  <c r="H176" i="15"/>
  <c r="L176" i="15"/>
  <c r="I176" i="15"/>
  <c r="V176" i="15"/>
  <c r="N176" i="15"/>
  <c r="R176" i="15"/>
  <c r="U176" i="15"/>
  <c r="M176" i="15"/>
  <c r="A56" i="17"/>
  <c r="A177" i="15"/>
  <c r="A224" i="15" s="1"/>
  <c r="A104" i="15"/>
  <c r="E103" i="15"/>
  <c r="D176" i="15"/>
  <c r="E176" i="15"/>
  <c r="C176" i="15"/>
  <c r="A137" i="14" l="1"/>
  <c r="A89" i="14"/>
  <c r="K105" i="15"/>
  <c r="L105" i="15"/>
  <c r="W105" i="15"/>
  <c r="H105" i="15"/>
  <c r="AF105" i="15"/>
  <c r="D105" i="15"/>
  <c r="M105" i="15" s="1"/>
  <c r="C106" i="15"/>
  <c r="B111" i="15"/>
  <c r="S110" i="15"/>
  <c r="B54" i="13"/>
  <c r="F53" i="13"/>
  <c r="C109" i="15"/>
  <c r="Q109" i="15" s="1"/>
  <c r="C131" i="14"/>
  <c r="P177" i="15"/>
  <c r="Q177" i="15"/>
  <c r="V177" i="15"/>
  <c r="L177" i="15"/>
  <c r="U177" i="15"/>
  <c r="N177" i="15"/>
  <c r="R177" i="15"/>
  <c r="T177" i="15"/>
  <c r="M177" i="15"/>
  <c r="I177" i="15"/>
  <c r="H177" i="15"/>
  <c r="A178" i="15"/>
  <c r="A225" i="15" s="1"/>
  <c r="A57" i="17"/>
  <c r="A105" i="15"/>
  <c r="E104" i="15"/>
  <c r="E177" i="15"/>
  <c r="D177" i="15"/>
  <c r="C177" i="15"/>
  <c r="H106" i="15" l="1"/>
  <c r="W106" i="15"/>
  <c r="A138" i="14"/>
  <c r="C107" i="15"/>
  <c r="D106" i="15"/>
  <c r="M106" i="15" s="1"/>
  <c r="A90" i="14"/>
  <c r="AF106" i="15"/>
  <c r="K106" i="15"/>
  <c r="L106" i="15"/>
  <c r="S111" i="15"/>
  <c r="B112" i="15"/>
  <c r="B55" i="13"/>
  <c r="F54" i="13"/>
  <c r="Z109" i="15"/>
  <c r="W109" i="15"/>
  <c r="K109" i="15"/>
  <c r="A143" i="14"/>
  <c r="L109" i="15"/>
  <c r="AF109" i="15"/>
  <c r="C110" i="15"/>
  <c r="Q110" i="15" s="1"/>
  <c r="AE109" i="15"/>
  <c r="H109" i="15"/>
  <c r="D109" i="15"/>
  <c r="M109" i="15" s="1"/>
  <c r="C132" i="14"/>
  <c r="P178" i="15"/>
  <c r="Q178" i="15"/>
  <c r="N178" i="15"/>
  <c r="R178" i="15"/>
  <c r="U178" i="15"/>
  <c r="I178" i="15"/>
  <c r="M178" i="15"/>
  <c r="V178" i="15"/>
  <c r="L178" i="15"/>
  <c r="H178" i="15"/>
  <c r="T178" i="15"/>
  <c r="A179" i="15"/>
  <c r="A226" i="15" s="1"/>
  <c r="A106" i="15"/>
  <c r="E105" i="15"/>
  <c r="D178" i="15"/>
  <c r="E178" i="15"/>
  <c r="C178" i="15"/>
  <c r="C108" i="15" l="1"/>
  <c r="D107" i="15"/>
  <c r="H107" i="15"/>
  <c r="K107" i="15"/>
  <c r="A91" i="14"/>
  <c r="AF107" i="15"/>
  <c r="W107" i="15"/>
  <c r="A139" i="14"/>
  <c r="S112" i="15"/>
  <c r="B113" i="15"/>
  <c r="S113" i="15" s="1"/>
  <c r="B56" i="13"/>
  <c r="B57" i="13" s="1"/>
  <c r="F55" i="13"/>
  <c r="AF110" i="15"/>
  <c r="K110" i="15"/>
  <c r="D110" i="15"/>
  <c r="M110" i="15" s="1"/>
  <c r="H110" i="15"/>
  <c r="W110" i="15"/>
  <c r="C111" i="15"/>
  <c r="Q111" i="15" s="1"/>
  <c r="Z110" i="15"/>
  <c r="AE110" i="15"/>
  <c r="L110" i="15"/>
  <c r="C133" i="14"/>
  <c r="A180" i="15"/>
  <c r="A227" i="15" s="1"/>
  <c r="A107" i="15"/>
  <c r="A108" i="15" s="1"/>
  <c r="E106" i="15"/>
  <c r="Q179" i="15"/>
  <c r="P179" i="15"/>
  <c r="I179" i="15"/>
  <c r="N179" i="15"/>
  <c r="R179" i="15"/>
  <c r="H179" i="15"/>
  <c r="M179" i="15"/>
  <c r="L179" i="15"/>
  <c r="U179" i="15"/>
  <c r="T179" i="15"/>
  <c r="V179" i="15"/>
  <c r="D179" i="15"/>
  <c r="E179" i="15"/>
  <c r="C179" i="15"/>
  <c r="D108" i="15" l="1"/>
  <c r="M108" i="15" s="1"/>
  <c r="Q108" i="15"/>
  <c r="W108" i="15"/>
  <c r="Z108" i="15"/>
  <c r="L108" i="15"/>
  <c r="AE108" i="15"/>
  <c r="A140" i="14"/>
  <c r="H108" i="15"/>
  <c r="A92" i="14"/>
  <c r="AF108" i="15"/>
  <c r="K108" i="15"/>
  <c r="F57" i="13"/>
  <c r="C57" i="13"/>
  <c r="E57" i="13"/>
  <c r="G57" i="13"/>
  <c r="W111" i="15"/>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A181" i="15"/>
  <c r="A228" i="15" s="1"/>
  <c r="E107" i="15"/>
  <c r="D180" i="15"/>
  <c r="E180" i="15"/>
  <c r="C180" i="15"/>
  <c r="D57" i="13" l="1"/>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B182" i="15"/>
  <c r="J182" i="15"/>
  <c r="F182" i="15"/>
  <c r="C181" i="15"/>
  <c r="F229" i="15" l="1"/>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C138"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C139" i="14"/>
  <c r="E233" i="15"/>
  <c r="I35" i="34" s="1"/>
  <c r="D233" i="15"/>
  <c r="I34" i="34" s="1"/>
  <c r="L87" i="15"/>
  <c r="M87" i="15"/>
  <c r="I48" i="119"/>
  <c r="H48" i="119"/>
  <c r="G48" i="119"/>
  <c r="E48" i="119"/>
  <c r="D48" i="119"/>
  <c r="C26" i="6" s="1"/>
  <c r="C48" i="119"/>
  <c r="C25" i="6" s="1"/>
  <c r="F48" i="119"/>
  <c r="B22" i="15" l="1"/>
  <c r="C52" i="6"/>
  <c r="X59" i="15" s="1"/>
  <c r="C3" i="119"/>
  <c r="C199" i="119" s="1"/>
  <c r="B173" i="15"/>
  <c r="B161" i="15"/>
  <c r="B181" i="15"/>
  <c r="B168" i="15"/>
  <c r="B151" i="15"/>
  <c r="B163" i="15"/>
  <c r="B172" i="15"/>
  <c r="B169" i="15"/>
  <c r="B139" i="15"/>
  <c r="B178" i="15"/>
  <c r="B141" i="15"/>
  <c r="B167" i="15"/>
  <c r="B180" i="15"/>
  <c r="B165" i="15"/>
  <c r="B164" i="15"/>
  <c r="B150" i="15"/>
  <c r="B146" i="15"/>
  <c r="B179" i="15"/>
  <c r="B147" i="15"/>
  <c r="B166" i="15"/>
  <c r="B159" i="15"/>
  <c r="B143" i="15"/>
  <c r="B149" i="15"/>
  <c r="B142" i="15"/>
  <c r="B144" i="15"/>
  <c r="B156" i="15"/>
  <c r="B176" i="15"/>
  <c r="B153" i="15"/>
  <c r="B162" i="15"/>
  <c r="E22" i="15" l="1"/>
  <c r="C46" i="33"/>
  <c r="F36" i="14"/>
  <c r="D36" i="14"/>
  <c r="G36" i="14"/>
  <c r="C36" i="14"/>
  <c r="E36" i="14"/>
  <c r="B26" i="15"/>
  <c r="B27" i="15" s="1"/>
  <c r="E23" i="15" s="1"/>
  <c r="C5" i="119"/>
  <c r="E199" i="119" s="1"/>
  <c r="H36" i="14"/>
  <c r="C47" i="33" s="1"/>
  <c r="AF116" i="15"/>
  <c r="AB55" i="15" s="1"/>
  <c r="AB57" i="15" s="1"/>
  <c r="W116" i="15"/>
  <c r="F38" i="34"/>
  <c r="F37" i="34"/>
  <c r="B136" i="15"/>
  <c r="F32" i="34"/>
  <c r="C32" i="34" s="1"/>
  <c r="C197" i="119"/>
  <c r="C202" i="119" s="1"/>
  <c r="D202" i="119" s="1"/>
  <c r="C78" i="119"/>
  <c r="D78" i="119" s="1"/>
  <c r="H3" i="119"/>
  <c r="I3" i="119"/>
  <c r="C79" i="119" s="1"/>
  <c r="D79" i="119" s="1"/>
  <c r="G177" i="15"/>
  <c r="G167" i="15"/>
  <c r="G164" i="15"/>
  <c r="G170" i="15"/>
  <c r="G153" i="15"/>
  <c r="G178" i="15"/>
  <c r="G166" i="15"/>
  <c r="G145" i="15"/>
  <c r="G172" i="15"/>
  <c r="G165" i="15"/>
  <c r="G180" i="15"/>
  <c r="G149" i="15"/>
  <c r="G179" i="15"/>
  <c r="G157" i="15"/>
  <c r="G174" i="15"/>
  <c r="G162" i="15"/>
  <c r="G159" i="15"/>
  <c r="G176" i="15"/>
  <c r="G146" i="15"/>
  <c r="G155" i="15"/>
  <c r="G173" i="15"/>
  <c r="G148" i="15"/>
  <c r="G169" i="15"/>
  <c r="G160" i="15"/>
  <c r="G168" i="15"/>
  <c r="G142" i="15"/>
  <c r="G150" i="15"/>
  <c r="G147" i="15"/>
  <c r="G151" i="15"/>
  <c r="G171" i="15"/>
  <c r="G154" i="15"/>
  <c r="G175" i="15"/>
  <c r="G140" i="15"/>
  <c r="G181" i="15"/>
  <c r="G156" i="15"/>
  <c r="G152" i="15"/>
  <c r="G144" i="15"/>
  <c r="G141" i="15"/>
  <c r="G139" i="15"/>
  <c r="G143" i="15"/>
  <c r="G158" i="15"/>
  <c r="G163" i="15"/>
  <c r="G161" i="15"/>
  <c r="B148" i="15"/>
  <c r="B157" i="15"/>
  <c r="B140" i="15"/>
  <c r="B155" i="15"/>
  <c r="B160" i="15"/>
  <c r="B177" i="15"/>
  <c r="B158" i="15"/>
  <c r="B170" i="15"/>
  <c r="B175" i="15"/>
  <c r="B174" i="15"/>
  <c r="B171" i="15"/>
  <c r="B152" i="15"/>
  <c r="B154" i="15"/>
  <c r="B145" i="15"/>
  <c r="C48" i="33" l="1"/>
  <c r="D37" i="14"/>
  <c r="G37" i="14"/>
  <c r="E37" i="14"/>
  <c r="W115" i="15"/>
  <c r="F37" i="14"/>
  <c r="C37" i="14"/>
  <c r="H37" i="14"/>
  <c r="E25" i="15" s="1"/>
  <c r="H5" i="119"/>
  <c r="C83" i="119" s="1"/>
  <c r="D83" i="119" s="1"/>
  <c r="C84" i="119"/>
  <c r="D84" i="119" s="1"/>
  <c r="I5" i="119"/>
  <c r="C85" i="119" s="1"/>
  <c r="D85" i="119" s="1"/>
  <c r="E24" i="15"/>
  <c r="G136" i="15"/>
  <c r="F83" i="6"/>
  <c r="F136" i="15"/>
  <c r="E100" i="34"/>
  <c r="C100" i="34"/>
  <c r="C37" i="34"/>
  <c r="D100" i="34"/>
  <c r="C38" i="34"/>
  <c r="E101" i="34"/>
  <c r="D101" i="34"/>
  <c r="C101" i="34"/>
  <c r="C95" i="34"/>
  <c r="D85" i="34" s="1"/>
  <c r="E95" i="34"/>
  <c r="F85" i="34" s="1"/>
  <c r="D95" i="34"/>
  <c r="B203" i="119"/>
  <c r="L101" i="119"/>
  <c r="C77" i="119"/>
  <c r="D77" i="119" s="1"/>
  <c r="D61" i="34"/>
  <c r="C61" i="34"/>
  <c r="D32" i="34"/>
  <c r="E61" i="34"/>
  <c r="C53" i="34"/>
  <c r="E110" i="34"/>
  <c r="D110" i="34"/>
  <c r="C110" i="34"/>
  <c r="F178" i="15"/>
  <c r="F147" i="15"/>
  <c r="F154" i="15"/>
  <c r="F177" i="15"/>
  <c r="F144" i="15"/>
  <c r="F155" i="15"/>
  <c r="F150" i="15"/>
  <c r="F171" i="15"/>
  <c r="F158" i="15"/>
  <c r="F166" i="15"/>
  <c r="F169" i="15"/>
  <c r="F145" i="15"/>
  <c r="F156" i="15"/>
  <c r="F142" i="15"/>
  <c r="F139" i="15"/>
  <c r="F161" i="15"/>
  <c r="F157" i="15"/>
  <c r="F153" i="15"/>
  <c r="F162" i="15"/>
  <c r="F141" i="15"/>
  <c r="F151" i="15"/>
  <c r="F146" i="15"/>
  <c r="F181" i="15"/>
  <c r="F174" i="15"/>
  <c r="F173" i="15"/>
  <c r="F179" i="15"/>
  <c r="F163" i="15"/>
  <c r="F152" i="15"/>
  <c r="F148" i="15"/>
  <c r="F180" i="15"/>
  <c r="F164" i="15"/>
  <c r="F143" i="15"/>
  <c r="F140" i="15"/>
  <c r="F149" i="15"/>
  <c r="F167" i="15"/>
  <c r="F165" i="15"/>
  <c r="F176" i="15"/>
  <c r="F175" i="15"/>
  <c r="F168" i="15"/>
  <c r="F172" i="15"/>
  <c r="F159" i="15"/>
  <c r="F160" i="15"/>
  <c r="F170" i="15"/>
  <c r="L103" i="119" l="1"/>
  <c r="F100" i="34"/>
  <c r="F101" i="34"/>
  <c r="D38" i="34"/>
  <c r="D116" i="34"/>
  <c r="D67" i="34"/>
  <c r="C116" i="34"/>
  <c r="C67" i="34"/>
  <c r="E67" i="34"/>
  <c r="E116" i="34"/>
  <c r="E66" i="34"/>
  <c r="D66" i="34"/>
  <c r="E115" i="34"/>
  <c r="C115" i="34"/>
  <c r="D37" i="34"/>
  <c r="D115" i="34"/>
  <c r="C66" i="34"/>
  <c r="C54" i="34"/>
  <c r="F95" i="34"/>
  <c r="G85" i="34" s="1"/>
  <c r="E85" i="34"/>
  <c r="C203" i="119"/>
  <c r="D203" i="119" s="1"/>
  <c r="F110" i="34"/>
  <c r="C22" i="33"/>
  <c r="F116" i="34" l="1"/>
  <c r="F115" i="34"/>
  <c r="B204" i="119"/>
  <c r="C204" i="119" s="1"/>
  <c r="B205" i="119" s="1"/>
  <c r="D204" i="119" l="1"/>
  <c r="C205" i="119"/>
  <c r="D205" i="119" s="1"/>
  <c r="B206" i="119" l="1"/>
  <c r="F47" i="34" l="1"/>
  <c r="C47" i="34" s="1"/>
  <c r="K139" i="15"/>
  <c r="K140" i="15"/>
  <c r="K141" i="15"/>
  <c r="K142" i="15"/>
  <c r="K143" i="15"/>
  <c r="K144" i="15"/>
  <c r="K145" i="15"/>
  <c r="K146" i="15"/>
  <c r="K147" i="15"/>
  <c r="K148" i="15"/>
  <c r="K149" i="15"/>
  <c r="K150" i="15"/>
  <c r="K151" i="15"/>
  <c r="K152" i="15"/>
  <c r="K153" i="15"/>
  <c r="K154" i="15"/>
  <c r="K155" i="15"/>
  <c r="K156" i="15"/>
  <c r="K157" i="15"/>
  <c r="K158" i="15"/>
  <c r="K159" i="15"/>
  <c r="K160" i="15"/>
  <c r="K161" i="15"/>
  <c r="K162" i="15"/>
  <c r="K163" i="15"/>
  <c r="K164" i="15"/>
  <c r="K165" i="15"/>
  <c r="K166" i="15"/>
  <c r="K167" i="15"/>
  <c r="K168" i="15"/>
  <c r="K169" i="15"/>
  <c r="K170" i="15"/>
  <c r="K171" i="15"/>
  <c r="K172" i="15"/>
  <c r="K173" i="15"/>
  <c r="K174" i="15"/>
  <c r="K175" i="15"/>
  <c r="K176" i="15"/>
  <c r="K177" i="15"/>
  <c r="K178" i="15"/>
  <c r="K179" i="15"/>
  <c r="K180" i="15"/>
  <c r="K181" i="15"/>
  <c r="C206" i="119"/>
  <c r="D206" i="119" s="1"/>
  <c r="D47" i="34" l="1"/>
  <c r="C57" i="34"/>
  <c r="B207" i="119"/>
  <c r="C207" i="119" l="1"/>
  <c r="D207" i="119" s="1"/>
  <c r="B208" i="119" l="1"/>
  <c r="C208" i="119" l="1"/>
  <c r="D208" i="119" s="1"/>
  <c r="B209" i="119" l="1"/>
  <c r="C209" i="119" l="1"/>
  <c r="D209" i="119" s="1"/>
  <c r="B210" i="119" l="1"/>
  <c r="D142" i="119" l="1"/>
  <c r="C210" i="119"/>
  <c r="D210" i="119" s="1"/>
  <c r="D145" i="119" l="1"/>
  <c r="D140" i="119"/>
  <c r="D106" i="119"/>
  <c r="B211" i="119"/>
  <c r="C211" i="119" l="1"/>
  <c r="D211" i="119" s="1"/>
  <c r="Z65" i="15" l="1"/>
  <c r="B212" i="119"/>
  <c r="C212" i="119" l="1"/>
  <c r="D212" i="119" s="1"/>
  <c r="B213" i="119" l="1"/>
  <c r="Z66" i="15" l="1"/>
  <c r="C213" i="119"/>
  <c r="D213" i="119" s="1"/>
  <c r="B214" i="119" l="1"/>
  <c r="C214" i="119" l="1"/>
  <c r="D214" i="119" s="1"/>
  <c r="Z67" i="15" l="1"/>
  <c r="B215" i="119"/>
  <c r="C215" i="119" l="1"/>
  <c r="D215" i="119" s="1"/>
  <c r="B216" i="119" l="1"/>
  <c r="C216" i="119" l="1"/>
  <c r="D216" i="119" s="1"/>
  <c r="Z68" i="15" l="1"/>
  <c r="B217" i="119"/>
  <c r="C217" i="119" l="1"/>
  <c r="D217" i="119" s="1"/>
  <c r="B218" i="119" l="1"/>
  <c r="C218" i="119" l="1"/>
  <c r="D218" i="119" s="1"/>
  <c r="Z69" i="15" l="1"/>
  <c r="B219" i="119"/>
  <c r="C219" i="119" l="1"/>
  <c r="D219" i="119" s="1"/>
  <c r="B220" i="119" l="1"/>
  <c r="C220" i="119" l="1"/>
  <c r="D220" i="119" s="1"/>
  <c r="Z70" i="15" l="1"/>
  <c r="B221" i="119"/>
  <c r="C221" i="119" l="1"/>
  <c r="D221" i="119" s="1"/>
  <c r="D223" i="119" l="1"/>
  <c r="H220" i="119" s="1"/>
  <c r="Z71" i="15" l="1"/>
  <c r="H221" i="119"/>
  <c r="H202" i="119"/>
  <c r="I202" i="119" s="1"/>
  <c r="H203" i="119"/>
  <c r="H204" i="119"/>
  <c r="H205" i="119"/>
  <c r="H206" i="119"/>
  <c r="H207" i="119"/>
  <c r="H208" i="119"/>
  <c r="H209" i="119"/>
  <c r="H210" i="119"/>
  <c r="H211" i="119"/>
  <c r="H212" i="119"/>
  <c r="H213" i="119"/>
  <c r="H214" i="119"/>
  <c r="H215" i="119"/>
  <c r="H216" i="119"/>
  <c r="H217" i="119"/>
  <c r="H218" i="119"/>
  <c r="H219"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Z72" i="15" l="1"/>
  <c r="Z73" i="15" l="1"/>
  <c r="Z74" i="15" l="1"/>
  <c r="Z75" i="15" l="1"/>
  <c r="Z76" i="15" l="1"/>
  <c r="Z77" i="15" l="1"/>
  <c r="Z78" i="15" l="1"/>
  <c r="Z79" i="15" l="1"/>
  <c r="Z80" i="15" l="1"/>
  <c r="Z81" i="15" l="1"/>
  <c r="Z82" i="15" l="1"/>
  <c r="Z83" i="15" l="1"/>
  <c r="Z84" i="15" l="1"/>
  <c r="Z85" i="15" l="1"/>
  <c r="Z86" i="15" l="1"/>
  <c r="Z87" i="15" l="1"/>
  <c r="Z88" i="15" l="1"/>
  <c r="Z89" i="15" l="1"/>
  <c r="Z90" i="15" l="1"/>
  <c r="Z91" i="15" l="1"/>
  <c r="Z92" i="15" l="1"/>
  <c r="Z93" i="15" l="1"/>
  <c r="Z94" i="15" l="1"/>
  <c r="Z95" i="15" l="1"/>
  <c r="Z96" i="15" l="1"/>
  <c r="Z97" i="15" l="1"/>
  <c r="Z98" i="15" l="1"/>
  <c r="Z99" i="15" l="1"/>
  <c r="Z100" i="15" l="1"/>
  <c r="Z101" i="15" l="1"/>
  <c r="Z102" i="15" l="1"/>
  <c r="Z103" i="15" l="1"/>
  <c r="Z104" i="15" l="1"/>
  <c r="Z105" i="15" l="1"/>
  <c r="Z106" i="15" l="1"/>
  <c r="C134" i="6" l="1"/>
  <c r="C27" i="6"/>
  <c r="C28" i="6" s="1"/>
  <c r="B20" i="15"/>
  <c r="B21" i="15" s="1"/>
  <c r="C4" i="119"/>
  <c r="C69" i="6"/>
  <c r="C4" i="24"/>
  <c r="F77" i="6" l="1"/>
  <c r="B17" i="15"/>
  <c r="F75" i="6"/>
  <c r="F82" i="6" s="1"/>
  <c r="C144" i="6" s="1"/>
  <c r="E138" i="6"/>
  <c r="C141" i="6" s="1"/>
  <c r="C145" i="6" s="1"/>
  <c r="E26" i="24"/>
  <c r="G26" i="24" s="1"/>
  <c r="E16" i="24"/>
  <c r="G16" i="24" s="1"/>
  <c r="E24" i="24"/>
  <c r="G24" i="24" s="1"/>
  <c r="D154" i="6"/>
  <c r="E17" i="24"/>
  <c r="G17" i="24" s="1"/>
  <c r="E21" i="24"/>
  <c r="G21" i="24" s="1"/>
  <c r="D153" i="6"/>
  <c r="D148" i="6"/>
  <c r="E148" i="6" s="1"/>
  <c r="D155" i="6"/>
  <c r="E15" i="24"/>
  <c r="G15" i="24" s="1"/>
  <c r="E22" i="24"/>
  <c r="G22" i="24" s="1"/>
  <c r="D151" i="6"/>
  <c r="E151" i="6" s="1"/>
  <c r="E14" i="24"/>
  <c r="G14" i="24" s="1"/>
  <c r="D149" i="6"/>
  <c r="E149" i="6" s="1"/>
  <c r="B57" i="15" s="1"/>
  <c r="D150" i="6"/>
  <c r="E150" i="6" s="1"/>
  <c r="D111" i="6"/>
  <c r="E111" i="6" s="1"/>
  <c r="E113" i="6" s="1"/>
  <c r="D122" i="6"/>
  <c r="E122" i="6" s="1"/>
  <c r="E13" i="24"/>
  <c r="E25" i="24"/>
  <c r="G25" i="24" s="1"/>
  <c r="E23" i="24"/>
  <c r="G23" i="24" s="1"/>
  <c r="E19" i="24"/>
  <c r="G19" i="24" s="1"/>
  <c r="E18" i="24"/>
  <c r="G18" i="24" s="1"/>
  <c r="E20" i="24"/>
  <c r="G20" i="24" s="1"/>
  <c r="D199" i="119"/>
  <c r="H4" i="119"/>
  <c r="I4" i="119"/>
  <c r="C82" i="119" s="1"/>
  <c r="D82" i="119" s="1"/>
  <c r="C81" i="119"/>
  <c r="D81" i="119" s="1"/>
  <c r="L199" i="15"/>
  <c r="N191" i="15"/>
  <c r="M223" i="15"/>
  <c r="M212" i="15"/>
  <c r="M197" i="15"/>
  <c r="N223" i="15"/>
  <c r="L222" i="15"/>
  <c r="L216" i="15"/>
  <c r="I207" i="15"/>
  <c r="I213" i="15"/>
  <c r="C222" i="15"/>
  <c r="H210" i="15"/>
  <c r="E211" i="15"/>
  <c r="D203" i="15"/>
  <c r="I189" i="15"/>
  <c r="C228" i="15"/>
  <c r="I197" i="15"/>
  <c r="D193" i="15"/>
  <c r="AE72" i="15"/>
  <c r="C200" i="15"/>
  <c r="H199" i="15"/>
  <c r="M225" i="15"/>
  <c r="AE98" i="15"/>
  <c r="O94" i="15"/>
  <c r="O105" i="15"/>
  <c r="E205" i="15"/>
  <c r="C217" i="15"/>
  <c r="N203" i="15"/>
  <c r="C194" i="15"/>
  <c r="D218" i="15"/>
  <c r="H197" i="15"/>
  <c r="H211" i="15"/>
  <c r="E195" i="15"/>
  <c r="B193" i="15"/>
  <c r="AE106" i="15"/>
  <c r="D194" i="15"/>
  <c r="H226" i="15"/>
  <c r="L217" i="15"/>
  <c r="M222" i="15"/>
  <c r="D213" i="15"/>
  <c r="H220" i="15"/>
  <c r="N198" i="15"/>
  <c r="I228" i="15"/>
  <c r="E200" i="15"/>
  <c r="I193" i="15"/>
  <c r="L196" i="15"/>
  <c r="AE93" i="15"/>
  <c r="N192" i="15"/>
  <c r="H228" i="15"/>
  <c r="I206" i="15"/>
  <c r="H192" i="15"/>
  <c r="H205" i="15"/>
  <c r="C226" i="15"/>
  <c r="L207" i="15"/>
  <c r="AE68" i="15"/>
  <c r="AE101" i="15"/>
  <c r="N199" i="15"/>
  <c r="B228" i="15"/>
  <c r="O90" i="15"/>
  <c r="O93" i="15"/>
  <c r="E222" i="15"/>
  <c r="D216" i="15"/>
  <c r="M221" i="15"/>
  <c r="C189" i="15"/>
  <c r="D220" i="15"/>
  <c r="AE70" i="15"/>
  <c r="I226" i="15"/>
  <c r="AE100" i="15"/>
  <c r="L219" i="15"/>
  <c r="I191" i="15"/>
  <c r="I192" i="15"/>
  <c r="L227" i="15"/>
  <c r="E191" i="15"/>
  <c r="L193" i="15"/>
  <c r="AE85" i="15"/>
  <c r="H216" i="15"/>
  <c r="N221" i="15"/>
  <c r="H207" i="15"/>
  <c r="C197" i="15"/>
  <c r="E228" i="15"/>
  <c r="C218" i="15"/>
  <c r="M191" i="15"/>
  <c r="H224" i="15"/>
  <c r="M194" i="15"/>
  <c r="M208" i="15"/>
  <c r="C191" i="15"/>
  <c r="C214" i="15"/>
  <c r="E226" i="15"/>
  <c r="C206" i="15"/>
  <c r="L220" i="15"/>
  <c r="AE87" i="15"/>
  <c r="O95" i="15"/>
  <c r="O75" i="15"/>
  <c r="O85" i="15"/>
  <c r="B211" i="15"/>
  <c r="B206" i="15"/>
  <c r="B198" i="15"/>
  <c r="I203" i="15"/>
  <c r="C204" i="15"/>
  <c r="O82" i="15"/>
  <c r="M189" i="15"/>
  <c r="N225" i="15"/>
  <c r="D215" i="15"/>
  <c r="N210" i="15"/>
  <c r="I208" i="15"/>
  <c r="N226" i="15"/>
  <c r="E193" i="15"/>
  <c r="AE75" i="15"/>
  <c r="E212" i="15"/>
  <c r="D225" i="15"/>
  <c r="D199" i="15"/>
  <c r="D207" i="15"/>
  <c r="D192" i="15"/>
  <c r="H217" i="15"/>
  <c r="L189" i="15"/>
  <c r="E198" i="15"/>
  <c r="D190" i="15"/>
  <c r="H209" i="15"/>
  <c r="E190" i="15"/>
  <c r="L213" i="15"/>
  <c r="I209" i="15"/>
  <c r="N193" i="15"/>
  <c r="L215" i="15"/>
  <c r="B212" i="15"/>
  <c r="O70" i="15"/>
  <c r="O77" i="15"/>
  <c r="O89" i="15"/>
  <c r="E197" i="15"/>
  <c r="E217" i="15"/>
  <c r="AE73" i="15"/>
  <c r="H218" i="15"/>
  <c r="C216" i="15"/>
  <c r="I223" i="15"/>
  <c r="I214" i="15"/>
  <c r="D212" i="15"/>
  <c r="D202" i="15"/>
  <c r="M195" i="15"/>
  <c r="I205" i="15"/>
  <c r="AE95" i="15"/>
  <c r="L214" i="15"/>
  <c r="AE83" i="15"/>
  <c r="L195" i="15"/>
  <c r="H198" i="15"/>
  <c r="D211" i="15"/>
  <c r="E201" i="15"/>
  <c r="I190" i="15"/>
  <c r="H214" i="15"/>
  <c r="H219" i="15"/>
  <c r="E206" i="15"/>
  <c r="D198" i="15"/>
  <c r="H202" i="15"/>
  <c r="H204" i="15"/>
  <c r="M218" i="15"/>
  <c r="E221" i="15"/>
  <c r="O87" i="15"/>
  <c r="O106" i="15"/>
  <c r="O73" i="15"/>
  <c r="C199" i="15"/>
  <c r="B191" i="15"/>
  <c r="C225" i="15"/>
  <c r="AE89" i="15"/>
  <c r="N206" i="15"/>
  <c r="B210" i="15"/>
  <c r="N209" i="15"/>
  <c r="C203" i="15"/>
  <c r="L224" i="15"/>
  <c r="N222" i="15"/>
  <c r="L226" i="15"/>
  <c r="N211" i="15"/>
  <c r="E219" i="15"/>
  <c r="I200" i="15"/>
  <c r="D196" i="15"/>
  <c r="D197" i="15"/>
  <c r="M227" i="15"/>
  <c r="D206" i="15"/>
  <c r="AE78" i="15"/>
  <c r="L228" i="15"/>
  <c r="E209" i="15"/>
  <c r="H189" i="15"/>
  <c r="M204" i="15"/>
  <c r="C196" i="15"/>
  <c r="D189" i="15"/>
  <c r="L225" i="15"/>
  <c r="M206" i="15"/>
  <c r="I225" i="15"/>
  <c r="N218" i="15"/>
  <c r="B200" i="15"/>
  <c r="O102" i="15"/>
  <c r="O69" i="15"/>
  <c r="O91" i="15"/>
  <c r="O88" i="15"/>
  <c r="C223" i="15"/>
  <c r="M196" i="15"/>
  <c r="O98" i="15"/>
  <c r="H196" i="15"/>
  <c r="N204" i="15"/>
  <c r="AE69" i="15"/>
  <c r="M209" i="15"/>
  <c r="C201" i="15"/>
  <c r="H221" i="15"/>
  <c r="H213" i="15"/>
  <c r="I217" i="15"/>
  <c r="M216" i="15"/>
  <c r="N197" i="15"/>
  <c r="C219" i="15"/>
  <c r="L209" i="15"/>
  <c r="C213" i="15"/>
  <c r="C207" i="15"/>
  <c r="L190" i="15"/>
  <c r="C220" i="15"/>
  <c r="M200" i="15"/>
  <c r="N227" i="15"/>
  <c r="M205" i="15"/>
  <c r="N208" i="15"/>
  <c r="N219" i="15"/>
  <c r="L192" i="15"/>
  <c r="O107" i="15"/>
  <c r="B219" i="15"/>
  <c r="B226" i="15"/>
  <c r="O92" i="15"/>
  <c r="B196" i="15"/>
  <c r="H206" i="15"/>
  <c r="H212" i="15"/>
  <c r="C227" i="15"/>
  <c r="AE79" i="15"/>
  <c r="AE94" i="15"/>
  <c r="M217" i="15"/>
  <c r="I220" i="15"/>
  <c r="N216" i="15"/>
  <c r="E203" i="15"/>
  <c r="C212" i="15"/>
  <c r="AE74" i="15"/>
  <c r="AE84" i="15"/>
  <c r="H203" i="15"/>
  <c r="M199" i="15"/>
  <c r="AE71" i="15"/>
  <c r="L210" i="15"/>
  <c r="E216" i="15"/>
  <c r="AE99" i="15"/>
  <c r="AE104" i="15"/>
  <c r="I210" i="15"/>
  <c r="E194" i="15"/>
  <c r="E215" i="15"/>
  <c r="E220" i="15"/>
  <c r="AE82" i="15"/>
  <c r="B189" i="15"/>
  <c r="B220" i="15"/>
  <c r="B215" i="15"/>
  <c r="B214" i="15"/>
  <c r="O104" i="15"/>
  <c r="B208" i="15"/>
  <c r="AE96" i="15"/>
  <c r="L203" i="15"/>
  <c r="D210" i="15"/>
  <c r="I202" i="15"/>
  <c r="L202" i="15"/>
  <c r="E189" i="15"/>
  <c r="N205" i="15"/>
  <c r="L204" i="15"/>
  <c r="C211" i="15"/>
  <c r="I211" i="15"/>
  <c r="AE81" i="15"/>
  <c r="N220" i="15"/>
  <c r="D223" i="15"/>
  <c r="N215" i="15"/>
  <c r="H208" i="15"/>
  <c r="E224" i="15"/>
  <c r="AE92" i="15"/>
  <c r="M201" i="15"/>
  <c r="D227" i="15"/>
  <c r="AE97" i="15"/>
  <c r="L205" i="15"/>
  <c r="M203" i="15"/>
  <c r="AE91" i="15"/>
  <c r="C210" i="15"/>
  <c r="L200" i="15"/>
  <c r="M190" i="15"/>
  <c r="B216" i="15"/>
  <c r="B194" i="15"/>
  <c r="AE90" i="15"/>
  <c r="C215" i="15"/>
  <c r="H201" i="15"/>
  <c r="O68" i="15"/>
  <c r="C193" i="15"/>
  <c r="D217" i="15"/>
  <c r="H225" i="15"/>
  <c r="C190" i="15"/>
  <c r="D205" i="15"/>
  <c r="C202" i="15"/>
  <c r="C208" i="15"/>
  <c r="C209" i="15"/>
  <c r="L211" i="15"/>
  <c r="D201" i="15"/>
  <c r="C192" i="15"/>
  <c r="M207" i="15"/>
  <c r="M224" i="15"/>
  <c r="E199" i="15"/>
  <c r="D226" i="15"/>
  <c r="L218" i="15"/>
  <c r="N201" i="15"/>
  <c r="L206" i="15"/>
  <c r="M213" i="15"/>
  <c r="D214" i="15"/>
  <c r="AE103" i="15"/>
  <c r="B203" i="15"/>
  <c r="B190" i="15"/>
  <c r="E196" i="15"/>
  <c r="E210" i="15"/>
  <c r="B225" i="15"/>
  <c r="H222" i="15"/>
  <c r="D204" i="15"/>
  <c r="D224" i="15"/>
  <c r="AE105" i="15"/>
  <c r="M193" i="15"/>
  <c r="H190" i="15"/>
  <c r="I212" i="15"/>
  <c r="I218" i="15"/>
  <c r="L198" i="15"/>
  <c r="E227" i="15"/>
  <c r="C221" i="15"/>
  <c r="E202" i="15"/>
  <c r="N212" i="15"/>
  <c r="N224" i="15"/>
  <c r="AE86" i="15"/>
  <c r="N194" i="15"/>
  <c r="M226" i="15"/>
  <c r="I196" i="15"/>
  <c r="H193" i="15"/>
  <c r="I216" i="15"/>
  <c r="C195" i="15"/>
  <c r="B213" i="15"/>
  <c r="I227" i="15"/>
  <c r="C224" i="15"/>
  <c r="D209" i="15"/>
  <c r="H195" i="15"/>
  <c r="I199" i="15"/>
  <c r="L201" i="15"/>
  <c r="I201" i="15"/>
  <c r="N200" i="15"/>
  <c r="E218" i="15"/>
  <c r="AE102" i="15"/>
  <c r="N207" i="15"/>
  <c r="M228" i="15"/>
  <c r="N213" i="15"/>
  <c r="D195" i="15"/>
  <c r="I219" i="15"/>
  <c r="I195" i="15"/>
  <c r="E207" i="15"/>
  <c r="D221" i="15"/>
  <c r="N195" i="15"/>
  <c r="C198" i="15"/>
  <c r="N217" i="15"/>
  <c r="M211" i="15"/>
  <c r="O76" i="15"/>
  <c r="O79" i="15"/>
  <c r="I221" i="15"/>
  <c r="M202" i="15"/>
  <c r="D228" i="15"/>
  <c r="M198" i="15"/>
  <c r="B209" i="15"/>
  <c r="AE80" i="15"/>
  <c r="E223" i="15"/>
  <c r="AE88" i="15"/>
  <c r="M219" i="15"/>
  <c r="M215" i="15"/>
  <c r="I198" i="15"/>
  <c r="H200" i="15"/>
  <c r="L194" i="15"/>
  <c r="E214" i="15"/>
  <c r="D208" i="15"/>
  <c r="L197" i="15"/>
  <c r="H194" i="15"/>
  <c r="N214" i="15"/>
  <c r="AE76" i="15"/>
  <c r="AE107" i="15"/>
  <c r="L223" i="15"/>
  <c r="M192" i="15"/>
  <c r="N202" i="15"/>
  <c r="H215" i="15"/>
  <c r="D222" i="15"/>
  <c r="H227" i="15"/>
  <c r="H223" i="15"/>
  <c r="O72" i="15"/>
  <c r="B227" i="15"/>
  <c r="L212" i="15"/>
  <c r="M220" i="15"/>
  <c r="O99" i="15"/>
  <c r="B197" i="15"/>
  <c r="E213" i="15"/>
  <c r="D200" i="15"/>
  <c r="E208" i="15"/>
  <c r="M210" i="15"/>
  <c r="L208" i="15"/>
  <c r="C205" i="15"/>
  <c r="I222" i="15"/>
  <c r="N196" i="15"/>
  <c r="E192" i="15"/>
  <c r="L191" i="15"/>
  <c r="H191" i="15"/>
  <c r="E204" i="15"/>
  <c r="D219" i="15"/>
  <c r="L221" i="15"/>
  <c r="N189" i="15"/>
  <c r="D191" i="15"/>
  <c r="N228" i="15"/>
  <c r="AE77" i="15"/>
  <c r="I215" i="15"/>
  <c r="I204" i="15"/>
  <c r="I224" i="15"/>
  <c r="I194" i="15"/>
  <c r="B223" i="15"/>
  <c r="M214" i="15"/>
  <c r="E225" i="15"/>
  <c r="N190" i="15"/>
  <c r="B195" i="15"/>
  <c r="G221" i="15"/>
  <c r="G192" i="15"/>
  <c r="G217" i="15"/>
  <c r="G211" i="15"/>
  <c r="G210" i="15"/>
  <c r="B204" i="15"/>
  <c r="O96" i="15"/>
  <c r="G203" i="15"/>
  <c r="G205" i="15"/>
  <c r="B201" i="15"/>
  <c r="O83" i="15"/>
  <c r="B217" i="15"/>
  <c r="G201" i="15"/>
  <c r="G207" i="15"/>
  <c r="G208" i="15"/>
  <c r="O86" i="15"/>
  <c r="O81" i="15"/>
  <c r="G206" i="15"/>
  <c r="G200" i="15"/>
  <c r="G190" i="15"/>
  <c r="G220" i="15"/>
  <c r="B207" i="15"/>
  <c r="B202" i="15"/>
  <c r="G194" i="15"/>
  <c r="G216" i="15"/>
  <c r="O71" i="15"/>
  <c r="B218" i="15"/>
  <c r="G225" i="15"/>
  <c r="G219" i="15"/>
  <c r="B192" i="15"/>
  <c r="O97" i="15"/>
  <c r="G198" i="15"/>
  <c r="G193" i="15"/>
  <c r="O74" i="15"/>
  <c r="O100" i="15"/>
  <c r="O84" i="15"/>
  <c r="G189" i="15"/>
  <c r="G214" i="15"/>
  <c r="B205" i="15"/>
  <c r="G215" i="15"/>
  <c r="G218" i="15"/>
  <c r="G223" i="15"/>
  <c r="B221" i="15"/>
  <c r="O78" i="15"/>
  <c r="O101" i="15"/>
  <c r="G209" i="15"/>
  <c r="G222" i="15"/>
  <c r="G199" i="15"/>
  <c r="B199" i="15"/>
  <c r="B222" i="15"/>
  <c r="G202" i="15"/>
  <c r="G213" i="15"/>
  <c r="G196" i="15"/>
  <c r="B224" i="15"/>
  <c r="G197" i="15"/>
  <c r="G226" i="15"/>
  <c r="G228" i="15"/>
  <c r="O103" i="15"/>
  <c r="G224" i="15"/>
  <c r="G191" i="15"/>
  <c r="G212" i="15"/>
  <c r="O80" i="15"/>
  <c r="G195" i="15"/>
  <c r="G227" i="15"/>
  <c r="G204" i="15"/>
  <c r="F86" i="34"/>
  <c r="F213" i="15"/>
  <c r="F193" i="15"/>
  <c r="F200" i="15"/>
  <c r="F224" i="15"/>
  <c r="F225" i="15"/>
  <c r="F217" i="15"/>
  <c r="F220" i="15"/>
  <c r="F201" i="15"/>
  <c r="F206" i="15"/>
  <c r="F216" i="15"/>
  <c r="F203" i="15"/>
  <c r="F228" i="15"/>
  <c r="F192" i="15"/>
  <c r="F198" i="15"/>
  <c r="F189" i="15"/>
  <c r="F211" i="15"/>
  <c r="F194" i="15"/>
  <c r="F195" i="15"/>
  <c r="F209" i="15"/>
  <c r="F219" i="15"/>
  <c r="F222" i="15"/>
  <c r="D86" i="34"/>
  <c r="F204" i="15"/>
  <c r="F221" i="15"/>
  <c r="F227" i="15"/>
  <c r="F210" i="15"/>
  <c r="F205" i="15"/>
  <c r="F190" i="15"/>
  <c r="F196" i="15"/>
  <c r="F215" i="15"/>
  <c r="F199" i="15"/>
  <c r="F197" i="15"/>
  <c r="F226" i="15"/>
  <c r="F207" i="15"/>
  <c r="F223" i="15"/>
  <c r="F191" i="15"/>
  <c r="F202" i="15"/>
  <c r="F212" i="15"/>
  <c r="F218" i="15"/>
  <c r="F208" i="15"/>
  <c r="F214" i="15"/>
  <c r="E86" i="34"/>
  <c r="G86" i="34"/>
  <c r="Q76" i="15"/>
  <c r="Q69" i="15"/>
  <c r="Q77" i="15"/>
  <c r="K208" i="15"/>
  <c r="K197" i="15"/>
  <c r="K194" i="15"/>
  <c r="Q75" i="15"/>
  <c r="Q105" i="15"/>
  <c r="Q87" i="15"/>
  <c r="K200" i="15"/>
  <c r="K189" i="15"/>
  <c r="K225" i="15"/>
  <c r="Q90" i="15"/>
  <c r="Q100" i="15"/>
  <c r="Q95" i="15"/>
  <c r="K192" i="15"/>
  <c r="K228" i="15"/>
  <c r="K217" i="15"/>
  <c r="Q74" i="15"/>
  <c r="Q84" i="15"/>
  <c r="Q79" i="15"/>
  <c r="K223" i="15"/>
  <c r="K220" i="15"/>
  <c r="K209" i="15"/>
  <c r="Q93" i="15"/>
  <c r="Q68" i="15"/>
  <c r="Q107" i="15"/>
  <c r="K215" i="15"/>
  <c r="K212" i="15"/>
  <c r="K201" i="15"/>
  <c r="Q89" i="15"/>
  <c r="Q106" i="15"/>
  <c r="Q102" i="15"/>
  <c r="K207" i="15"/>
  <c r="K204" i="15"/>
  <c r="K193" i="15"/>
  <c r="K216" i="15"/>
  <c r="Q73" i="15"/>
  <c r="Q99" i="15"/>
  <c r="Q94" i="15"/>
  <c r="K199" i="15"/>
  <c r="K196" i="15"/>
  <c r="K202" i="15"/>
  <c r="Q88" i="15"/>
  <c r="Q83" i="15"/>
  <c r="Q78" i="15"/>
  <c r="K191" i="15"/>
  <c r="K227" i="15"/>
  <c r="Q72" i="15"/>
  <c r="Q98" i="15"/>
  <c r="K222" i="15"/>
  <c r="K219" i="15"/>
  <c r="K205" i="15"/>
  <c r="Q71" i="15"/>
  <c r="Q82" i="15"/>
  <c r="K214" i="15"/>
  <c r="K211" i="15"/>
  <c r="Q80" i="15"/>
  <c r="Q92" i="15"/>
  <c r="Q91" i="15"/>
  <c r="K206" i="15"/>
  <c r="K203" i="15"/>
  <c r="Q86" i="15"/>
  <c r="Q97" i="15"/>
  <c r="K198" i="15"/>
  <c r="K195" i="15"/>
  <c r="Q70" i="15"/>
  <c r="Q81" i="15"/>
  <c r="K190" i="15"/>
  <c r="K226" i="15"/>
  <c r="Q104" i="15"/>
  <c r="Q103" i="15"/>
  <c r="K221" i="15"/>
  <c r="K218" i="15"/>
  <c r="Q85" i="15"/>
  <c r="Q101" i="15"/>
  <c r="Q96" i="15"/>
  <c r="K224" i="15"/>
  <c r="K213" i="15"/>
  <c r="K210" i="15"/>
  <c r="E115" i="6" l="1"/>
  <c r="G231" i="15"/>
  <c r="M231" i="15"/>
  <c r="N231" i="15"/>
  <c r="H231" i="15"/>
  <c r="L231" i="15"/>
  <c r="P93" i="15"/>
  <c r="P85" i="15"/>
  <c r="P77" i="15"/>
  <c r="P99" i="15"/>
  <c r="P102" i="15"/>
  <c r="P86" i="15"/>
  <c r="P70" i="15"/>
  <c r="P91" i="15"/>
  <c r="P101" i="15"/>
  <c r="P71" i="15"/>
  <c r="P74" i="15"/>
  <c r="P72" i="15"/>
  <c r="P88" i="15"/>
  <c r="P104" i="15"/>
  <c r="P100" i="15"/>
  <c r="P106" i="15"/>
  <c r="P92" i="15"/>
  <c r="P79" i="15"/>
  <c r="P68" i="15"/>
  <c r="P95" i="15"/>
  <c r="P69" i="15"/>
  <c r="P107" i="15"/>
  <c r="P75" i="15"/>
  <c r="P89" i="15"/>
  <c r="P96" i="15"/>
  <c r="P94" i="15"/>
  <c r="P73" i="15"/>
  <c r="P90" i="15"/>
  <c r="P97" i="15"/>
  <c r="P98" i="15"/>
  <c r="P76" i="15"/>
  <c r="P83" i="15"/>
  <c r="P105" i="15"/>
  <c r="P82" i="15"/>
  <c r="P81" i="15"/>
  <c r="P78" i="15"/>
  <c r="P84" i="15"/>
  <c r="P80" i="15"/>
  <c r="P103" i="15"/>
  <c r="P87" i="15"/>
  <c r="E231" i="15"/>
  <c r="F231" i="15"/>
  <c r="C231" i="15"/>
  <c r="I231" i="15"/>
  <c r="L102" i="119"/>
  <c r="C80" i="119"/>
  <c r="D80" i="119" s="1"/>
  <c r="O115" i="15"/>
  <c r="B122" i="15" s="1"/>
  <c r="O116" i="15"/>
  <c r="O114" i="15"/>
  <c r="B18" i="15"/>
  <c r="B19" i="15"/>
  <c r="K231" i="15"/>
  <c r="C23" i="33"/>
  <c r="J36" i="33"/>
  <c r="C21" i="33"/>
  <c r="Q114" i="15"/>
  <c r="Q115" i="15"/>
  <c r="B124" i="15" s="1"/>
  <c r="Q116" i="15"/>
  <c r="B231" i="15"/>
  <c r="AE116" i="15"/>
  <c r="AC55" i="15" s="1"/>
  <c r="AC57" i="15" s="1"/>
  <c r="E27" i="24"/>
  <c r="G13" i="24"/>
  <c r="G27" i="24" s="1"/>
  <c r="D231" i="15"/>
  <c r="C38" i="33"/>
  <c r="Q118" i="15" l="1"/>
  <c r="L48" i="119" s="1"/>
  <c r="E156" i="119" s="1"/>
  <c r="C232" i="15"/>
  <c r="C233" i="15" s="1"/>
  <c r="I33" i="34" s="1"/>
  <c r="C53" i="33"/>
  <c r="C55" i="33" s="1"/>
  <c r="F232" i="15"/>
  <c r="F233" i="15" s="1"/>
  <c r="I37" i="34" s="1"/>
  <c r="E232" i="15"/>
  <c r="C68" i="33"/>
  <c r="C24" i="33"/>
  <c r="K232" i="15"/>
  <c r="K233" i="15" s="1"/>
  <c r="I47" i="34" s="1"/>
  <c r="P116" i="15"/>
  <c r="P117" i="15" s="1"/>
  <c r="U48" i="119" s="1"/>
  <c r="E166" i="119" s="1"/>
  <c r="P115" i="15"/>
  <c r="B123" i="15" s="1"/>
  <c r="P114" i="15"/>
  <c r="O117" i="15"/>
  <c r="T48" i="119" s="1"/>
  <c r="E165" i="119" s="1"/>
  <c r="D232" i="15"/>
  <c r="L232" i="15"/>
  <c r="C5" i="24"/>
  <c r="C88" i="6"/>
  <c r="H232" i="15"/>
  <c r="N232" i="15"/>
  <c r="M232" i="15"/>
  <c r="B232" i="15"/>
  <c r="B233" i="15" s="1"/>
  <c r="I32" i="34" s="1"/>
  <c r="I232" i="15"/>
  <c r="G232" i="15"/>
  <c r="G233" i="15" s="1"/>
  <c r="I38" i="34" s="1"/>
  <c r="C95" i="6" l="1"/>
  <c r="E94" i="6"/>
  <c r="C83" i="33"/>
  <c r="C107" i="33"/>
  <c r="C82" i="33"/>
  <c r="C95" i="33"/>
  <c r="C94" i="33"/>
  <c r="C99" i="33"/>
  <c r="C98" i="33"/>
  <c r="C106" i="33"/>
  <c r="C26" i="33"/>
  <c r="J133" i="15" s="1"/>
  <c r="C74" i="33"/>
  <c r="J31" i="33" s="1"/>
  <c r="J34" i="33" s="1"/>
  <c r="C75" i="33"/>
  <c r="C70" i="33"/>
  <c r="C71" i="33" s="1"/>
  <c r="D120" i="6"/>
  <c r="E120" i="6" s="1"/>
  <c r="D119" i="6"/>
  <c r="E119" i="6" s="1"/>
  <c r="D121" i="6"/>
  <c r="E121" i="6" s="1"/>
  <c r="D103" i="6"/>
  <c r="E103" i="6" s="1"/>
  <c r="E104" i="6" s="1"/>
  <c r="E106" i="6" s="1"/>
  <c r="B52" i="15" s="1"/>
  <c r="K65" i="15" s="1"/>
  <c r="D116" i="6"/>
  <c r="E116" i="6" s="1"/>
  <c r="D123" i="6"/>
  <c r="E123" i="6" s="1"/>
  <c r="C56" i="33"/>
  <c r="C57" i="33"/>
  <c r="C54" i="33"/>
  <c r="E95" i="6" l="1"/>
  <c r="J40" i="33"/>
  <c r="J25" i="33"/>
  <c r="J23" i="33"/>
  <c r="C78" i="33"/>
  <c r="J38" i="33" s="1"/>
  <c r="G21" i="34"/>
  <c r="K45" i="33"/>
  <c r="F42" i="34"/>
  <c r="J131" i="15"/>
  <c r="D87" i="34"/>
  <c r="D88" i="34" s="1"/>
  <c r="C58" i="33"/>
  <c r="J22" i="33"/>
  <c r="C100" i="33"/>
  <c r="J24" i="33"/>
  <c r="C86" i="33"/>
  <c r="J39" i="33" s="1"/>
  <c r="K114" i="15"/>
  <c r="K115" i="15"/>
  <c r="K116" i="15"/>
  <c r="K117" i="15" s="1"/>
  <c r="Q48" i="119" s="1"/>
  <c r="E162" i="119" s="1"/>
  <c r="F18" i="17" l="1"/>
  <c r="E40" i="17"/>
  <c r="F40" i="17" s="1"/>
  <c r="E49" i="17"/>
  <c r="F49" i="17" s="1"/>
  <c r="E56" i="17"/>
  <c r="F56" i="17" s="1"/>
  <c r="E23" i="17"/>
  <c r="F23" i="17" s="1"/>
  <c r="E36" i="17"/>
  <c r="F36" i="17" s="1"/>
  <c r="E19" i="17"/>
  <c r="F19" i="17" s="1"/>
  <c r="E25" i="17"/>
  <c r="F25" i="17" s="1"/>
  <c r="E38" i="17"/>
  <c r="F38" i="17" s="1"/>
  <c r="E32" i="17"/>
  <c r="F32" i="17" s="1"/>
  <c r="E34" i="17"/>
  <c r="F34" i="17" s="1"/>
  <c r="E21" i="17"/>
  <c r="F21" i="17" s="1"/>
  <c r="E53" i="17"/>
  <c r="F53" i="17" s="1"/>
  <c r="E35" i="17"/>
  <c r="F35" i="17" s="1"/>
  <c r="E44" i="17"/>
  <c r="F44" i="17" s="1"/>
  <c r="E39" i="17"/>
  <c r="F39" i="17" s="1"/>
  <c r="E52" i="17"/>
  <c r="F52" i="17" s="1"/>
  <c r="E28" i="17"/>
  <c r="F28" i="17" s="1"/>
  <c r="E43" i="17"/>
  <c r="F43" i="17" s="1"/>
  <c r="E33" i="17"/>
  <c r="F33" i="17" s="1"/>
  <c r="E22" i="17"/>
  <c r="F22" i="17" s="1"/>
  <c r="E31" i="17"/>
  <c r="F31" i="17" s="1"/>
  <c r="E37" i="17"/>
  <c r="F37" i="17" s="1"/>
  <c r="E57" i="17"/>
  <c r="F57" i="17" s="1"/>
  <c r="E41" i="17"/>
  <c r="F41" i="17" s="1"/>
  <c r="E55" i="17"/>
  <c r="F55" i="17" s="1"/>
  <c r="E46" i="17"/>
  <c r="F46" i="17" s="1"/>
  <c r="E27" i="17"/>
  <c r="F27" i="17" s="1"/>
  <c r="E20" i="17"/>
  <c r="F20" i="17" s="1"/>
  <c r="E51" i="17"/>
  <c r="F51" i="17" s="1"/>
  <c r="E24" i="17"/>
  <c r="F24" i="17" s="1"/>
  <c r="E26" i="17"/>
  <c r="F26" i="17" s="1"/>
  <c r="E54" i="17"/>
  <c r="F54" i="17" s="1"/>
  <c r="E42" i="17"/>
  <c r="F42" i="17" s="1"/>
  <c r="E47" i="17"/>
  <c r="F47" i="17" s="1"/>
  <c r="E30" i="17"/>
  <c r="F30" i="17" s="1"/>
  <c r="E48" i="17"/>
  <c r="F48" i="17" s="1"/>
  <c r="E50" i="17"/>
  <c r="F50" i="17" s="1"/>
  <c r="E29" i="17"/>
  <c r="F29" i="17" s="1"/>
  <c r="E45" i="17"/>
  <c r="F45" i="17" s="1"/>
  <c r="J26" i="33"/>
  <c r="J185" i="15"/>
  <c r="J135" i="15"/>
  <c r="J137" i="15"/>
  <c r="J132" i="15"/>
  <c r="J136" i="15" s="1"/>
  <c r="B42" i="34"/>
  <c r="J134" i="15"/>
  <c r="H21" i="34"/>
  <c r="J41" i="33"/>
  <c r="J27" i="33"/>
  <c r="J178" i="15"/>
  <c r="J225" i="15" l="1"/>
  <c r="H42" i="34"/>
  <c r="E42" i="34"/>
  <c r="B71" i="34"/>
  <c r="G42" i="34"/>
  <c r="B120" i="34"/>
  <c r="B105" i="34"/>
  <c r="K47" i="33"/>
  <c r="H19" i="34" s="1"/>
  <c r="J43" i="33"/>
  <c r="K46" i="33" s="1"/>
  <c r="G19" i="34"/>
  <c r="C89" i="6"/>
  <c r="G20" i="34"/>
  <c r="E156" i="6"/>
  <c r="B58" i="15" s="1"/>
  <c r="J162" i="15"/>
  <c r="J141" i="15"/>
  <c r="J167" i="15"/>
  <c r="J152" i="15"/>
  <c r="J145" i="15"/>
  <c r="J147" i="15"/>
  <c r="J139" i="15"/>
  <c r="J161" i="15"/>
  <c r="J172" i="15"/>
  <c r="J148" i="15"/>
  <c r="J176" i="15"/>
  <c r="J150" i="15"/>
  <c r="J168" i="15"/>
  <c r="J180" i="15"/>
  <c r="J163" i="15"/>
  <c r="J171" i="15"/>
  <c r="J153" i="15"/>
  <c r="J155" i="15"/>
  <c r="J149" i="15"/>
  <c r="J174" i="15"/>
  <c r="J175" i="15"/>
  <c r="J157" i="15"/>
  <c r="J159" i="15"/>
  <c r="J173" i="15"/>
  <c r="J151" i="15"/>
  <c r="J169" i="15"/>
  <c r="J166" i="15"/>
  <c r="J170" i="15"/>
  <c r="J142" i="15"/>
  <c r="J160" i="15"/>
  <c r="J164" i="15"/>
  <c r="J143" i="15"/>
  <c r="J179" i="15"/>
  <c r="J181" i="15"/>
  <c r="J144" i="15"/>
  <c r="J154" i="15"/>
  <c r="J140" i="15"/>
  <c r="J177" i="15"/>
  <c r="J146" i="15"/>
  <c r="J156" i="15"/>
  <c r="J165" i="15"/>
  <c r="J158" i="15"/>
  <c r="C93" i="6" l="1"/>
  <c r="C98" i="6"/>
  <c r="E98" i="6" s="1"/>
  <c r="C92" i="6"/>
  <c r="E92" i="6" s="1"/>
  <c r="J205" i="15"/>
  <c r="J212" i="15"/>
  <c r="J203" i="15"/>
  <c r="J193" i="15"/>
  <c r="J224" i="15"/>
  <c r="J201" i="15"/>
  <c r="J191" i="15"/>
  <c r="J228" i="15"/>
  <c r="J226" i="15"/>
  <c r="J190" i="15"/>
  <c r="J211" i="15"/>
  <c r="J207" i="15"/>
  <c r="J189" i="15"/>
  <c r="J217" i="15"/>
  <c r="J213" i="15"/>
  <c r="J216" i="15"/>
  <c r="J198" i="15"/>
  <c r="J220" i="15"/>
  <c r="J206" i="15"/>
  <c r="J204" i="15"/>
  <c r="J222" i="15"/>
  <c r="J221" i="15"/>
  <c r="J196" i="15"/>
  <c r="J202" i="15"/>
  <c r="J200" i="15"/>
  <c r="J218" i="15"/>
  <c r="J210" i="15"/>
  <c r="J227" i="15"/>
  <c r="J215" i="15"/>
  <c r="J197" i="15"/>
  <c r="J223" i="15"/>
  <c r="J195" i="15"/>
  <c r="J219" i="15"/>
  <c r="J208" i="15"/>
  <c r="J194" i="15"/>
  <c r="J192" i="15"/>
  <c r="J199" i="15"/>
  <c r="J214" i="15"/>
  <c r="J209" i="15"/>
  <c r="R88" i="15"/>
  <c r="R69" i="15"/>
  <c r="R96" i="15"/>
  <c r="R75" i="15"/>
  <c r="G22" i="34"/>
  <c r="R93" i="15"/>
  <c r="R107" i="15"/>
  <c r="R71" i="15"/>
  <c r="R83" i="15"/>
  <c r="R97" i="15"/>
  <c r="R74" i="15"/>
  <c r="R91" i="15"/>
  <c r="R81" i="15"/>
  <c r="R99" i="15"/>
  <c r="R80" i="15"/>
  <c r="R87" i="15"/>
  <c r="R103" i="15"/>
  <c r="R68" i="15"/>
  <c r="R76" i="15"/>
  <c r="R101" i="15"/>
  <c r="R106" i="15"/>
  <c r="R73" i="15"/>
  <c r="R70" i="15"/>
  <c r="R100" i="15"/>
  <c r="E93" i="6"/>
  <c r="R82" i="15"/>
  <c r="R90" i="15"/>
  <c r="R85" i="15"/>
  <c r="R78" i="15"/>
  <c r="R98" i="15"/>
  <c r="R92" i="15"/>
  <c r="H20" i="34"/>
  <c r="H22" i="34" s="1"/>
  <c r="K48" i="33"/>
  <c r="R79" i="15"/>
  <c r="R104" i="15"/>
  <c r="R105" i="15"/>
  <c r="R84" i="15"/>
  <c r="C105" i="34"/>
  <c r="D83" i="34" s="1"/>
  <c r="D105" i="34"/>
  <c r="E83" i="34" s="1"/>
  <c r="E105" i="34"/>
  <c r="F83" i="34" s="1"/>
  <c r="R72" i="15"/>
  <c r="R95" i="15"/>
  <c r="R77" i="15"/>
  <c r="R94" i="15"/>
  <c r="C42" i="34"/>
  <c r="R86" i="15"/>
  <c r="R89" i="15"/>
  <c r="R102" i="15"/>
  <c r="E99" i="6" l="1"/>
  <c r="C108" i="6" s="1"/>
  <c r="J231" i="15"/>
  <c r="J232" i="15" s="1"/>
  <c r="J233" i="15" s="1"/>
  <c r="F89" i="34"/>
  <c r="F84" i="34"/>
  <c r="C55" i="34"/>
  <c r="D52" i="34" s="1"/>
  <c r="D42" i="34"/>
  <c r="C71" i="34"/>
  <c r="D71" i="34"/>
  <c r="R114" i="15"/>
  <c r="R116" i="15"/>
  <c r="R117" i="15" s="1"/>
  <c r="V48" i="119" s="1"/>
  <c r="E167" i="119" s="1"/>
  <c r="R115" i="15"/>
  <c r="B125" i="15" s="1"/>
  <c r="E84" i="34"/>
  <c r="E89" i="34"/>
  <c r="E120" i="34"/>
  <c r="E121" i="34" s="1"/>
  <c r="F77" i="34" s="1"/>
  <c r="E71" i="34"/>
  <c r="D120" i="34"/>
  <c r="D121" i="34" s="1"/>
  <c r="E77" i="34" s="1"/>
  <c r="D84" i="34"/>
  <c r="E158" i="6" s="1"/>
  <c r="D89" i="34"/>
  <c r="C120" i="34"/>
  <c r="F105" i="34"/>
  <c r="G83" i="34" s="1"/>
  <c r="G84" i="34" s="1"/>
  <c r="G39" i="17" l="1"/>
  <c r="H39" i="17" s="1"/>
  <c r="I89" i="15" s="1"/>
  <c r="B73" i="14" s="1"/>
  <c r="G18" i="17"/>
  <c r="H18" i="17" s="1"/>
  <c r="I68" i="15" s="1"/>
  <c r="G41" i="17"/>
  <c r="H41" i="17" s="1"/>
  <c r="I91" i="15" s="1"/>
  <c r="B75" i="14" s="1"/>
  <c r="G49" i="17"/>
  <c r="H49" i="17" s="1"/>
  <c r="I99" i="15" s="1"/>
  <c r="B83" i="14" s="1"/>
  <c r="G32" i="17"/>
  <c r="H32" i="17" s="1"/>
  <c r="I82" i="15" s="1"/>
  <c r="B66" i="14" s="1"/>
  <c r="G21" i="17"/>
  <c r="H21" i="17" s="1"/>
  <c r="I71" i="15" s="1"/>
  <c r="B55" i="14" s="1"/>
  <c r="G34" i="17"/>
  <c r="H34" i="17" s="1"/>
  <c r="I84" i="15" s="1"/>
  <c r="B68" i="14" s="1"/>
  <c r="G20" i="17"/>
  <c r="H20" i="17" s="1"/>
  <c r="I70" i="15" s="1"/>
  <c r="B54" i="14" s="1"/>
  <c r="G24" i="17"/>
  <c r="H24" i="17" s="1"/>
  <c r="I74" i="15" s="1"/>
  <c r="B58" i="14" s="1"/>
  <c r="G50" i="17"/>
  <c r="H50" i="17" s="1"/>
  <c r="I100" i="15" s="1"/>
  <c r="B84" i="14" s="1"/>
  <c r="G35" i="17"/>
  <c r="H35" i="17" s="1"/>
  <c r="I85" i="15" s="1"/>
  <c r="B69" i="14" s="1"/>
  <c r="G38" i="17"/>
  <c r="H38" i="17" s="1"/>
  <c r="I88" i="15" s="1"/>
  <c r="B72" i="14" s="1"/>
  <c r="G54" i="17"/>
  <c r="H54" i="17" s="1"/>
  <c r="I104" i="15" s="1"/>
  <c r="B88" i="14" s="1"/>
  <c r="G19" i="17"/>
  <c r="H19" i="17" s="1"/>
  <c r="I69" i="15" s="1"/>
  <c r="B53" i="14" s="1"/>
  <c r="G51" i="17"/>
  <c r="H51" i="17" s="1"/>
  <c r="I101" i="15" s="1"/>
  <c r="B85" i="14" s="1"/>
  <c r="G53" i="17"/>
  <c r="H53" i="17" s="1"/>
  <c r="I103" i="15" s="1"/>
  <c r="B87" i="14" s="1"/>
  <c r="G44" i="17"/>
  <c r="H44" i="17" s="1"/>
  <c r="I94" i="15" s="1"/>
  <c r="B78" i="14" s="1"/>
  <c r="G57" i="17"/>
  <c r="H57" i="17" s="1"/>
  <c r="I107" i="15" s="1"/>
  <c r="B91" i="14" s="1"/>
  <c r="G29" i="17"/>
  <c r="H29" i="17" s="1"/>
  <c r="I79" i="15" s="1"/>
  <c r="B63" i="14" s="1"/>
  <c r="G22" i="17"/>
  <c r="H22" i="17" s="1"/>
  <c r="I72" i="15" s="1"/>
  <c r="B56" i="14" s="1"/>
  <c r="G31" i="17"/>
  <c r="H31" i="17" s="1"/>
  <c r="I81" i="15" s="1"/>
  <c r="B65" i="14" s="1"/>
  <c r="G42" i="17"/>
  <c r="H42" i="17" s="1"/>
  <c r="I92" i="15" s="1"/>
  <c r="B76" i="14" s="1"/>
  <c r="G45" i="17"/>
  <c r="H45" i="17" s="1"/>
  <c r="I95" i="15" s="1"/>
  <c r="B79" i="14" s="1"/>
  <c r="G30" i="17"/>
  <c r="H30" i="17" s="1"/>
  <c r="I80" i="15" s="1"/>
  <c r="B64" i="14" s="1"/>
  <c r="G37" i="17"/>
  <c r="H37" i="17" s="1"/>
  <c r="I87" i="15" s="1"/>
  <c r="B71" i="14" s="1"/>
  <c r="G46" i="17"/>
  <c r="H46" i="17" s="1"/>
  <c r="I96" i="15" s="1"/>
  <c r="B80" i="14" s="1"/>
  <c r="G33" i="17"/>
  <c r="H33" i="17" s="1"/>
  <c r="I83" i="15" s="1"/>
  <c r="B67" i="14" s="1"/>
  <c r="G36" i="17"/>
  <c r="H36" i="17" s="1"/>
  <c r="I86" i="15" s="1"/>
  <c r="B70" i="14" s="1"/>
  <c r="G28" i="17"/>
  <c r="H28" i="17" s="1"/>
  <c r="I78" i="15" s="1"/>
  <c r="B62" i="14" s="1"/>
  <c r="G55" i="17"/>
  <c r="H55" i="17" s="1"/>
  <c r="I105" i="15" s="1"/>
  <c r="B89" i="14" s="1"/>
  <c r="G27" i="17"/>
  <c r="H27" i="17" s="1"/>
  <c r="I77" i="15" s="1"/>
  <c r="B61" i="14" s="1"/>
  <c r="G52" i="17"/>
  <c r="H52" i="17" s="1"/>
  <c r="I102" i="15" s="1"/>
  <c r="B86" i="14" s="1"/>
  <c r="G56" i="17"/>
  <c r="H56" i="17" s="1"/>
  <c r="I106" i="15" s="1"/>
  <c r="B90" i="14" s="1"/>
  <c r="G43" i="17"/>
  <c r="H43" i="17" s="1"/>
  <c r="I93" i="15" s="1"/>
  <c r="B77" i="14" s="1"/>
  <c r="G25" i="17"/>
  <c r="H25" i="17" s="1"/>
  <c r="I75" i="15" s="1"/>
  <c r="B59" i="14" s="1"/>
  <c r="G48" i="17"/>
  <c r="H48" i="17" s="1"/>
  <c r="I98" i="15" s="1"/>
  <c r="B82" i="14" s="1"/>
  <c r="G23" i="17"/>
  <c r="H23" i="17" s="1"/>
  <c r="I73" i="15" s="1"/>
  <c r="B57" i="14" s="1"/>
  <c r="G47" i="17"/>
  <c r="H47" i="17" s="1"/>
  <c r="I97" i="15" s="1"/>
  <c r="B81" i="14" s="1"/>
  <c r="G40" i="17"/>
  <c r="H40" i="17" s="1"/>
  <c r="I90" i="15" s="1"/>
  <c r="B74" i="14" s="1"/>
  <c r="G26" i="17"/>
  <c r="H26" i="17" s="1"/>
  <c r="I76" i="15" s="1"/>
  <c r="B60" i="14" s="1"/>
  <c r="C15" i="34"/>
  <c r="B51" i="15"/>
  <c r="E118" i="6"/>
  <c r="E124" i="6" s="1"/>
  <c r="B56" i="15" s="1"/>
  <c r="C8" i="119"/>
  <c r="C121" i="34"/>
  <c r="D77" i="34" s="1"/>
  <c r="F120" i="34"/>
  <c r="F121" i="34" s="1"/>
  <c r="G77" i="34" s="1"/>
  <c r="E160" i="6" s="1"/>
  <c r="E161" i="6" s="1"/>
  <c r="F90" i="34"/>
  <c r="F78" i="34"/>
  <c r="F80" i="34" s="1"/>
  <c r="D78" i="34"/>
  <c r="G89" i="34"/>
  <c r="D90" i="34"/>
  <c r="E90" i="34"/>
  <c r="E78" i="34"/>
  <c r="E80" i="34" s="1"/>
  <c r="D80" i="34" l="1"/>
  <c r="I116" i="15"/>
  <c r="I117" i="15" s="1"/>
  <c r="O48" i="119" s="1"/>
  <c r="E160" i="119" s="1"/>
  <c r="I115" i="15"/>
  <c r="I114" i="15"/>
  <c r="D82" i="14"/>
  <c r="T82" i="14"/>
  <c r="E82" i="14"/>
  <c r="K82" i="14"/>
  <c r="P82" i="14"/>
  <c r="N82" i="14"/>
  <c r="H82" i="14"/>
  <c r="F82" i="14"/>
  <c r="C82" i="14"/>
  <c r="S82" i="14"/>
  <c r="G82" i="14"/>
  <c r="O82" i="14"/>
  <c r="R82" i="14"/>
  <c r="V82" i="14"/>
  <c r="J82" i="14"/>
  <c r="M82" i="14"/>
  <c r="Q82" i="14"/>
  <c r="W82" i="14"/>
  <c r="I82" i="14"/>
  <c r="U82" i="14"/>
  <c r="L82" i="14"/>
  <c r="Q72" i="14"/>
  <c r="D72" i="14"/>
  <c r="N72" i="14"/>
  <c r="H72" i="14"/>
  <c r="M72" i="14"/>
  <c r="R72" i="14"/>
  <c r="G72" i="14"/>
  <c r="F72" i="14"/>
  <c r="K72" i="14"/>
  <c r="I72" i="14"/>
  <c r="L72" i="14"/>
  <c r="E72" i="14"/>
  <c r="C72" i="14"/>
  <c r="O72" i="14"/>
  <c r="W72" i="14"/>
  <c r="T72" i="14"/>
  <c r="J72" i="14"/>
  <c r="P72" i="14"/>
  <c r="S72" i="14"/>
  <c r="U72" i="14"/>
  <c r="V72" i="14"/>
  <c r="N84" i="14"/>
  <c r="S84" i="14"/>
  <c r="M84" i="14"/>
  <c r="F84" i="14"/>
  <c r="T84" i="14"/>
  <c r="W84" i="14"/>
  <c r="L84" i="14"/>
  <c r="Q84" i="14"/>
  <c r="J84" i="14"/>
  <c r="E84" i="14"/>
  <c r="R84" i="14"/>
  <c r="D84" i="14"/>
  <c r="O84" i="14"/>
  <c r="P84" i="14"/>
  <c r="H84" i="14"/>
  <c r="K84" i="14"/>
  <c r="I84" i="14"/>
  <c r="C84" i="14"/>
  <c r="V84" i="14"/>
  <c r="G84" i="14"/>
  <c r="U84" i="14"/>
  <c r="J90" i="14"/>
  <c r="D90" i="14"/>
  <c r="S90" i="14"/>
  <c r="V90" i="14"/>
  <c r="M90" i="14"/>
  <c r="N90" i="14"/>
  <c r="W90" i="14"/>
  <c r="O90" i="14"/>
  <c r="P90" i="14"/>
  <c r="F90" i="14"/>
  <c r="H90" i="14"/>
  <c r="L90" i="14"/>
  <c r="K90" i="14"/>
  <c r="Q90" i="14"/>
  <c r="U90" i="14"/>
  <c r="E90" i="14"/>
  <c r="T90" i="14"/>
  <c r="R90" i="14"/>
  <c r="G90" i="14"/>
  <c r="C90" i="14"/>
  <c r="I90" i="14"/>
  <c r="D70" i="14"/>
  <c r="N70" i="14"/>
  <c r="P70" i="14"/>
  <c r="G70" i="14"/>
  <c r="M70" i="14"/>
  <c r="H70" i="14"/>
  <c r="F70" i="14"/>
  <c r="R70" i="14"/>
  <c r="C70" i="14"/>
  <c r="T70" i="14"/>
  <c r="W70" i="14"/>
  <c r="O70" i="14"/>
  <c r="K70" i="14"/>
  <c r="E70" i="14"/>
  <c r="I70" i="14"/>
  <c r="Q70" i="14"/>
  <c r="L70" i="14"/>
  <c r="U70" i="14"/>
  <c r="S70" i="14"/>
  <c r="V70" i="14"/>
  <c r="J70" i="14"/>
  <c r="J77" i="14"/>
  <c r="H77" i="14"/>
  <c r="N77" i="14"/>
  <c r="T77" i="14"/>
  <c r="M77" i="14"/>
  <c r="O77" i="14"/>
  <c r="R77" i="14"/>
  <c r="E77" i="14"/>
  <c r="G77" i="14"/>
  <c r="Q77" i="14"/>
  <c r="C77" i="14"/>
  <c r="L77" i="14"/>
  <c r="S77" i="14"/>
  <c r="W77" i="14"/>
  <c r="D77" i="14"/>
  <c r="U77" i="14"/>
  <c r="I77" i="14"/>
  <c r="K77" i="14"/>
  <c r="P77" i="14"/>
  <c r="F77" i="14"/>
  <c r="V77" i="14"/>
  <c r="U78" i="14"/>
  <c r="N78" i="14"/>
  <c r="O78" i="14"/>
  <c r="I78" i="14"/>
  <c r="P78" i="14"/>
  <c r="M78" i="14"/>
  <c r="S78" i="14"/>
  <c r="Q78" i="14"/>
  <c r="J78" i="14"/>
  <c r="D78" i="14"/>
  <c r="C78" i="14"/>
  <c r="W78" i="14"/>
  <c r="F78" i="14"/>
  <c r="V78" i="14"/>
  <c r="H78" i="14"/>
  <c r="T78" i="14"/>
  <c r="G78" i="14"/>
  <c r="L78" i="14"/>
  <c r="R78" i="14"/>
  <c r="E78" i="14"/>
  <c r="K78" i="14"/>
  <c r="S63" i="14"/>
  <c r="U63" i="14"/>
  <c r="T63" i="14"/>
  <c r="E63" i="14"/>
  <c r="Q63" i="14"/>
  <c r="N63" i="14"/>
  <c r="R63" i="14"/>
  <c r="K63" i="14"/>
  <c r="J63" i="14"/>
  <c r="O63" i="14"/>
  <c r="V63" i="14"/>
  <c r="L63" i="14"/>
  <c r="P63" i="14"/>
  <c r="D63" i="14"/>
  <c r="C63" i="14"/>
  <c r="M63" i="14"/>
  <c r="W63" i="14"/>
  <c r="H63" i="14"/>
  <c r="G63" i="14"/>
  <c r="F63" i="14"/>
  <c r="I63" i="14"/>
  <c r="W74" i="14"/>
  <c r="J74" i="14"/>
  <c r="I74" i="14"/>
  <c r="Q74" i="14"/>
  <c r="R74" i="14"/>
  <c r="E74" i="14"/>
  <c r="H74" i="14"/>
  <c r="F74" i="14"/>
  <c r="N74" i="14"/>
  <c r="P74" i="14"/>
  <c r="K74" i="14"/>
  <c r="O74" i="14"/>
  <c r="U74" i="14"/>
  <c r="C74" i="14"/>
  <c r="M74" i="14"/>
  <c r="D74" i="14"/>
  <c r="L74" i="14"/>
  <c r="T74" i="14"/>
  <c r="V74" i="14"/>
  <c r="S74" i="14"/>
  <c r="G74" i="14"/>
  <c r="V66" i="14"/>
  <c r="E66" i="14"/>
  <c r="K66" i="14"/>
  <c r="P66" i="14"/>
  <c r="T66" i="14"/>
  <c r="U66" i="14"/>
  <c r="F66" i="14"/>
  <c r="L66" i="14"/>
  <c r="S66" i="14"/>
  <c r="Q66" i="14"/>
  <c r="G66" i="14"/>
  <c r="H66" i="14"/>
  <c r="R66" i="14"/>
  <c r="N66" i="14"/>
  <c r="C66" i="14"/>
  <c r="M66" i="14"/>
  <c r="D66" i="14"/>
  <c r="W66" i="14"/>
  <c r="J66" i="14"/>
  <c r="O66" i="14"/>
  <c r="I66" i="14"/>
  <c r="W80" i="14"/>
  <c r="V80" i="14"/>
  <c r="F80" i="14"/>
  <c r="K80" i="14"/>
  <c r="L80" i="14"/>
  <c r="I80" i="14"/>
  <c r="D80" i="14"/>
  <c r="U80" i="14"/>
  <c r="E80" i="14"/>
  <c r="T80" i="14"/>
  <c r="N80" i="14"/>
  <c r="H80" i="14"/>
  <c r="J80" i="14"/>
  <c r="R80" i="14"/>
  <c r="C80" i="14"/>
  <c r="S80" i="14"/>
  <c r="O80" i="14"/>
  <c r="G80" i="14"/>
  <c r="M80" i="14"/>
  <c r="P80" i="14"/>
  <c r="Q80" i="14"/>
  <c r="G68" i="14"/>
  <c r="C68" i="14"/>
  <c r="P68" i="14"/>
  <c r="W68" i="14"/>
  <c r="L68" i="14"/>
  <c r="I68" i="14"/>
  <c r="O68" i="14"/>
  <c r="T68" i="14"/>
  <c r="E68" i="14"/>
  <c r="D68" i="14"/>
  <c r="Q68" i="14"/>
  <c r="N68" i="14"/>
  <c r="U68" i="14"/>
  <c r="K68" i="14"/>
  <c r="S68" i="14"/>
  <c r="F68" i="14"/>
  <c r="V68" i="14"/>
  <c r="R68" i="14"/>
  <c r="M68" i="14"/>
  <c r="J68" i="14"/>
  <c r="H68" i="14"/>
  <c r="Q86" i="14"/>
  <c r="H86" i="14"/>
  <c r="M86" i="14"/>
  <c r="I86" i="14"/>
  <c r="V86" i="14"/>
  <c r="L86" i="14"/>
  <c r="J86" i="14"/>
  <c r="G86" i="14"/>
  <c r="R86" i="14"/>
  <c r="C86" i="14"/>
  <c r="T86" i="14"/>
  <c r="N86" i="14"/>
  <c r="D86" i="14"/>
  <c r="O86" i="14"/>
  <c r="F86" i="14"/>
  <c r="E86" i="14"/>
  <c r="K86" i="14"/>
  <c r="W86" i="14"/>
  <c r="P86" i="14"/>
  <c r="U86" i="14"/>
  <c r="S86" i="14"/>
  <c r="S54" i="14"/>
  <c r="G54" i="14"/>
  <c r="D54" i="14"/>
  <c r="F54" i="14"/>
  <c r="L54" i="14"/>
  <c r="R54" i="14"/>
  <c r="E54" i="14"/>
  <c r="I54" i="14"/>
  <c r="N54" i="14"/>
  <c r="J54" i="14"/>
  <c r="C54" i="14"/>
  <c r="M54" i="14"/>
  <c r="W54" i="14"/>
  <c r="T54" i="14"/>
  <c r="O54" i="14"/>
  <c r="H54" i="14"/>
  <c r="V54" i="14"/>
  <c r="Q54" i="14"/>
  <c r="P54" i="14"/>
  <c r="K54" i="14"/>
  <c r="U54" i="14"/>
  <c r="K71" i="14"/>
  <c r="E71" i="14"/>
  <c r="R71" i="14"/>
  <c r="O71" i="14"/>
  <c r="P71" i="14"/>
  <c r="Q71" i="14"/>
  <c r="U71" i="14"/>
  <c r="S71" i="14"/>
  <c r="D71" i="14"/>
  <c r="F71" i="14"/>
  <c r="C71" i="14"/>
  <c r="L71" i="14"/>
  <c r="W71" i="14"/>
  <c r="I71" i="14"/>
  <c r="T71" i="14"/>
  <c r="V71" i="14"/>
  <c r="M71" i="14"/>
  <c r="G71" i="14"/>
  <c r="J71" i="14"/>
  <c r="H71" i="14"/>
  <c r="N71" i="14"/>
  <c r="O91" i="14"/>
  <c r="F91" i="14"/>
  <c r="R91" i="14"/>
  <c r="M91" i="14"/>
  <c r="H91" i="14"/>
  <c r="G91" i="14"/>
  <c r="D91" i="14"/>
  <c r="V91" i="14"/>
  <c r="T91" i="14"/>
  <c r="L91" i="14"/>
  <c r="W91" i="14"/>
  <c r="B164" i="14" s="1"/>
  <c r="N91" i="14"/>
  <c r="Q91" i="14"/>
  <c r="K91" i="14"/>
  <c r="U91" i="14"/>
  <c r="C91" i="14"/>
  <c r="P91" i="14"/>
  <c r="S91" i="14"/>
  <c r="E91" i="14"/>
  <c r="J91" i="14"/>
  <c r="I91" i="14"/>
  <c r="N81" i="14"/>
  <c r="M81" i="14"/>
  <c r="E81" i="14"/>
  <c r="U81" i="14"/>
  <c r="I81" i="14"/>
  <c r="H81" i="14"/>
  <c r="V81" i="14"/>
  <c r="O81" i="14"/>
  <c r="F81" i="14"/>
  <c r="D81" i="14"/>
  <c r="S81" i="14"/>
  <c r="P81" i="14"/>
  <c r="L81" i="14"/>
  <c r="G81" i="14"/>
  <c r="Q81" i="14"/>
  <c r="C81" i="14"/>
  <c r="T81" i="14"/>
  <c r="J81" i="14"/>
  <c r="W81" i="14"/>
  <c r="R81" i="14"/>
  <c r="K81" i="14"/>
  <c r="O83" i="14"/>
  <c r="V83" i="14"/>
  <c r="N83" i="14"/>
  <c r="Q83" i="14"/>
  <c r="K83" i="14"/>
  <c r="U83" i="14"/>
  <c r="P83" i="14"/>
  <c r="S83" i="14"/>
  <c r="D83" i="14"/>
  <c r="C83" i="14"/>
  <c r="J83" i="14"/>
  <c r="E83" i="14"/>
  <c r="R83" i="14"/>
  <c r="M83" i="14"/>
  <c r="T83" i="14"/>
  <c r="I83" i="14"/>
  <c r="G83" i="14"/>
  <c r="W83" i="14"/>
  <c r="L83" i="14"/>
  <c r="H83" i="14"/>
  <c r="F83" i="14"/>
  <c r="G64" i="14"/>
  <c r="I64" i="14"/>
  <c r="E64" i="14"/>
  <c r="L64" i="14"/>
  <c r="T64" i="14"/>
  <c r="C64" i="14"/>
  <c r="S64" i="14"/>
  <c r="U64" i="14"/>
  <c r="M64" i="14"/>
  <c r="R64" i="14"/>
  <c r="J64" i="14"/>
  <c r="F64" i="14"/>
  <c r="H64" i="14"/>
  <c r="V64" i="14"/>
  <c r="P64" i="14"/>
  <c r="O64" i="14"/>
  <c r="Q64" i="14"/>
  <c r="D64" i="14"/>
  <c r="W64" i="14"/>
  <c r="K64" i="14"/>
  <c r="N64" i="14"/>
  <c r="G90" i="34"/>
  <c r="G78" i="34"/>
  <c r="G80" i="34" s="1"/>
  <c r="I56" i="14"/>
  <c r="O56" i="14"/>
  <c r="K56" i="14"/>
  <c r="J56" i="14"/>
  <c r="S56" i="14"/>
  <c r="N56" i="14"/>
  <c r="F56" i="14"/>
  <c r="M56" i="14"/>
  <c r="Q56" i="14"/>
  <c r="G56" i="14"/>
  <c r="E56" i="14"/>
  <c r="U56" i="14"/>
  <c r="P56" i="14"/>
  <c r="L56" i="14"/>
  <c r="V56" i="14"/>
  <c r="R56" i="14"/>
  <c r="C56" i="14"/>
  <c r="T56" i="14"/>
  <c r="W56" i="14"/>
  <c r="H56" i="14"/>
  <c r="D56" i="14"/>
  <c r="C93" i="119"/>
  <c r="D93" i="119" s="1"/>
  <c r="H199" i="119"/>
  <c r="C198" i="119" s="1"/>
  <c r="H8" i="119"/>
  <c r="I8" i="119"/>
  <c r="C94" i="119" s="1"/>
  <c r="D94" i="119" s="1"/>
  <c r="M65" i="14"/>
  <c r="L65" i="14"/>
  <c r="F65" i="14"/>
  <c r="D65" i="14"/>
  <c r="G65" i="14"/>
  <c r="J65" i="14"/>
  <c r="R65" i="14"/>
  <c r="W65" i="14"/>
  <c r="P65" i="14"/>
  <c r="T65" i="14"/>
  <c r="C65" i="14"/>
  <c r="H65" i="14"/>
  <c r="K65" i="14"/>
  <c r="O65" i="14"/>
  <c r="N65" i="14"/>
  <c r="I65" i="14"/>
  <c r="Q65" i="14"/>
  <c r="S65" i="14"/>
  <c r="U65" i="14"/>
  <c r="E65" i="14"/>
  <c r="V65" i="14"/>
  <c r="M69" i="14"/>
  <c r="R69" i="14"/>
  <c r="L69" i="14"/>
  <c r="V69" i="14"/>
  <c r="K69" i="14"/>
  <c r="J69" i="14"/>
  <c r="O69" i="14"/>
  <c r="H69" i="14"/>
  <c r="D69" i="14"/>
  <c r="N69" i="14"/>
  <c r="S69" i="14"/>
  <c r="C69" i="14"/>
  <c r="T69" i="14"/>
  <c r="E69" i="14"/>
  <c r="W69" i="14"/>
  <c r="P69" i="14"/>
  <c r="F69" i="14"/>
  <c r="Q69" i="14"/>
  <c r="U69" i="14"/>
  <c r="I69" i="14"/>
  <c r="G69" i="14"/>
  <c r="C9" i="119"/>
  <c r="I57" i="14"/>
  <c r="H57" i="14"/>
  <c r="F57" i="14"/>
  <c r="N57" i="14"/>
  <c r="O57" i="14"/>
  <c r="M57" i="14"/>
  <c r="D57" i="14"/>
  <c r="U57" i="14"/>
  <c r="K57" i="14"/>
  <c r="R57" i="14"/>
  <c r="P57" i="14"/>
  <c r="E57" i="14"/>
  <c r="S57" i="14"/>
  <c r="V57" i="14"/>
  <c r="L57" i="14"/>
  <c r="C57" i="14"/>
  <c r="T57" i="14"/>
  <c r="W57" i="14"/>
  <c r="G57" i="14"/>
  <c r="J57" i="14"/>
  <c r="Q57" i="14"/>
  <c r="O59" i="14"/>
  <c r="R59" i="14"/>
  <c r="P59" i="14"/>
  <c r="K59" i="14"/>
  <c r="U59" i="14"/>
  <c r="S59" i="14"/>
  <c r="D59" i="14"/>
  <c r="N59" i="14"/>
  <c r="T59" i="14"/>
  <c r="H59" i="14"/>
  <c r="E59" i="14"/>
  <c r="J59" i="14"/>
  <c r="I59" i="14"/>
  <c r="Q59" i="14"/>
  <c r="V59" i="14"/>
  <c r="C59" i="14"/>
  <c r="G59" i="14"/>
  <c r="W59" i="14"/>
  <c r="F59" i="14"/>
  <c r="L59" i="14"/>
  <c r="M59" i="14"/>
  <c r="H65" i="15"/>
  <c r="G65" i="15"/>
  <c r="B53" i="15"/>
  <c r="B55" i="15" s="1"/>
  <c r="L107" i="15" s="1"/>
  <c r="H67" i="15"/>
  <c r="H66" i="15"/>
  <c r="B54" i="15"/>
  <c r="M107" i="15" s="1"/>
  <c r="V67" i="14"/>
  <c r="U67" i="14"/>
  <c r="E67" i="14"/>
  <c r="J67" i="14"/>
  <c r="K67" i="14"/>
  <c r="Q67" i="14"/>
  <c r="F67" i="14"/>
  <c r="H67" i="14"/>
  <c r="D67" i="14"/>
  <c r="C67" i="14"/>
  <c r="G67" i="14"/>
  <c r="W67" i="14"/>
  <c r="P67" i="14"/>
  <c r="N67" i="14"/>
  <c r="S67" i="14"/>
  <c r="M67" i="14"/>
  <c r="I67" i="14"/>
  <c r="O67" i="14"/>
  <c r="L67" i="14"/>
  <c r="T67" i="14"/>
  <c r="R67" i="14"/>
  <c r="R89" i="14"/>
  <c r="J89" i="14"/>
  <c r="V89" i="14"/>
  <c r="C89" i="14"/>
  <c r="U89" i="14"/>
  <c r="S89" i="14"/>
  <c r="P89" i="14"/>
  <c r="N89" i="14"/>
  <c r="H89" i="14"/>
  <c r="K89" i="14"/>
  <c r="L89" i="14"/>
  <c r="G89" i="14"/>
  <c r="D89" i="14"/>
  <c r="O89" i="14"/>
  <c r="E89" i="14"/>
  <c r="M89" i="14"/>
  <c r="W89" i="14"/>
  <c r="F89" i="14"/>
  <c r="Q89" i="14"/>
  <c r="T89" i="14"/>
  <c r="I89" i="14"/>
  <c r="J75" i="14"/>
  <c r="K75" i="14"/>
  <c r="W75" i="14"/>
  <c r="V75" i="14"/>
  <c r="N75" i="14"/>
  <c r="G75" i="14"/>
  <c r="U75" i="14"/>
  <c r="R75" i="14"/>
  <c r="E75" i="14"/>
  <c r="Q75" i="14"/>
  <c r="P75" i="14"/>
  <c r="H75" i="14"/>
  <c r="M75" i="14"/>
  <c r="L75" i="14"/>
  <c r="T75" i="14"/>
  <c r="I75" i="14"/>
  <c r="S75" i="14"/>
  <c r="F75" i="14"/>
  <c r="D75" i="14"/>
  <c r="O75" i="14"/>
  <c r="C75" i="14"/>
  <c r="S61" i="14"/>
  <c r="J61" i="14"/>
  <c r="D61" i="14"/>
  <c r="F61" i="14"/>
  <c r="K61" i="14"/>
  <c r="O61" i="14"/>
  <c r="G61" i="14"/>
  <c r="L61" i="14"/>
  <c r="N61" i="14"/>
  <c r="V61" i="14"/>
  <c r="P61" i="14"/>
  <c r="H61" i="14"/>
  <c r="T61" i="14"/>
  <c r="U61" i="14"/>
  <c r="R61" i="14"/>
  <c r="E61" i="14"/>
  <c r="I61" i="14"/>
  <c r="M61" i="14"/>
  <c r="C61" i="14"/>
  <c r="Q61" i="14"/>
  <c r="W61" i="14"/>
  <c r="R73" i="14"/>
  <c r="O73" i="14"/>
  <c r="H73" i="14"/>
  <c r="P73" i="14"/>
  <c r="E73" i="14"/>
  <c r="C73" i="14"/>
  <c r="M73" i="14"/>
  <c r="L73" i="14"/>
  <c r="V73" i="14"/>
  <c r="G73" i="14"/>
  <c r="J73" i="14"/>
  <c r="D73" i="14"/>
  <c r="W73" i="14"/>
  <c r="K73" i="14"/>
  <c r="T73" i="14"/>
  <c r="U73" i="14"/>
  <c r="Q73" i="14"/>
  <c r="I73" i="14"/>
  <c r="F73" i="14"/>
  <c r="N73" i="14"/>
  <c r="S73" i="14"/>
  <c r="J87" i="14"/>
  <c r="V87" i="14"/>
  <c r="M87" i="14"/>
  <c r="D87" i="14"/>
  <c r="G87" i="14"/>
  <c r="R87" i="14"/>
  <c r="F87" i="14"/>
  <c r="W87" i="14"/>
  <c r="H87" i="14"/>
  <c r="L87" i="14"/>
  <c r="U87" i="14"/>
  <c r="P87" i="14"/>
  <c r="I87" i="14"/>
  <c r="S87" i="14"/>
  <c r="K87" i="14"/>
  <c r="E87" i="14"/>
  <c r="Q87" i="14"/>
  <c r="N87" i="14"/>
  <c r="C87" i="14"/>
  <c r="O87" i="14"/>
  <c r="T87" i="14"/>
  <c r="O60" i="14"/>
  <c r="P60" i="14"/>
  <c r="K60" i="14"/>
  <c r="L60" i="14"/>
  <c r="V60" i="14"/>
  <c r="I60" i="14"/>
  <c r="R60" i="14"/>
  <c r="J60" i="14"/>
  <c r="S60" i="14"/>
  <c r="M60" i="14"/>
  <c r="F60" i="14"/>
  <c r="E60" i="14"/>
  <c r="Q60" i="14"/>
  <c r="N60" i="14"/>
  <c r="U60" i="14"/>
  <c r="G60" i="14"/>
  <c r="H60" i="14"/>
  <c r="C60" i="14"/>
  <c r="T60" i="14"/>
  <c r="W60" i="14"/>
  <c r="D60" i="14"/>
  <c r="I55" i="14"/>
  <c r="F55" i="14"/>
  <c r="O55" i="14"/>
  <c r="K55" i="14"/>
  <c r="T55" i="14"/>
  <c r="V55" i="14"/>
  <c r="L55" i="14"/>
  <c r="D55" i="14"/>
  <c r="Q55" i="14"/>
  <c r="U55" i="14"/>
  <c r="M55" i="14"/>
  <c r="S55" i="14"/>
  <c r="H55" i="14"/>
  <c r="J55" i="14"/>
  <c r="R55" i="14"/>
  <c r="P55" i="14"/>
  <c r="N55" i="14"/>
  <c r="C55" i="14"/>
  <c r="E55" i="14"/>
  <c r="W55" i="14"/>
  <c r="G55" i="14"/>
  <c r="O88" i="14"/>
  <c r="C88" i="14"/>
  <c r="L88" i="14"/>
  <c r="D88" i="14"/>
  <c r="V88" i="14"/>
  <c r="R88" i="14"/>
  <c r="E88" i="14"/>
  <c r="U88" i="14"/>
  <c r="M88" i="14"/>
  <c r="J88" i="14"/>
  <c r="F88" i="14"/>
  <c r="W88" i="14"/>
  <c r="K88" i="14"/>
  <c r="P88" i="14"/>
  <c r="I88" i="14"/>
  <c r="T88" i="14"/>
  <c r="H88" i="14"/>
  <c r="G88" i="14"/>
  <c r="Q88" i="14"/>
  <c r="N88" i="14"/>
  <c r="S88" i="14"/>
  <c r="Q53" i="14"/>
  <c r="W53" i="14"/>
  <c r="G53" i="14"/>
  <c r="R53" i="14"/>
  <c r="J53" i="14"/>
  <c r="K53" i="14"/>
  <c r="I53" i="14"/>
  <c r="O53" i="14"/>
  <c r="S53" i="14"/>
  <c r="U53" i="14"/>
  <c r="T53" i="14"/>
  <c r="D53" i="14"/>
  <c r="P53" i="14"/>
  <c r="L53" i="14"/>
  <c r="M53" i="14"/>
  <c r="V53" i="14"/>
  <c r="H53" i="14"/>
  <c r="E53" i="14"/>
  <c r="N53" i="14"/>
  <c r="F53" i="14"/>
  <c r="C53" i="14"/>
  <c r="H62" i="14"/>
  <c r="T62" i="14"/>
  <c r="L62" i="14"/>
  <c r="D62" i="14"/>
  <c r="K62" i="14"/>
  <c r="G62" i="14"/>
  <c r="N62" i="14"/>
  <c r="R62" i="14"/>
  <c r="Q62" i="14"/>
  <c r="S62" i="14"/>
  <c r="I62" i="14"/>
  <c r="C62" i="14"/>
  <c r="E62" i="14"/>
  <c r="W62" i="14"/>
  <c r="V62" i="14"/>
  <c r="P62" i="14"/>
  <c r="J62" i="14"/>
  <c r="F62" i="14"/>
  <c r="U62" i="14"/>
  <c r="O62" i="14"/>
  <c r="M62" i="14"/>
  <c r="S79" i="14"/>
  <c r="R79" i="14"/>
  <c r="G79" i="14"/>
  <c r="E79" i="14"/>
  <c r="O79" i="14"/>
  <c r="W79" i="14"/>
  <c r="J79" i="14"/>
  <c r="C79" i="14"/>
  <c r="N79" i="14"/>
  <c r="T79" i="14"/>
  <c r="K79" i="14"/>
  <c r="M79" i="14"/>
  <c r="U79" i="14"/>
  <c r="D79" i="14"/>
  <c r="L79" i="14"/>
  <c r="H79" i="14"/>
  <c r="P79" i="14"/>
  <c r="I79" i="14"/>
  <c r="V79" i="14"/>
  <c r="F79" i="14"/>
  <c r="Q79" i="14"/>
  <c r="J76" i="14"/>
  <c r="D76" i="14"/>
  <c r="W76" i="14"/>
  <c r="O76" i="14"/>
  <c r="L76" i="14"/>
  <c r="S76" i="14"/>
  <c r="T76" i="14"/>
  <c r="F76" i="14"/>
  <c r="H76" i="14"/>
  <c r="P76" i="14"/>
  <c r="M76" i="14"/>
  <c r="K76" i="14"/>
  <c r="N76" i="14"/>
  <c r="U76" i="14"/>
  <c r="Q76" i="14"/>
  <c r="C76" i="14"/>
  <c r="R76" i="14"/>
  <c r="G76" i="14"/>
  <c r="V76" i="14"/>
  <c r="I76" i="14"/>
  <c r="E76" i="14"/>
  <c r="P58" i="14"/>
  <c r="R58" i="14"/>
  <c r="L58" i="14"/>
  <c r="C58" i="14"/>
  <c r="I58" i="14"/>
  <c r="W58" i="14"/>
  <c r="S58" i="14"/>
  <c r="U58" i="14"/>
  <c r="H58" i="14"/>
  <c r="G58" i="14"/>
  <c r="E58" i="14"/>
  <c r="K58" i="14"/>
  <c r="V58" i="14"/>
  <c r="J58" i="14"/>
  <c r="O58" i="14"/>
  <c r="M58" i="14"/>
  <c r="T58" i="14"/>
  <c r="Q58" i="14"/>
  <c r="F58" i="14"/>
  <c r="N58" i="14"/>
  <c r="D58" i="14"/>
  <c r="G85" i="14"/>
  <c r="I85" i="14"/>
  <c r="O85" i="14"/>
  <c r="N85" i="14"/>
  <c r="U85" i="14"/>
  <c r="M85" i="14"/>
  <c r="W85" i="14"/>
  <c r="P85" i="14"/>
  <c r="J85" i="14"/>
  <c r="E85" i="14"/>
  <c r="L85" i="14"/>
  <c r="C85" i="14"/>
  <c r="V85" i="14"/>
  <c r="H85" i="14"/>
  <c r="D85" i="14"/>
  <c r="F85" i="14"/>
  <c r="Q85" i="14"/>
  <c r="K85" i="14"/>
  <c r="T85" i="14"/>
  <c r="S85" i="14"/>
  <c r="R85" i="14"/>
  <c r="B163" i="14" l="1"/>
  <c r="B126" i="14"/>
  <c r="U94" i="15" s="1"/>
  <c r="X64" i="14"/>
  <c r="X81" i="14"/>
  <c r="B149" i="14"/>
  <c r="B137" i="14"/>
  <c r="U105" i="15" s="1"/>
  <c r="X83" i="14"/>
  <c r="B151" i="14"/>
  <c r="B154" i="14"/>
  <c r="B134" i="14"/>
  <c r="U102" i="15" s="1"/>
  <c r="B138" i="14"/>
  <c r="U106" i="15" s="1"/>
  <c r="B123" i="14"/>
  <c r="U91" i="15" s="1"/>
  <c r="B127" i="14"/>
  <c r="U95" i="15" s="1"/>
  <c r="B146" i="14"/>
  <c r="B159" i="14"/>
  <c r="B122" i="14"/>
  <c r="U90" i="15" s="1"/>
  <c r="X89" i="14"/>
  <c r="B132" i="14"/>
  <c r="U100" i="15" s="1"/>
  <c r="B160" i="14"/>
  <c r="B147" i="14"/>
  <c r="X70" i="14"/>
  <c r="X58" i="14"/>
  <c r="X55" i="14"/>
  <c r="X59" i="14"/>
  <c r="X69" i="14"/>
  <c r="B157" i="14"/>
  <c r="B156" i="14"/>
  <c r="X54" i="14"/>
  <c r="X66" i="14"/>
  <c r="X84" i="14"/>
  <c r="B150" i="14"/>
  <c r="B129" i="14"/>
  <c r="U97" i="15" s="1"/>
  <c r="X91" i="14"/>
  <c r="B136" i="14"/>
  <c r="U104" i="15" s="1"/>
  <c r="B162" i="14"/>
  <c r="X85" i="14"/>
  <c r="X53" i="14"/>
  <c r="B128" i="14"/>
  <c r="U96" i="15" s="1"/>
  <c r="X61" i="14"/>
  <c r="B125" i="14"/>
  <c r="U93" i="15" s="1"/>
  <c r="C92" i="119"/>
  <c r="D92" i="119" s="1"/>
  <c r="L106" i="119"/>
  <c r="B152" i="14"/>
  <c r="X68" i="14"/>
  <c r="X78" i="14"/>
  <c r="X82" i="14"/>
  <c r="W17" i="119"/>
  <c r="W25" i="119"/>
  <c r="W33" i="119"/>
  <c r="F205" i="119"/>
  <c r="E207" i="119"/>
  <c r="F207" i="119"/>
  <c r="W21" i="119"/>
  <c r="W18" i="119"/>
  <c r="W26" i="119"/>
  <c r="W19" i="119"/>
  <c r="W27" i="119"/>
  <c r="W14" i="119"/>
  <c r="W30" i="119"/>
  <c r="W34" i="119"/>
  <c r="W20" i="119"/>
  <c r="W28" i="119"/>
  <c r="W15" i="119"/>
  <c r="W23" i="119"/>
  <c r="W31" i="119"/>
  <c r="W22" i="119"/>
  <c r="W16" i="119"/>
  <c r="E202" i="119"/>
  <c r="F202" i="119"/>
  <c r="E209" i="119"/>
  <c r="W24" i="119"/>
  <c r="W32" i="119"/>
  <c r="E203" i="119"/>
  <c r="F203" i="119"/>
  <c r="E204" i="119"/>
  <c r="F204" i="119"/>
  <c r="E205" i="119"/>
  <c r="E206" i="119"/>
  <c r="F206" i="119"/>
  <c r="E208" i="119"/>
  <c r="F208" i="119"/>
  <c r="W29" i="119"/>
  <c r="F209" i="119"/>
  <c r="E210" i="119"/>
  <c r="F210" i="119"/>
  <c r="E211" i="119"/>
  <c r="F211" i="119"/>
  <c r="G211" i="119" s="1"/>
  <c r="E212" i="119"/>
  <c r="F212" i="119"/>
  <c r="E213" i="119"/>
  <c r="F213" i="119"/>
  <c r="E214" i="119"/>
  <c r="F214" i="119"/>
  <c r="E215" i="119"/>
  <c r="F215" i="119"/>
  <c r="G215" i="119" s="1"/>
  <c r="E216" i="119"/>
  <c r="F216" i="119"/>
  <c r="E217" i="119"/>
  <c r="F217" i="119"/>
  <c r="E218" i="119"/>
  <c r="F218" i="119"/>
  <c r="E219" i="119"/>
  <c r="F219" i="119"/>
  <c r="G219" i="119" s="1"/>
  <c r="F222" i="119"/>
  <c r="G222" i="119" s="1"/>
  <c r="E220" i="119"/>
  <c r="F220" i="119"/>
  <c r="F221" i="119"/>
  <c r="E221" i="119"/>
  <c r="B158" i="14"/>
  <c r="B130" i="14"/>
  <c r="U98" i="15" s="1"/>
  <c r="X60" i="14"/>
  <c r="M114" i="15"/>
  <c r="M116" i="15"/>
  <c r="M117" i="15" s="1"/>
  <c r="R48" i="119" s="1"/>
  <c r="E163" i="119" s="1"/>
  <c r="M115" i="15"/>
  <c r="B120" i="15" s="1"/>
  <c r="X57" i="14"/>
  <c r="N86" i="15"/>
  <c r="N104" i="15"/>
  <c r="N105" i="15"/>
  <c r="N89" i="15"/>
  <c r="N73" i="15"/>
  <c r="N71" i="15"/>
  <c r="N77" i="15"/>
  <c r="N75" i="15"/>
  <c r="N85" i="15"/>
  <c r="N99" i="15"/>
  <c r="N68" i="15"/>
  <c r="N107" i="15"/>
  <c r="N70" i="15"/>
  <c r="N93" i="15"/>
  <c r="N74" i="15"/>
  <c r="N95" i="15"/>
  <c r="N80" i="15"/>
  <c r="N102" i="15"/>
  <c r="N94" i="15"/>
  <c r="N88" i="15"/>
  <c r="N97" i="15"/>
  <c r="N81" i="15"/>
  <c r="N82" i="15"/>
  <c r="N106" i="15"/>
  <c r="N90" i="15"/>
  <c r="N84" i="15"/>
  <c r="N101" i="15"/>
  <c r="N87" i="15"/>
  <c r="N78" i="15"/>
  <c r="N69" i="15"/>
  <c r="N98" i="15"/>
  <c r="N91" i="15"/>
  <c r="N79" i="15"/>
  <c r="N76" i="15"/>
  <c r="N100" i="15"/>
  <c r="N83" i="15"/>
  <c r="N103" i="15"/>
  <c r="N72" i="15"/>
  <c r="N92" i="15"/>
  <c r="N96" i="15"/>
  <c r="B155" i="14"/>
  <c r="X79" i="14"/>
  <c r="B121" i="14"/>
  <c r="U89" i="15" s="1"/>
  <c r="X75" i="14"/>
  <c r="I199" i="119"/>
  <c r="H9" i="119"/>
  <c r="I9" i="119"/>
  <c r="C97" i="119" s="1"/>
  <c r="D97" i="119" s="1"/>
  <c r="C96" i="119"/>
  <c r="D96" i="119" s="1"/>
  <c r="X86" i="14"/>
  <c r="X74" i="14"/>
  <c r="X62" i="14"/>
  <c r="X65" i="14"/>
  <c r="B153" i="14"/>
  <c r="L115" i="15"/>
  <c r="L116" i="15"/>
  <c r="L114" i="15"/>
  <c r="B124" i="14"/>
  <c r="U92" i="15" s="1"/>
  <c r="B161" i="14"/>
  <c r="B131" i="14"/>
  <c r="U99" i="15" s="1"/>
  <c r="X77" i="14"/>
  <c r="B140" i="14"/>
  <c r="C140" i="14" s="1"/>
  <c r="C141" i="14" s="1"/>
  <c r="X76" i="14"/>
  <c r="X87" i="14"/>
  <c r="B135" i="14"/>
  <c r="U103" i="15" s="1"/>
  <c r="C14" i="13"/>
  <c r="G114" i="15"/>
  <c r="G115" i="15"/>
  <c r="G116" i="15"/>
  <c r="B44" i="14"/>
  <c r="B52" i="14" s="1"/>
  <c r="B139" i="14"/>
  <c r="X90" i="14"/>
  <c r="H115" i="15"/>
  <c r="H116" i="15"/>
  <c r="H114" i="15"/>
  <c r="B133" i="14"/>
  <c r="U101" i="15" s="1"/>
  <c r="X56" i="14"/>
  <c r="X63" i="14"/>
  <c r="X72" i="14"/>
  <c r="X88" i="14"/>
  <c r="X73" i="14"/>
  <c r="X67" i="14"/>
  <c r="B148" i="14"/>
  <c r="X71" i="14"/>
  <c r="X80" i="14"/>
  <c r="G218" i="119" l="1"/>
  <c r="G210" i="119"/>
  <c r="D127" i="119"/>
  <c r="D137" i="119"/>
  <c r="G214" i="119"/>
  <c r="J72" i="15"/>
  <c r="J87" i="15"/>
  <c r="G216" i="119"/>
  <c r="J103" i="15"/>
  <c r="J91" i="15"/>
  <c r="J81" i="15"/>
  <c r="J69" i="15"/>
  <c r="J78" i="15"/>
  <c r="J93" i="15"/>
  <c r="G213" i="119"/>
  <c r="G203" i="119"/>
  <c r="J83" i="15"/>
  <c r="J97" i="15"/>
  <c r="D117" i="119"/>
  <c r="D122" i="119"/>
  <c r="J73" i="15"/>
  <c r="G204" i="119"/>
  <c r="J88" i="15"/>
  <c r="J89" i="15"/>
  <c r="J100" i="15"/>
  <c r="G205" i="119"/>
  <c r="J76" i="15"/>
  <c r="J102" i="15"/>
  <c r="D147" i="119"/>
  <c r="D132" i="119"/>
  <c r="J79" i="15"/>
  <c r="J80" i="15"/>
  <c r="J86" i="15"/>
  <c r="G202" i="119"/>
  <c r="J104" i="15"/>
  <c r="L107" i="119"/>
  <c r="C95" i="119"/>
  <c r="D95" i="119" s="1"/>
  <c r="J95" i="15"/>
  <c r="G217" i="119"/>
  <c r="G209" i="119"/>
  <c r="G207" i="119"/>
  <c r="B166" i="14"/>
  <c r="U107" i="15" s="1"/>
  <c r="G208" i="119"/>
  <c r="J98" i="15"/>
  <c r="J70" i="15"/>
  <c r="J101" i="15"/>
  <c r="L118" i="15"/>
  <c r="M48" i="119" s="1"/>
  <c r="E157" i="119" s="1"/>
  <c r="J84" i="15"/>
  <c r="J99" i="15"/>
  <c r="J90" i="15"/>
  <c r="J85" i="15"/>
  <c r="G221" i="119"/>
  <c r="J74" i="15"/>
  <c r="N115" i="15"/>
  <c r="B121" i="15" s="1"/>
  <c r="N116" i="15"/>
  <c r="N117" i="15" s="1"/>
  <c r="S48" i="119" s="1"/>
  <c r="E164" i="119" s="1"/>
  <c r="J68" i="15"/>
  <c r="N114" i="15"/>
  <c r="H117" i="15"/>
  <c r="G206" i="119"/>
  <c r="S52" i="14"/>
  <c r="B116" i="14" s="1"/>
  <c r="U84" i="15" s="1"/>
  <c r="I52" i="14"/>
  <c r="B106" i="14" s="1"/>
  <c r="U74" i="15" s="1"/>
  <c r="F52" i="14"/>
  <c r="B103" i="14" s="1"/>
  <c r="U71" i="15" s="1"/>
  <c r="P52" i="14"/>
  <c r="B113" i="14" s="1"/>
  <c r="U81" i="15" s="1"/>
  <c r="W52" i="14"/>
  <c r="B120" i="14" s="1"/>
  <c r="U88" i="15" s="1"/>
  <c r="O52" i="14"/>
  <c r="B112" i="14" s="1"/>
  <c r="U80" i="15" s="1"/>
  <c r="J52" i="14"/>
  <c r="B107" i="14" s="1"/>
  <c r="U75" i="15" s="1"/>
  <c r="V52" i="14"/>
  <c r="B119" i="14" s="1"/>
  <c r="U87" i="15" s="1"/>
  <c r="M52" i="14"/>
  <c r="B110" i="14" s="1"/>
  <c r="U78" i="15" s="1"/>
  <c r="L52" i="14"/>
  <c r="B109" i="14" s="1"/>
  <c r="U77" i="15" s="1"/>
  <c r="T52" i="14"/>
  <c r="B117" i="14" s="1"/>
  <c r="U85" i="15" s="1"/>
  <c r="U52" i="14"/>
  <c r="B118" i="14" s="1"/>
  <c r="U86" i="15" s="1"/>
  <c r="K52" i="14"/>
  <c r="B108" i="14" s="1"/>
  <c r="U76" i="15" s="1"/>
  <c r="N52" i="14"/>
  <c r="B111" i="14" s="1"/>
  <c r="U79" i="15" s="1"/>
  <c r="G52" i="14"/>
  <c r="B104" i="14" s="1"/>
  <c r="U72" i="15" s="1"/>
  <c r="H52" i="14"/>
  <c r="B105" i="14" s="1"/>
  <c r="U73" i="15" s="1"/>
  <c r="Q52" i="14"/>
  <c r="B114" i="14" s="1"/>
  <c r="U82" i="15" s="1"/>
  <c r="E52" i="14"/>
  <c r="B102" i="14" s="1"/>
  <c r="U70" i="15" s="1"/>
  <c r="C52" i="14"/>
  <c r="R52" i="14"/>
  <c r="B115" i="14" s="1"/>
  <c r="U83" i="15" s="1"/>
  <c r="D52" i="14"/>
  <c r="B101" i="14" s="1"/>
  <c r="U69" i="15" s="1"/>
  <c r="J96" i="15"/>
  <c r="J106" i="15"/>
  <c r="J75" i="15"/>
  <c r="J92" i="15"/>
  <c r="J82" i="15"/>
  <c r="J77" i="15"/>
  <c r="G220" i="119"/>
  <c r="J71" i="15"/>
  <c r="G212" i="119"/>
  <c r="G14" i="13"/>
  <c r="C15" i="13" s="1"/>
  <c r="E14" i="13"/>
  <c r="J94" i="15"/>
  <c r="J105" i="15"/>
  <c r="D125" i="119" l="1"/>
  <c r="D135" i="119"/>
  <c r="D103" i="119"/>
  <c r="D105" i="119"/>
  <c r="D101" i="119"/>
  <c r="D102" i="119"/>
  <c r="D120" i="119"/>
  <c r="D14" i="13"/>
  <c r="S65" i="15"/>
  <c r="E15" i="13"/>
  <c r="G15" i="13"/>
  <c r="C16" i="13" s="1"/>
  <c r="D115" i="119"/>
  <c r="D130" i="119"/>
  <c r="D107" i="119"/>
  <c r="D104" i="119"/>
  <c r="J107" i="15"/>
  <c r="J116" i="15" s="1"/>
  <c r="B100" i="14"/>
  <c r="X52" i="14"/>
  <c r="N48" i="119"/>
  <c r="E159" i="119" s="1"/>
  <c r="J115" i="15" l="1"/>
  <c r="E16" i="13"/>
  <c r="G16" i="13"/>
  <c r="C17" i="13" s="1"/>
  <c r="D15" i="13"/>
  <c r="S66" i="15"/>
  <c r="T66" i="15" s="1"/>
  <c r="J117" i="15"/>
  <c r="X55" i="15"/>
  <c r="X57" i="15" s="1"/>
  <c r="J114" i="15"/>
  <c r="T65" i="15"/>
  <c r="U68" i="15"/>
  <c r="B141" i="14"/>
  <c r="U115" i="15" l="1"/>
  <c r="U114" i="15"/>
  <c r="U116" i="15"/>
  <c r="Y55" i="15" s="1"/>
  <c r="Y57" i="15" s="1"/>
  <c r="P48" i="119"/>
  <c r="E161" i="119" s="1"/>
  <c r="V66" i="15"/>
  <c r="X66" i="15" s="1"/>
  <c r="Y66" i="15" s="1"/>
  <c r="AC66" i="15"/>
  <c r="G17" i="13"/>
  <c r="C18" i="13" s="1"/>
  <c r="E17" i="13"/>
  <c r="V65" i="15"/>
  <c r="AC65" i="15"/>
  <c r="D16" i="13"/>
  <c r="S67" i="15"/>
  <c r="X65" i="15" l="1"/>
  <c r="AA66" i="15"/>
  <c r="D17" i="13"/>
  <c r="S68" i="15"/>
  <c r="T67" i="15"/>
  <c r="E18" i="13"/>
  <c r="G18" i="13"/>
  <c r="C19" i="13" s="1"/>
  <c r="E19" i="13" l="1"/>
  <c r="G19" i="13"/>
  <c r="C20" i="13" s="1"/>
  <c r="D18" i="13"/>
  <c r="S69" i="15"/>
  <c r="V67" i="15"/>
  <c r="AC67" i="15"/>
  <c r="Y65" i="15"/>
  <c r="AA65" i="15"/>
  <c r="X67" i="15" l="1"/>
  <c r="E20" i="13"/>
  <c r="G20" i="13"/>
  <c r="C21" i="13" s="1"/>
  <c r="AB65" i="15"/>
  <c r="D19" i="13"/>
  <c r="S70" i="15"/>
  <c r="AB66" i="15" l="1"/>
  <c r="G21" i="13"/>
  <c r="C22" i="13" s="1"/>
  <c r="E21" i="13"/>
  <c r="AA67" i="15"/>
  <c r="Y67" i="15"/>
  <c r="D20" i="13"/>
  <c r="S71" i="15"/>
  <c r="AB67" i="15" l="1"/>
  <c r="G22" i="13"/>
  <c r="C23" i="13" s="1"/>
  <c r="E22" i="13"/>
  <c r="D21" i="13"/>
  <c r="S72" i="15"/>
  <c r="D22" i="13" l="1"/>
  <c r="S73" i="15"/>
  <c r="G23" i="13"/>
  <c r="C24" i="13" s="1"/>
  <c r="E23" i="13"/>
  <c r="D23" i="13" l="1"/>
  <c r="S74" i="15"/>
  <c r="G24" i="13"/>
  <c r="C25" i="13" s="1"/>
  <c r="E24" i="13"/>
  <c r="D24" i="13" l="1"/>
  <c r="S75" i="15"/>
  <c r="G25" i="13"/>
  <c r="C26" i="13" s="1"/>
  <c r="E25" i="13"/>
  <c r="D25" i="13" l="1"/>
  <c r="S76" i="15"/>
  <c r="G26" i="13"/>
  <c r="C27" i="13" s="1"/>
  <c r="E26" i="13"/>
  <c r="D26" i="13" l="1"/>
  <c r="S77" i="15"/>
  <c r="G27" i="13"/>
  <c r="C28" i="13" s="1"/>
  <c r="E27" i="13"/>
  <c r="E28" i="13" l="1"/>
  <c r="G28" i="13"/>
  <c r="C29" i="13" s="1"/>
  <c r="D27" i="13"/>
  <c r="S78" i="15"/>
  <c r="G29" i="13" l="1"/>
  <c r="C30" i="13" s="1"/>
  <c r="E29" i="13"/>
  <c r="D28" i="13"/>
  <c r="S79" i="15"/>
  <c r="D29" i="13" l="1"/>
  <c r="S80" i="15"/>
  <c r="G30" i="13"/>
  <c r="C31" i="13" s="1"/>
  <c r="E30" i="13"/>
  <c r="G31" i="13" l="1"/>
  <c r="C32" i="13" s="1"/>
  <c r="E31" i="13"/>
  <c r="D30" i="13"/>
  <c r="S81" i="15"/>
  <c r="D31" i="13" l="1"/>
  <c r="S82" i="15"/>
  <c r="G32" i="13"/>
  <c r="C33" i="13" s="1"/>
  <c r="E32" i="13"/>
  <c r="D32" i="13" l="1"/>
  <c r="S83" i="15"/>
  <c r="E33" i="13"/>
  <c r="G33" i="13"/>
  <c r="C34" i="13" s="1"/>
  <c r="D33" i="13" l="1"/>
  <c r="S84" i="15"/>
  <c r="G34" i="13"/>
  <c r="C35" i="13" s="1"/>
  <c r="E34" i="13"/>
  <c r="G35" i="13" l="1"/>
  <c r="C36" i="13" s="1"/>
  <c r="E35" i="13"/>
  <c r="D34" i="13"/>
  <c r="S85" i="15"/>
  <c r="D35" i="13" l="1"/>
  <c r="S86" i="15"/>
  <c r="E36" i="13"/>
  <c r="G36" i="13"/>
  <c r="C37" i="13" s="1"/>
  <c r="D36" i="13" l="1"/>
  <c r="S87" i="15"/>
  <c r="E37" i="13"/>
  <c r="G37" i="13"/>
  <c r="C38" i="13" s="1"/>
  <c r="D37" i="13" l="1"/>
  <c r="S88" i="15"/>
  <c r="G38" i="13"/>
  <c r="C39" i="13" s="1"/>
  <c r="E38" i="13"/>
  <c r="D38" i="13" l="1"/>
  <c r="S89" i="15"/>
  <c r="G39" i="13"/>
  <c r="C40" i="13" s="1"/>
  <c r="E39" i="13"/>
  <c r="D39" i="13" l="1"/>
  <c r="S90" i="15"/>
  <c r="G40" i="13"/>
  <c r="C41" i="13" s="1"/>
  <c r="E40" i="13"/>
  <c r="D40" i="13" l="1"/>
  <c r="S91" i="15"/>
  <c r="E41" i="13"/>
  <c r="G41" i="13"/>
  <c r="C42" i="13" s="1"/>
  <c r="G42" i="13" l="1"/>
  <c r="C43" i="13" s="1"/>
  <c r="E42" i="13"/>
  <c r="D41" i="13"/>
  <c r="S92" i="15"/>
  <c r="D42" i="13" l="1"/>
  <c r="S93" i="15"/>
  <c r="G43" i="13"/>
  <c r="C44" i="13" s="1"/>
  <c r="E43" i="13"/>
  <c r="D43" i="13" l="1"/>
  <c r="S94" i="15"/>
  <c r="E44" i="13"/>
  <c r="G44" i="13"/>
  <c r="C45" i="13" s="1"/>
  <c r="G45" i="13" l="1"/>
  <c r="C46" i="13" s="1"/>
  <c r="E45" i="13"/>
  <c r="D44" i="13"/>
  <c r="S95" i="15"/>
  <c r="D45" i="13" l="1"/>
  <c r="S96" i="15"/>
  <c r="E46" i="13"/>
  <c r="G46" i="13"/>
  <c r="C47" i="13" s="1"/>
  <c r="G47" i="13" l="1"/>
  <c r="C48" i="13" s="1"/>
  <c r="E47" i="13"/>
  <c r="D46" i="13"/>
  <c r="S97" i="15"/>
  <c r="D47" i="13" l="1"/>
  <c r="S98" i="15"/>
  <c r="G48" i="13"/>
  <c r="C49" i="13" s="1"/>
  <c r="E48" i="13"/>
  <c r="D48" i="13" l="1"/>
  <c r="S99" i="15"/>
  <c r="E49" i="13"/>
  <c r="G49" i="13"/>
  <c r="C50" i="13" s="1"/>
  <c r="D49" i="13" l="1"/>
  <c r="S100" i="15"/>
  <c r="G50" i="13"/>
  <c r="C51" i="13" s="1"/>
  <c r="E50" i="13"/>
  <c r="D50" i="13" l="1"/>
  <c r="S101" i="15"/>
  <c r="G51" i="13"/>
  <c r="C52" i="13" s="1"/>
  <c r="E51" i="13"/>
  <c r="D51" i="13" l="1"/>
  <c r="S102" i="15"/>
  <c r="E52" i="13"/>
  <c r="G52" i="13"/>
  <c r="C53" i="13" s="1"/>
  <c r="E53" i="13" l="1"/>
  <c r="G53" i="13"/>
  <c r="C54" i="13" s="1"/>
  <c r="D52" i="13"/>
  <c r="S103" i="15"/>
  <c r="G54" i="13" l="1"/>
  <c r="C55" i="13" s="1"/>
  <c r="E54" i="13"/>
  <c r="D53" i="13"/>
  <c r="S104" i="15"/>
  <c r="D54" i="13" l="1"/>
  <c r="S105" i="15"/>
  <c r="E55" i="13"/>
  <c r="G55" i="13"/>
  <c r="C56" i="13" s="1"/>
  <c r="D55" i="13" l="1"/>
  <c r="S106" i="15"/>
  <c r="F56" i="13"/>
  <c r="Z107" i="15" s="1"/>
  <c r="E56" i="13"/>
  <c r="Z115" i="15" l="1"/>
  <c r="Z114" i="15"/>
  <c r="Z116" i="15"/>
  <c r="G56" i="13"/>
  <c r="D56" i="13"/>
  <c r="S107" i="15"/>
  <c r="S114" i="15" l="1"/>
  <c r="S116" i="15"/>
  <c r="S115" i="15"/>
  <c r="B119" i="15" s="1"/>
  <c r="Z55" i="15"/>
  <c r="Z57" i="15" s="1"/>
  <c r="Z117" i="15"/>
  <c r="Y48" i="119" s="1"/>
  <c r="E170" i="119" s="1"/>
  <c r="S117" i="15" l="1"/>
  <c r="AA55" i="15"/>
  <c r="AA57" i="15" s="1"/>
  <c r="E17" i="15" s="1"/>
  <c r="C119" i="15"/>
  <c r="D19" i="34" s="1"/>
  <c r="C122" i="15"/>
  <c r="D22" i="34" s="1"/>
  <c r="C124" i="15"/>
  <c r="D24" i="34" s="1"/>
  <c r="C123" i="15"/>
  <c r="D23" i="34" s="1"/>
  <c r="C125" i="15"/>
  <c r="D25" i="34" s="1"/>
  <c r="C120" i="15"/>
  <c r="D20" i="34" s="1"/>
  <c r="C121" i="15"/>
  <c r="D21" i="34" s="1"/>
  <c r="F71" i="15" l="1"/>
  <c r="T71" i="15" s="1"/>
  <c r="F97" i="15"/>
  <c r="T97" i="15" s="1"/>
  <c r="F104" i="15"/>
  <c r="T104" i="15" s="1"/>
  <c r="F105" i="15"/>
  <c r="T105" i="15" s="1"/>
  <c r="F84" i="15"/>
  <c r="T84" i="15" s="1"/>
  <c r="F88" i="15"/>
  <c r="T88" i="15" s="1"/>
  <c r="E16" i="15"/>
  <c r="F98" i="15"/>
  <c r="T98" i="15" s="1"/>
  <c r="F83" i="15"/>
  <c r="T83" i="15" s="1"/>
  <c r="F96" i="15"/>
  <c r="T96" i="15" s="1"/>
  <c r="F102" i="15"/>
  <c r="T102" i="15" s="1"/>
  <c r="F78" i="15"/>
  <c r="T78" i="15" s="1"/>
  <c r="F81" i="15"/>
  <c r="T81" i="15" s="1"/>
  <c r="F92" i="15"/>
  <c r="T92" i="15" s="1"/>
  <c r="F91" i="15"/>
  <c r="T91" i="15" s="1"/>
  <c r="F86" i="15"/>
  <c r="T86" i="15" s="1"/>
  <c r="F76" i="15"/>
  <c r="T76" i="15" s="1"/>
  <c r="F103" i="15"/>
  <c r="T103" i="15" s="1"/>
  <c r="F69" i="15"/>
  <c r="T69" i="15" s="1"/>
  <c r="F89" i="15"/>
  <c r="T89" i="15" s="1"/>
  <c r="F79" i="15"/>
  <c r="T79" i="15" s="1"/>
  <c r="F95" i="15"/>
  <c r="T95" i="15" s="1"/>
  <c r="F68" i="15"/>
  <c r="F94" i="15"/>
  <c r="T94" i="15" s="1"/>
  <c r="F80" i="15"/>
  <c r="T80" i="15" s="1"/>
  <c r="F85" i="15"/>
  <c r="T85" i="15" s="1"/>
  <c r="F72" i="15"/>
  <c r="T72" i="15" s="1"/>
  <c r="F70" i="15"/>
  <c r="T70" i="15" s="1"/>
  <c r="F100" i="15"/>
  <c r="T100" i="15" s="1"/>
  <c r="F106" i="15"/>
  <c r="T106" i="15" s="1"/>
  <c r="F93" i="15"/>
  <c r="T93" i="15" s="1"/>
  <c r="F107" i="15"/>
  <c r="T107" i="15" s="1"/>
  <c r="F99" i="15"/>
  <c r="T99" i="15" s="1"/>
  <c r="F73" i="15"/>
  <c r="T73" i="15" s="1"/>
  <c r="F74" i="15"/>
  <c r="T74" i="15" s="1"/>
  <c r="F82" i="15"/>
  <c r="T82" i="15" s="1"/>
  <c r="F101" i="15"/>
  <c r="T101" i="15" s="1"/>
  <c r="F75" i="15"/>
  <c r="T75" i="15" s="1"/>
  <c r="F90" i="15"/>
  <c r="T90" i="15" s="1"/>
  <c r="F87" i="15"/>
  <c r="T87" i="15" s="1"/>
  <c r="F77" i="15"/>
  <c r="T77" i="15" s="1"/>
  <c r="X60" i="15"/>
  <c r="W48" i="119"/>
  <c r="E168" i="119" s="1"/>
  <c r="V92" i="15" l="1"/>
  <c r="X92" i="15" s="1"/>
  <c r="Y92" i="15" s="1"/>
  <c r="AC92" i="15"/>
  <c r="V81" i="15"/>
  <c r="X81" i="15" s="1"/>
  <c r="Y81" i="15" s="1"/>
  <c r="AC81" i="15"/>
  <c r="V78" i="15"/>
  <c r="X78" i="15" s="1"/>
  <c r="Y78" i="15" s="1"/>
  <c r="AC78" i="15"/>
  <c r="V102" i="15"/>
  <c r="X102" i="15" s="1"/>
  <c r="Y102" i="15" s="1"/>
  <c r="AC102" i="15"/>
  <c r="V96" i="15"/>
  <c r="X96" i="15" s="1"/>
  <c r="AA96" i="15" s="1"/>
  <c r="AC96" i="15"/>
  <c r="V107" i="15"/>
  <c r="X107" i="15" s="1"/>
  <c r="Y107" i="15" s="1"/>
  <c r="AC107" i="15"/>
  <c r="V83" i="15"/>
  <c r="X83" i="15" s="1"/>
  <c r="Y83" i="15" s="1"/>
  <c r="AC83" i="15"/>
  <c r="V91" i="15"/>
  <c r="X91" i="15" s="1"/>
  <c r="AA91" i="15" s="1"/>
  <c r="AC91" i="15"/>
  <c r="V98" i="15"/>
  <c r="X98" i="15" s="1"/>
  <c r="Y98" i="15" s="1"/>
  <c r="AC98" i="15"/>
  <c r="V70" i="15"/>
  <c r="X70" i="15" s="1"/>
  <c r="Y70" i="15" s="1"/>
  <c r="AC70" i="15"/>
  <c r="F116" i="15"/>
  <c r="F118" i="15" s="1"/>
  <c r="T68" i="15"/>
  <c r="F114" i="15"/>
  <c r="F115" i="15"/>
  <c r="D122" i="15"/>
  <c r="C22" i="34" s="1"/>
  <c r="D121" i="15"/>
  <c r="C21" i="34" s="1"/>
  <c r="D123" i="15"/>
  <c r="C23" i="34" s="1"/>
  <c r="D120" i="15"/>
  <c r="C20" i="34" s="1"/>
  <c r="D124" i="15"/>
  <c r="C24" i="34" s="1"/>
  <c r="D119" i="15"/>
  <c r="C19" i="34" s="1"/>
  <c r="D125" i="15"/>
  <c r="C25" i="34" s="1"/>
  <c r="V86" i="15"/>
  <c r="X86" i="15" s="1"/>
  <c r="Y86" i="15" s="1"/>
  <c r="AC86" i="15"/>
  <c r="V80" i="15"/>
  <c r="X80" i="15" s="1"/>
  <c r="Y80" i="15" s="1"/>
  <c r="AC80" i="15"/>
  <c r="V95" i="15"/>
  <c r="X95" i="15" s="1"/>
  <c r="Y95" i="15" s="1"/>
  <c r="AC95" i="15"/>
  <c r="V88" i="15"/>
  <c r="X88" i="15" s="1"/>
  <c r="AA88" i="15" s="1"/>
  <c r="AC88" i="15"/>
  <c r="V100" i="15"/>
  <c r="X100" i="15" s="1"/>
  <c r="Y100" i="15" s="1"/>
  <c r="AC100" i="15"/>
  <c r="V77" i="15"/>
  <c r="X77" i="15" s="1"/>
  <c r="Y77" i="15" s="1"/>
  <c r="AC77" i="15"/>
  <c r="V101" i="15"/>
  <c r="X101" i="15" s="1"/>
  <c r="Y101" i="15" s="1"/>
  <c r="AC101" i="15"/>
  <c r="V79" i="15"/>
  <c r="X79" i="15" s="1"/>
  <c r="Y79" i="15" s="1"/>
  <c r="AC79" i="15"/>
  <c r="V84" i="15"/>
  <c r="X84" i="15" s="1"/>
  <c r="Y84" i="15" s="1"/>
  <c r="AC84" i="15"/>
  <c r="V72" i="15"/>
  <c r="X72" i="15" s="1"/>
  <c r="Y72" i="15" s="1"/>
  <c r="AC72" i="15"/>
  <c r="V87" i="15"/>
  <c r="X87" i="15" s="1"/>
  <c r="Y87" i="15" s="1"/>
  <c r="AC87" i="15"/>
  <c r="V82" i="15"/>
  <c r="X82" i="15" s="1"/>
  <c r="Y82" i="15" s="1"/>
  <c r="AC82" i="15"/>
  <c r="V89" i="15"/>
  <c r="X89" i="15" s="1"/>
  <c r="Y89" i="15" s="1"/>
  <c r="AC89" i="15"/>
  <c r="V105" i="15"/>
  <c r="X105" i="15" s="1"/>
  <c r="Y105" i="15" s="1"/>
  <c r="AC105" i="15"/>
  <c r="V106" i="15"/>
  <c r="X106" i="15" s="1"/>
  <c r="Y106" i="15" s="1"/>
  <c r="AC106" i="15"/>
  <c r="V94" i="15"/>
  <c r="X94" i="15" s="1"/>
  <c r="AA94" i="15" s="1"/>
  <c r="AC94" i="15"/>
  <c r="V74" i="15"/>
  <c r="X74" i="15" s="1"/>
  <c r="Y74" i="15" s="1"/>
  <c r="AC74" i="15"/>
  <c r="V69" i="15"/>
  <c r="X69" i="15" s="1"/>
  <c r="AA69" i="15" s="1"/>
  <c r="AC69" i="15"/>
  <c r="V104" i="15"/>
  <c r="X104" i="15" s="1"/>
  <c r="Y104" i="15" s="1"/>
  <c r="AC104" i="15"/>
  <c r="V85" i="15"/>
  <c r="X85" i="15" s="1"/>
  <c r="Y85" i="15" s="1"/>
  <c r="AC85" i="15"/>
  <c r="V90" i="15"/>
  <c r="X90" i="15" s="1"/>
  <c r="Y90" i="15" s="1"/>
  <c r="AC90" i="15"/>
  <c r="V73" i="15"/>
  <c r="X73" i="15" s="1"/>
  <c r="Y73" i="15" s="1"/>
  <c r="AC73" i="15"/>
  <c r="V103" i="15"/>
  <c r="X103" i="15" s="1"/>
  <c r="Y103" i="15" s="1"/>
  <c r="AC103" i="15"/>
  <c r="V97" i="15"/>
  <c r="X97" i="15" s="1"/>
  <c r="Y97" i="15" s="1"/>
  <c r="AC97" i="15"/>
  <c r="V93" i="15"/>
  <c r="X93" i="15" s="1"/>
  <c r="Y93" i="15" s="1"/>
  <c r="AC93" i="15"/>
  <c r="V75" i="15"/>
  <c r="X75" i="15" s="1"/>
  <c r="Y75" i="15" s="1"/>
  <c r="AC75" i="15"/>
  <c r="V99" i="15"/>
  <c r="X99" i="15" s="1"/>
  <c r="Y99" i="15" s="1"/>
  <c r="AC99" i="15"/>
  <c r="V76" i="15"/>
  <c r="X76" i="15" s="1"/>
  <c r="Y76" i="15" s="1"/>
  <c r="AC76" i="15"/>
  <c r="V71" i="15"/>
  <c r="X71" i="15" s="1"/>
  <c r="Y71" i="15" s="1"/>
  <c r="AC71" i="15"/>
  <c r="AA102" i="15" l="1"/>
  <c r="AA72" i="15"/>
  <c r="AA81" i="15"/>
  <c r="AA84" i="15"/>
  <c r="AA104" i="15"/>
  <c r="AA78" i="15"/>
  <c r="AA99" i="15"/>
  <c r="AA86" i="15"/>
  <c r="AA92" i="15"/>
  <c r="AA76" i="15"/>
  <c r="Y88" i="15"/>
  <c r="AA105" i="15"/>
  <c r="AA70" i="15"/>
  <c r="AA89" i="15"/>
  <c r="AA98" i="15"/>
  <c r="AA82" i="15"/>
  <c r="Y91" i="15"/>
  <c r="AA74" i="15"/>
  <c r="AA87" i="15"/>
  <c r="AA100" i="15"/>
  <c r="AA85" i="15"/>
  <c r="AA83" i="15"/>
  <c r="AA106" i="15"/>
  <c r="AA71" i="15"/>
  <c r="V68" i="15"/>
  <c r="AC68" i="15"/>
  <c r="T116" i="15"/>
  <c r="T114" i="15"/>
  <c r="T115" i="15"/>
  <c r="K48" i="119"/>
  <c r="E155" i="119" s="1"/>
  <c r="AG118" i="15"/>
  <c r="AA101" i="15"/>
  <c r="AA80" i="15"/>
  <c r="Y96" i="15"/>
  <c r="AA93" i="15"/>
  <c r="AA77" i="15"/>
  <c r="C26" i="34"/>
  <c r="AA103" i="15"/>
  <c r="AA73" i="15"/>
  <c r="Y69" i="15"/>
  <c r="AA90" i="15"/>
  <c r="Y94" i="15"/>
  <c r="AA97" i="15"/>
  <c r="AA75" i="15"/>
  <c r="AA95" i="15"/>
  <c r="AA107" i="15"/>
  <c r="AA79" i="15"/>
  <c r="AC114" i="15" l="1"/>
  <c r="E21" i="15"/>
  <c r="E19" i="15" s="1"/>
  <c r="AC115" i="15"/>
  <c r="AC116" i="15"/>
  <c r="F155" i="119"/>
  <c r="F156" i="119"/>
  <c r="F157" i="119"/>
  <c r="X68" i="15"/>
  <c r="V116" i="15"/>
  <c r="V115" i="15"/>
  <c r="V114" i="15"/>
  <c r="X114" i="15" l="1"/>
  <c r="X115" i="15"/>
  <c r="X116" i="15"/>
  <c r="X117" i="15" s="1"/>
  <c r="Y68" i="15"/>
  <c r="AA68" i="15"/>
  <c r="H156" i="119"/>
  <c r="K156" i="119" s="1"/>
  <c r="I157" i="119"/>
  <c r="L157" i="119" s="1"/>
  <c r="N157" i="119" s="1"/>
  <c r="H155" i="119"/>
  <c r="K155" i="119" s="1"/>
  <c r="I156" i="119"/>
  <c r="L156" i="119" s="1"/>
  <c r="I155" i="119"/>
  <c r="L155" i="119" s="1"/>
  <c r="H157" i="119"/>
  <c r="K157" i="119" s="1"/>
  <c r="N156" i="119" l="1"/>
  <c r="L171" i="119"/>
  <c r="N155" i="119"/>
  <c r="Y115" i="15"/>
  <c r="Y116" i="15"/>
  <c r="Y114" i="15"/>
  <c r="AA115" i="15"/>
  <c r="E26" i="15"/>
  <c r="H17" i="6" s="1"/>
  <c r="AA116" i="15"/>
  <c r="E20" i="15"/>
  <c r="E18" i="15" s="1"/>
  <c r="AA114" i="15"/>
  <c r="AB68" i="15"/>
  <c r="X48" i="119"/>
  <c r="E169" i="119" s="1"/>
  <c r="AG117" i="15"/>
  <c r="AB69" i="15" l="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F169" i="119"/>
  <c r="F170" i="119"/>
  <c r="F165" i="119"/>
  <c r="F164" i="119"/>
  <c r="F167" i="119"/>
  <c r="F162" i="119"/>
  <c r="F168" i="119"/>
  <c r="F160" i="119"/>
  <c r="F163" i="119"/>
  <c r="F166" i="119"/>
  <c r="F159" i="119"/>
  <c r="F161" i="119"/>
  <c r="AB115" i="15" l="1"/>
  <c r="AB114" i="15"/>
  <c r="I164" i="119"/>
  <c r="M164" i="119" s="1"/>
  <c r="I165" i="119"/>
  <c r="M165" i="119" s="1"/>
  <c r="I170" i="119"/>
  <c r="M170" i="119" s="1"/>
  <c r="H166" i="119"/>
  <c r="K166" i="119" s="1"/>
  <c r="H170" i="119"/>
  <c r="K170" i="119" s="1"/>
  <c r="I163" i="119"/>
  <c r="M163" i="119" s="1"/>
  <c r="H169" i="119"/>
  <c r="K169" i="119" s="1"/>
  <c r="H162" i="119"/>
  <c r="K162" i="119" s="1"/>
  <c r="I161" i="119"/>
  <c r="M161" i="119" s="1"/>
  <c r="I162" i="119"/>
  <c r="M162" i="119" s="1"/>
  <c r="H167" i="119"/>
  <c r="K167" i="119" s="1"/>
  <c r="I169" i="119"/>
  <c r="M169" i="119" s="1"/>
  <c r="I160" i="119"/>
  <c r="M160" i="119" s="1"/>
  <c r="H161" i="119"/>
  <c r="K161" i="119" s="1"/>
  <c r="H163" i="119"/>
  <c r="K163" i="119" s="1"/>
  <c r="H160" i="119"/>
  <c r="K160" i="119" s="1"/>
  <c r="H168" i="119"/>
  <c r="K168" i="119" s="1"/>
  <c r="H165" i="119"/>
  <c r="K165" i="119" s="1"/>
  <c r="I168" i="119"/>
  <c r="M168" i="119" s="1"/>
  <c r="I167" i="119"/>
  <c r="M167" i="119" s="1"/>
  <c r="I166" i="119"/>
  <c r="M166" i="119" s="1"/>
  <c r="H159" i="119"/>
  <c r="K159" i="119" s="1"/>
  <c r="I159" i="119"/>
  <c r="M159" i="119" s="1"/>
  <c r="H164" i="119"/>
  <c r="K164" i="119" s="1"/>
  <c r="AB116" i="15"/>
  <c r="N160" i="119" l="1"/>
  <c r="N163" i="119"/>
  <c r="N169" i="119"/>
  <c r="N166" i="119"/>
  <c r="N161" i="119"/>
  <c r="N162" i="119"/>
  <c r="N170" i="119"/>
  <c r="N159" i="119"/>
  <c r="M171" i="119"/>
  <c r="N171" i="119" s="1"/>
  <c r="N167" i="119"/>
  <c r="N165" i="119"/>
  <c r="N164" i="119"/>
  <c r="N168"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C30" authorId="0" shapeId="0" xr:uid="{46269D44-DA77-40B6-A6F6-09406CB060A0}">
      <text>
        <r>
          <rPr>
            <b/>
            <sz val="9"/>
            <color indexed="81"/>
            <rFont val="Tahoma"/>
            <family val="2"/>
          </rPr>
          <t>Windows User:</t>
        </r>
        <r>
          <rPr>
            <sz val="9"/>
            <color indexed="81"/>
            <rFont val="Tahoma"/>
            <family val="2"/>
          </rPr>
          <t xml:space="preserve">
Set to 0 to turn off carbon sequestration</t>
        </r>
      </text>
    </comment>
    <comment ref="J34" authorId="0" shapeId="0" xr:uid="{00000000-0006-0000-0700-000001000000}">
      <text>
        <r>
          <rPr>
            <b/>
            <sz val="8"/>
            <color indexed="81"/>
            <rFont val="Tahoma"/>
            <family val="2"/>
          </rPr>
          <t>Windows User:</t>
        </r>
        <r>
          <rPr>
            <sz val="8"/>
            <color indexed="81"/>
            <rFont val="Tahoma"/>
            <family val="2"/>
          </rPr>
          <t xml:space="preserve">
Not used in calculation.  Instead, electricity usage is added to production site electricity consumption (kWh/kg), input sheet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sharedStrings.xml><?xml version="1.0" encoding="utf-8"?>
<sst xmlns="http://schemas.openxmlformats.org/spreadsheetml/2006/main" count="3995" uniqueCount="1481">
  <si>
    <t>Real Present Value of Depreciation</t>
  </si>
  <si>
    <t>Approx Capital Charge Rate</t>
  </si>
  <si>
    <t>Cost Contribution ($/ kg H2)</t>
  </si>
  <si>
    <t>Cost Contribution ($/ tonne CO2 Sequestered)</t>
  </si>
  <si>
    <t>O&amp;M Cost</t>
  </si>
  <si>
    <t>Energy Cost</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</si>
  <si>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</si>
  <si>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</si>
  <si>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</si>
  <si>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</si>
  <si>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</si>
  <si>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</si>
  <si>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</si>
  <si>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</si>
  <si>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</si>
  <si>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</si>
  <si>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</si>
  <si>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</si>
  <si>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</si>
  <si>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</si>
  <si>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</si>
  <si>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</si>
  <si>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</si>
  <si>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</si>
  <si>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</si>
  <si>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</si>
  <si>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</si>
  <si>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</si>
  <si>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</si>
  <si>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</si>
  <si>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</si>
  <si>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</si>
  <si>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</si>
  <si>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</si>
  <si>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</si>
  <si>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</si>
  <si>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</si>
  <si>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</si>
  <si>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</si>
  <si>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</si>
  <si>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</si>
  <si>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</si>
  <si>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</si>
  <si>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</si>
  <si>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</si>
  <si>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</si>
  <si>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</si>
  <si>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</si>
  <si>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</si>
  <si>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</si>
  <si>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</si>
  <si>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</si>
  <si>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</si>
  <si>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</si>
  <si>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</si>
  <si>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</si>
  <si>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</si>
  <si>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</si>
  <si>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</si>
  <si>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</si>
  <si>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</si>
  <si>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</si>
  <si>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</si>
  <si>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</si>
  <si>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</si>
  <si>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</si>
  <si>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</si>
  <si>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</si>
  <si>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</si>
  <si>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</si>
  <si>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</si>
  <si>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</si>
  <si>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</si>
  <si>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</si>
  <si>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</si>
  <si>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</si>
  <si>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</si>
  <si>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</si>
  <si>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</si>
  <si>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</si>
  <si>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</si>
  <si>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</si>
  <si>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</si>
  <si>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</si>
  <si>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</si>
  <si>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</si>
  <si>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</si>
  <si>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</si>
  <si>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</si>
  <si>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</si>
  <si>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</si>
  <si>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</si>
  <si>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</si>
  <si>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</si>
  <si>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</si>
  <si>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</si>
  <si>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</si>
  <si>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</si>
  <si>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</si>
  <si>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</si>
  <si>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</si>
  <si>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</si>
  <si>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</si>
  <si>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</si>
  <si>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</si>
  <si>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</si>
  <si>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</si>
  <si>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</si>
  <si>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</si>
  <si>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</si>
  <si>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</si>
  <si>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</si>
  <si>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</si>
  <si>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</si>
  <si>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</si>
  <si>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</si>
  <si>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</si>
  <si>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</si>
  <si>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</si>
  <si>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</si>
  <si>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</si>
  <si>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</si>
  <si>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</si>
  <si>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</si>
  <si>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</si>
  <si>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</si>
  <si>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</si>
  <si>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</si>
  <si>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</si>
  <si>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</si>
  <si>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</si>
  <si>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</si>
  <si>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</si>
  <si>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</si>
  <si>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</si>
  <si>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</si>
  <si>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</si>
  <si>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</si>
  <si>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</si>
  <si>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</si>
  <si>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</si>
  <si>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</si>
  <si>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</si>
  <si>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</si>
  <si>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</si>
  <si>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</si>
  <si>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</si>
  <si>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</si>
  <si>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</si>
  <si>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</si>
  <si>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</si>
  <si>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</si>
  <si>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</si>
  <si>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</si>
  <si>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</si>
  <si>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</si>
  <si>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</si>
  <si>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</si>
  <si>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</si>
  <si>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</si>
  <si>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</si>
  <si>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</si>
  <si>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</si>
  <si>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</si>
  <si>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</si>
  <si>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</si>
  <si>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</si>
  <si>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</si>
  <si>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</si>
  <si>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</si>
  <si>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</si>
  <si>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</si>
  <si>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</si>
  <si>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</si>
  <si>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</si>
  <si>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</si>
  <si>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</si>
  <si>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</si>
  <si>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</si>
  <si>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</si>
  <si>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</si>
  <si>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</si>
  <si>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</si>
  <si>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</si>
  <si>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</si>
  <si>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</si>
  <si>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</si>
  <si>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</si>
  <si>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</si>
  <si>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</si>
  <si>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</si>
  <si>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</si>
  <si>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</si>
  <si>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</si>
  <si>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</si>
  <si>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</si>
  <si>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</si>
  <si>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</si>
  <si>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</si>
  <si>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</si>
  <si>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</si>
  <si>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</si>
  <si>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</si>
  <si>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</si>
  <si>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</si>
  <si>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</si>
  <si>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</si>
  <si>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</si>
  <si>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</si>
  <si>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</si>
  <si>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</si>
  <si>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</si>
  <si>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</si>
  <si>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</si>
  <si>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</si>
  <si>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</si>
  <si>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</si>
  <si>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</si>
  <si>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</si>
  <si>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</si>
  <si>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</si>
  <si>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</si>
  <si>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</si>
  <si>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</si>
  <si>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</si>
  <si>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</si>
  <si>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</si>
  <si>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</si>
  <si>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</si>
  <si>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</si>
  <si>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</si>
  <si>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</si>
  <si>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</si>
  <si>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</si>
  <si>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</si>
  <si>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</si>
  <si>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</si>
  <si>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</si>
  <si>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</si>
  <si>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</si>
  <si>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</si>
  <si>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</si>
  <si>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</si>
  <si>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</si>
  <si>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</si>
  <si>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</si>
  <si>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</si>
  <si>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</si>
  <si>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</si>
  <si>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</si>
  <si>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</si>
  <si>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</si>
  <si>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</si>
  <si>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</si>
  <si>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</si>
  <si>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</si>
  <si>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</si>
  <si>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</si>
  <si>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</si>
  <si>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</si>
  <si>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</si>
  <si>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</si>
  <si>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</si>
  <si>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</si>
  <si>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</si>
  <si>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</si>
  <si>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</si>
  <si>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</si>
  <si>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</si>
  <si>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</si>
  <si>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</si>
  <si>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</si>
  <si>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</si>
  <si>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</si>
  <si>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</si>
  <si>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</si>
  <si>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</si>
  <si>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</si>
  <si>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</si>
  <si>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</si>
  <si>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</si>
  <si>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</si>
  <si>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</si>
  <si>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</si>
  <si>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</si>
  <si>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</si>
  <si>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</si>
  <si>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</si>
  <si>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</si>
  <si>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</si>
  <si>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</si>
  <si>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</si>
  <si>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</si>
  <si>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</si>
  <si>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</si>
  <si>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</si>
  <si>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</si>
  <si>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</si>
  <si>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</si>
  <si>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</si>
  <si>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</si>
  <si>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</si>
  <si>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</si>
  <si>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</si>
  <si>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</si>
  <si>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</si>
  <si>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</si>
  <si>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</si>
  <si>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</si>
  <si>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</si>
  <si>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</si>
  <si>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</si>
  <si>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</si>
  <si>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</si>
  <si>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</si>
  <si>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</si>
  <si>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</si>
  <si>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</si>
  <si>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</si>
  <si>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</si>
  <si>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</si>
  <si>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</si>
  <si>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</si>
  <si>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</si>
  <si>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</si>
  <si>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</si>
  <si>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</si>
  <si>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</si>
  <si>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</si>
  <si>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</si>
  <si>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</si>
  <si>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</si>
  <si>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</si>
  <si>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</si>
  <si>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</si>
  <si>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</si>
  <si>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</si>
  <si>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</si>
  <si>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</si>
  <si>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</si>
  <si>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</si>
  <si>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</si>
  <si>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</si>
  <si>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</si>
  <si>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</si>
  <si>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</si>
  <si>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</si>
  <si>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</si>
  <si>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</si>
  <si>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</si>
  <si>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</si>
  <si>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</si>
  <si>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</si>
  <si>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</si>
  <si>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</si>
  <si>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</si>
  <si>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</si>
  <si>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</si>
  <si>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</si>
  <si>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</si>
  <si>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</si>
  <si>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</si>
  <si>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</si>
  <si>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</si>
  <si>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</si>
  <si>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</si>
  <si>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</si>
  <si>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</si>
  <si>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</si>
  <si>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</si>
  <si>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</si>
  <si>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</si>
  <si>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</si>
  <si>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</si>
  <si>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</si>
  <si>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</si>
  <si>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</si>
  <si>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</si>
  <si>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</si>
  <si>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</si>
  <si>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</si>
  <si>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</si>
  <si>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</si>
  <si>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</si>
  <si>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</si>
  <si>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</si>
  <si>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</si>
  <si>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</si>
  <si>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</si>
  <si>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</si>
  <si>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</si>
  <si>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</si>
  <si>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</si>
  <si>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</si>
  <si>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</si>
  <si>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</si>
  <si>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</si>
  <si>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</si>
  <si>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</si>
  <si>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</si>
  <si>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</si>
  <si>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</si>
  <si>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</si>
  <si>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</si>
  <si>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</si>
  <si>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</si>
  <si>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</si>
  <si>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</si>
  <si>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Costs for carbon (CO2) compression, transport to the sequestration site and injection are calculated in this section.  Capital and operating costs for carbon capture are assumed to be included in the capital and operating costs for the production facility and are not included here.  For H2A analysis of hydrogen production processes, it is assumed that only carbon contained in the process feedstock can be captured.  Carbon contained in fuels such as natural gas used for steam generation (i.e., as a utility) cannot be captured.  Therefore, only CO2 emissions from feedstocks are shown below.  CO2 emissions from fuels used as utilities are included in the total emissions from the process shown on the Results sheet.  All feedstocks and utilities should be specified before completing this section.  See the QuickStart Guide for information on the derivation of the equations used in this section.</t>
  </si>
  <si>
    <t>Carbon Sequestration Information</t>
  </si>
  <si>
    <t>Carbon Sequestration Input Values</t>
  </si>
  <si>
    <t>CO2 emissions are based on the carbon content of the feed.  See the Physical Properties Table for specific values</t>
  </si>
  <si>
    <t>kW</t>
  </si>
  <si>
    <t>psi</t>
  </si>
  <si>
    <t>O&amp;M Costs</t>
  </si>
  <si>
    <t>cultivated land</t>
  </si>
  <si>
    <t>grassland</t>
  </si>
  <si>
    <t>wooded</t>
  </si>
  <si>
    <t>jungle</t>
  </si>
  <si>
    <t>&lt;20% Mountainous</t>
  </si>
  <si>
    <t>stony desert</t>
  </si>
  <si>
    <t>&gt;50% Mountainous</t>
  </si>
  <si>
    <t>UK</t>
  </si>
  <si>
    <t>Summary of Output Values</t>
  </si>
  <si>
    <t>CO2 Compressor</t>
  </si>
  <si>
    <t>CO2 Injection (Site and wells)</t>
  </si>
  <si>
    <t>CO2 Pipeline</t>
  </si>
  <si>
    <t>CO2 Mass Flowrate (metric tons/day)</t>
  </si>
  <si>
    <t>Plant Output (kg/day)</t>
  </si>
  <si>
    <t>Electricity Cost ($/kWh)</t>
  </si>
  <si>
    <t>Price for industrial electricity in the startup year</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</si>
  <si>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</si>
  <si>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</si>
  <si>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</si>
  <si>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</si>
  <si>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</si>
  <si>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</si>
  <si>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</si>
  <si>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</si>
  <si>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</si>
  <si>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</si>
  <si>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</si>
  <si>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</si>
  <si>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</si>
  <si>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</si>
  <si>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</si>
  <si>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</si>
  <si>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</si>
  <si>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</si>
  <si>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</si>
  <si>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</si>
  <si>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</si>
  <si>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</si>
  <si>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</si>
  <si>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</si>
  <si>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</si>
  <si>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</si>
  <si>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</si>
  <si>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</si>
  <si>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</si>
  <si>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</si>
  <si>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</si>
  <si>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</si>
  <si>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</si>
  <si>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</si>
  <si>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</si>
  <si>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</si>
  <si>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</si>
  <si>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</si>
  <si>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</si>
  <si>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</si>
  <si>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</si>
  <si>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</si>
  <si>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</si>
  <si>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</si>
  <si>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</si>
  <si>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</si>
  <si>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</si>
  <si>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</si>
  <si>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</si>
  <si>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</si>
  <si>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</si>
  <si>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</si>
  <si>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</si>
  <si>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</si>
  <si>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</si>
  <si>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</si>
  <si>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</si>
  <si>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</si>
  <si>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</si>
  <si>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</si>
  <si>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</si>
  <si>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</si>
  <si>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</si>
  <si>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</si>
  <si>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</si>
  <si>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</si>
  <si>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</si>
  <si>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</si>
  <si>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</si>
  <si>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</si>
  <si>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</si>
  <si>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</si>
  <si>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</si>
  <si>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</si>
  <si>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</si>
  <si>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</si>
  <si>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</si>
  <si>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</si>
  <si>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</si>
  <si>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</si>
  <si>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</si>
  <si>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</si>
  <si>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</si>
  <si>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</si>
  <si>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</si>
  <si>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</si>
  <si>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</si>
  <si>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</si>
  <si>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</si>
  <si>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</si>
  <si>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</si>
  <si>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</si>
  <si>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</si>
  <si>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</si>
  <si>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</si>
  <si>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</si>
  <si>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</si>
  <si>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</si>
  <si>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</si>
  <si>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</si>
  <si>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</si>
  <si>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</si>
  <si>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</si>
  <si>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</si>
  <si>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</si>
  <si>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</si>
  <si>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</si>
  <si>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</si>
  <si>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</si>
  <si>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</si>
  <si>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</si>
  <si>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</si>
  <si>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</si>
  <si>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</si>
  <si>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</si>
  <si>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</si>
  <si>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 capture process outlet pressure (psia)</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</si>
  <si>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</si>
  <si>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</si>
  <si>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</si>
  <si>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</si>
  <si>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</si>
  <si>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</si>
  <si>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</si>
  <si>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</si>
  <si>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</si>
  <si>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</si>
  <si>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</si>
  <si>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</si>
  <si>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</si>
  <si>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</si>
  <si>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</si>
  <si>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</si>
  <si>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</si>
  <si>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</si>
  <si>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</si>
  <si>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</si>
  <si>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</si>
  <si>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</si>
  <si>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</si>
  <si>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</si>
  <si>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</si>
  <si>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</si>
  <si>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</si>
  <si>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</si>
  <si>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</si>
  <si>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</si>
  <si>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</si>
  <si>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</si>
  <si>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</si>
  <si>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</si>
  <si>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</si>
  <si>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</si>
  <si>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</si>
  <si>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</si>
  <si>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</si>
  <si>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</si>
  <si>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</si>
  <si>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</si>
  <si>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</si>
  <si>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</si>
  <si>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</si>
  <si>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</si>
  <si>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</si>
  <si>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</si>
  <si>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</si>
  <si>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</si>
  <si>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</si>
  <si>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</si>
  <si>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</si>
  <si>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</si>
  <si>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</si>
  <si>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</si>
  <si>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</si>
  <si>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</si>
  <si>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</si>
  <si>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</si>
  <si>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</si>
  <si>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</si>
  <si>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</si>
  <si>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</si>
  <si>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</si>
  <si>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</si>
  <si>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</si>
  <si>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</si>
  <si>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</si>
  <si>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</si>
  <si>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</si>
  <si>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</si>
  <si>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</si>
  <si>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</si>
  <si>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</si>
  <si>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</si>
  <si>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</si>
  <si>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</si>
  <si>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</si>
  <si>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</si>
  <si>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</si>
  <si>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</si>
  <si>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</si>
  <si>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</si>
  <si>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</si>
  <si>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</si>
  <si>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</si>
  <si>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</si>
  <si>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</si>
  <si>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</si>
  <si>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</si>
  <si>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</si>
  <si>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</si>
  <si>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</si>
  <si>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</si>
  <si>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</si>
  <si>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</si>
  <si>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</si>
  <si>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</si>
  <si>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</si>
  <si>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</si>
  <si>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</si>
  <si>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</si>
  <si>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</si>
  <si>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</si>
  <si>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</si>
  <si>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</si>
  <si>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</si>
  <si>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</si>
  <si>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</si>
  <si>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</si>
  <si>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</si>
  <si>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</si>
  <si>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</si>
  <si>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</si>
  <si>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</si>
  <si>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</si>
  <si>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</si>
  <si>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</si>
  <si>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</si>
  <si>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</si>
  <si>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</si>
  <si>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</si>
  <si>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</si>
  <si>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</si>
  <si>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</si>
  <si>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</si>
  <si>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</si>
  <si>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</si>
  <si>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</si>
  <si>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</si>
  <si>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</si>
  <si>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</si>
  <si>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</si>
  <si>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</si>
  <si>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</si>
  <si>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</si>
  <si>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</si>
  <si>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</si>
  <si>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</si>
  <si>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</si>
  <si>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</si>
  <si>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</si>
  <si>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</si>
  <si>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</si>
  <si>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</si>
  <si>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</si>
  <si>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</si>
  <si>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</si>
  <si>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</si>
  <si>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</si>
  <si>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</si>
  <si>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</si>
  <si>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</si>
  <si>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</si>
  <si>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</si>
  <si>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</si>
  <si>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</si>
  <si>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</si>
  <si>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</si>
  <si>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</si>
  <si>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</si>
  <si>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</si>
  <si>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</si>
  <si>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</si>
  <si>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</si>
  <si>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</si>
  <si>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</si>
  <si>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</si>
  <si>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</si>
  <si>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</si>
  <si>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</si>
  <si>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</si>
  <si>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</si>
  <si>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</si>
  <si>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</si>
  <si>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</si>
  <si>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</si>
  <si>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</si>
  <si>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</si>
  <si>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</si>
  <si>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</si>
  <si>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</si>
  <si>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</si>
  <si>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</si>
  <si>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</si>
  <si>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</si>
  <si>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</si>
  <si>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</si>
  <si>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</si>
  <si>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</si>
  <si>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</si>
  <si>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</si>
  <si>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</si>
  <si>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</si>
  <si>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</si>
  <si>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</si>
  <si>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</si>
  <si>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</si>
  <si>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</si>
  <si>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</si>
  <si>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</si>
  <si>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</si>
  <si>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</si>
  <si>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</si>
  <si>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</si>
  <si>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</si>
  <si>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</si>
  <si>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</si>
  <si>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</si>
  <si>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</si>
  <si>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</si>
  <si>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</si>
  <si>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</si>
  <si>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</si>
  <si>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</si>
  <si>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</si>
  <si>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</si>
  <si>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</si>
  <si>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</si>
  <si>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</si>
  <si>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</si>
  <si>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</si>
  <si>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</si>
  <si>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</si>
  <si>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</si>
  <si>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</si>
  <si>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</si>
  <si>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</si>
  <si>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</si>
  <si>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</si>
  <si>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</si>
  <si>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</si>
  <si>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</si>
  <si>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</si>
  <si>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</si>
  <si>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</si>
  <si>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</si>
  <si>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</si>
  <si>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</si>
  <si>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</si>
  <si>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</si>
  <si>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</si>
  <si>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</si>
  <si>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</si>
  <si>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</si>
  <si>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</si>
  <si>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</si>
  <si>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</si>
  <si>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</si>
  <si>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</si>
  <si>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</si>
  <si>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</si>
  <si>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</si>
  <si>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</si>
  <si>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</si>
  <si>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</si>
  <si>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</si>
  <si>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</si>
  <si>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</si>
  <si>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</si>
  <si>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</si>
  <si>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</si>
  <si>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</si>
  <si>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</si>
  <si>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</si>
  <si>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</si>
  <si>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Electrical Costs (annual cost)</t>
  </si>
  <si>
    <t>O&amp;M (annual cost)</t>
  </si>
  <si>
    <r>
      <t>Summary of Output Values</t>
    </r>
    <r>
      <rPr>
        <b/>
        <sz val="10"/>
        <color indexed="23"/>
        <rFont val="Arial"/>
        <family val="2"/>
      </rPr>
      <t xml:space="preserve"> 
(CO2 Seq. costs are reported on Results Tab as part of total H2 Production cost)</t>
    </r>
  </si>
  <si>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</si>
  <si>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</si>
  <si>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</si>
  <si>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</si>
  <si>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</si>
  <si>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</si>
  <si>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Property tax and insurance</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</si>
  <si>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</si>
  <si>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</si>
  <si>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</si>
  <si>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NREL</t>
  </si>
  <si>
    <t>Biomass Multi-Year Program Plan April 2011, Table B-4. LHV from Table B-7 (8,000 Btu/lb). Prices starting in 2010 $82.70, 2011 $71.60, 2012, $61.57, 2013; $68.97</t>
  </si>
  <si>
    <t>feedstock</t>
  </si>
  <si>
    <t>Cost in Startup Year</t>
  </si>
  <si>
    <t>feedstock Industrial Natural Gas Usage</t>
  </si>
  <si>
    <t>feedstockIndustrial_Natural_Gas_Usage</t>
  </si>
  <si>
    <t>Usage per kg H2</t>
  </si>
  <si>
    <t>Scaling_validation</t>
  </si>
  <si>
    <t>Use Baseline Value</t>
  </si>
  <si>
    <t>IPCC Fourth Assessment Report: Climate Change 2007 (http://www.ipcc.ch/publications_and_data/ar4/wg1/en/ch2s2-10-2.html) Table 2.14 100-year potential</t>
  </si>
  <si>
    <t>Basis year</t>
  </si>
  <si>
    <t>Basis year for capital costs</t>
  </si>
  <si>
    <t>Click to enter details on the Carbon Sequestration calculation sheet.</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</si>
  <si>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</si>
  <si>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</si>
  <si>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</si>
  <si>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</si>
  <si>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</si>
  <si>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</si>
  <si>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</si>
  <si>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</si>
  <si>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</si>
  <si>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</si>
  <si>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</si>
  <si>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</si>
  <si>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</si>
  <si>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</si>
  <si>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</si>
  <si>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</si>
  <si>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</si>
  <si>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</si>
  <si>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</si>
  <si>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</si>
  <si>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</si>
  <si>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</si>
  <si>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</si>
  <si>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</si>
  <si>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</si>
  <si>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</si>
  <si>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</si>
  <si>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</si>
  <si>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</si>
  <si>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</si>
  <si>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</si>
  <si>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</si>
  <si>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</si>
  <si>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</si>
  <si>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</si>
  <si>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</si>
  <si>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</si>
  <si>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</si>
  <si>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</si>
  <si>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</si>
  <si>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</si>
  <si>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</si>
  <si>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</si>
  <si>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</si>
  <si>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</si>
  <si>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</si>
  <si>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</si>
  <si>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</si>
  <si>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</si>
  <si>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</si>
  <si>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</si>
  <si>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</si>
  <si>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</si>
  <si>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</si>
  <si>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</si>
  <si>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</si>
  <si>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</si>
  <si>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</si>
  <si>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</si>
  <si>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</si>
  <si>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</si>
  <si>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</si>
  <si>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</si>
  <si>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</si>
  <si>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</si>
  <si>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</si>
  <si>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</si>
  <si>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</si>
  <si>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</si>
  <si>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</si>
  <si>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</si>
  <si>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</si>
  <si>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</si>
  <si>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</si>
  <si>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</si>
  <si>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</si>
  <si>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</si>
  <si>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</si>
  <si>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</si>
  <si>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</si>
  <si>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</si>
  <si>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</si>
  <si>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</si>
  <si>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</si>
  <si>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</si>
  <si>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</si>
  <si>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</si>
  <si>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</si>
  <si>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</si>
  <si>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</si>
  <si>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</si>
  <si>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</si>
  <si>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</si>
  <si>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</si>
  <si>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</si>
  <si>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</si>
  <si>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</si>
  <si>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</si>
  <si>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</si>
  <si>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</si>
  <si>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</si>
  <si>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</si>
  <si>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</si>
  <si>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</si>
  <si>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</si>
  <si>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</si>
  <si>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</si>
  <si>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</si>
  <si>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</si>
  <si>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</si>
  <si>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CO2 Produced from Feedstock (kg CO2/kg H2)</t>
  </si>
  <si>
    <t>CO2 Produced from Feedstock (metric tons CO2/year)</t>
  </si>
  <si>
    <t>Process Carbon Tax ($/year)</t>
  </si>
  <si>
    <t>Process Carbon Tax ($/metric ton carbon produced as CO2)</t>
  </si>
  <si>
    <t>Upstream Carbon Tax ($/metric ton upstream GHG CO2 eq)</t>
  </si>
  <si>
    <t>Upstream Carbon Tax ($/year)</t>
  </si>
  <si>
    <t>CO2 sequestration O&amp;M costs and credits ($/year)</t>
  </si>
  <si>
    <t>CO2 capture credit ($/metric ton CO2 captured)</t>
  </si>
  <si>
    <t>CO2_credit</t>
  </si>
  <si>
    <t>CO2 Capture 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</si>
  <si>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</si>
  <si>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</si>
  <si>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</si>
  <si>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</si>
  <si>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</si>
  <si>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</si>
  <si>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</si>
  <si>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</si>
  <si>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</si>
  <si>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</si>
  <si>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</si>
  <si>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</si>
  <si>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</si>
  <si>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</si>
  <si>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</si>
  <si>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</si>
  <si>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</si>
  <si>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</si>
  <si>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</si>
  <si>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</si>
  <si>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</si>
  <si>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</si>
  <si>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</si>
  <si>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</si>
  <si>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</si>
  <si>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</si>
  <si>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</si>
  <si>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</si>
  <si>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</si>
  <si>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</si>
  <si>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</si>
  <si>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</si>
  <si>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</si>
  <si>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</si>
  <si>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</si>
  <si>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Carbon Sequestration Electricity Usage (kWh/kg H2)</t>
  </si>
  <si>
    <t>CO2 sequestration capital costs ($/year)</t>
  </si>
  <si>
    <t>Energy Output (kWh/kg H2)</t>
  </si>
  <si>
    <t>Carbon Sequestration Electricity Usage</t>
  </si>
  <si>
    <t>H2A Carbon Sequestration Total Direct Capital Cost</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</si>
  <si>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</si>
  <si>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</si>
  <si>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</si>
  <si>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</si>
  <si>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</si>
  <si>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</si>
  <si>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</si>
  <si>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</si>
  <si>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</si>
  <si>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</si>
  <si>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</si>
  <si>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</si>
  <si>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</si>
  <si>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</si>
  <si>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</si>
  <si>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</si>
  <si>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</si>
  <si>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</si>
  <si>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</si>
  <si>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</si>
  <si>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</si>
  <si>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</si>
  <si>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</si>
  <si>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</si>
  <si>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</si>
  <si>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</si>
  <si>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</si>
  <si>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</si>
  <si>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</si>
  <si>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</si>
  <si>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</si>
  <si>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</si>
  <si>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</si>
  <si>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</si>
  <si>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</si>
  <si>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</si>
  <si>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</si>
  <si>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</si>
  <si>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</si>
  <si>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</si>
  <si>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</si>
  <si>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</si>
  <si>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</si>
  <si>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</si>
  <si>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</si>
  <si>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</si>
  <si>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</si>
  <si>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</si>
  <si>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</si>
  <si>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</si>
  <si>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</si>
  <si>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</si>
  <si>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</si>
  <si>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</si>
  <si>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</si>
  <si>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</si>
  <si>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</si>
  <si>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</si>
  <si>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</si>
  <si>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</si>
  <si>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</si>
  <si>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</si>
  <si>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</si>
  <si>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</si>
  <si>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</si>
  <si>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</si>
  <si>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</si>
  <si>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</si>
  <si>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</si>
  <si>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</si>
  <si>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</si>
  <si>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</si>
  <si>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</si>
  <si>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</si>
  <si>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</si>
  <si>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</si>
  <si>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</si>
  <si>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</si>
  <si>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</si>
  <si>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</si>
  <si>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</si>
  <si>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</si>
  <si>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</si>
  <si>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</si>
  <si>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</si>
  <si>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</si>
  <si>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</si>
  <si>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</si>
  <si>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</si>
  <si>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</si>
  <si>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</si>
  <si>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</si>
  <si>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Approx. Uninstalled Equipment Cost</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</si>
  <si>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</si>
  <si>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</si>
  <si>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</si>
  <si>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</si>
  <si>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</si>
  <si>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</si>
  <si>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</si>
  <si>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</si>
  <si>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</si>
  <si>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</si>
  <si>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</si>
  <si>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</si>
  <si>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</si>
  <si>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</si>
  <si>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</si>
  <si>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</si>
  <si>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</si>
  <si>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</si>
  <si>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</si>
  <si>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</si>
  <si>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</si>
  <si>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</si>
  <si>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</si>
  <si>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</si>
  <si>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</si>
  <si>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</si>
  <si>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</si>
  <si>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</si>
  <si>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</si>
  <si>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</si>
  <si>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</si>
  <si>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</si>
  <si>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</si>
  <si>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</si>
  <si>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</si>
  <si>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</si>
  <si>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</si>
  <si>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</si>
  <si>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</si>
  <si>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</si>
  <si>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</si>
  <si>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</si>
  <si>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</si>
  <si>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</si>
  <si>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</si>
  <si>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</si>
  <si>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</si>
  <si>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</si>
  <si>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</si>
  <si>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</si>
  <si>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</si>
  <si>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</si>
  <si>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</si>
  <si>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</si>
  <si>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</si>
  <si>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</si>
  <si>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</si>
  <si>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</si>
  <si>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</si>
  <si>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</si>
  <si>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</si>
  <si>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</si>
  <si>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</si>
  <si>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</si>
  <si>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</si>
  <si>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</si>
  <si>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</si>
  <si>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</si>
  <si>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</si>
  <si>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</si>
  <si>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</si>
  <si>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</si>
  <si>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</si>
  <si>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</si>
  <si>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</si>
  <si>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</si>
  <si>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</si>
  <si>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</si>
  <si>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</si>
  <si>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</si>
  <si>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</si>
  <si>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</si>
  <si>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</si>
  <si>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</si>
  <si>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</si>
  <si>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</si>
  <si>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</si>
  <si>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</si>
  <si>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</si>
  <si>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</si>
  <si>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</si>
  <si>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</si>
  <si>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</si>
  <si>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</si>
  <si>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</si>
  <si>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</si>
  <si>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</si>
  <si>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</si>
  <si>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</si>
  <si>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</si>
  <si>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</si>
  <si>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</si>
  <si>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</si>
  <si>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</si>
  <si>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</si>
  <si>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</si>
  <si>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</si>
  <si>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</si>
  <si>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CO2 Pump Costs</t>
  </si>
  <si>
    <t>Adjustment factor (Natural Gas Pipeline -&gt; CO2 Pipeline)</t>
  </si>
  <si>
    <t>Pipeline Control System</t>
  </si>
  <si>
    <t>CO2 Other Equipment Costs</t>
  </si>
  <si>
    <t>CO2 Surge Tank</t>
  </si>
  <si>
    <t>Operation and maintenance factor for equipment (pumps, etc.)</t>
  </si>
  <si>
    <t>Inlet Pressure</t>
  </si>
  <si>
    <t>Outlet Pressure</t>
  </si>
  <si>
    <t>psia</t>
  </si>
  <si>
    <t>Pump Power</t>
  </si>
  <si>
    <t>Pump Efficiency</t>
  </si>
  <si>
    <t>Number of Pumps (H2 Production Site + Booster Pumps)</t>
  </si>
  <si>
    <t>Electricity Costs</t>
  </si>
  <si>
    <t>$/yr (start-up year electricity cost)</t>
  </si>
  <si>
    <t>Ecomp = elec cost*Wcomp*(capacity factor*24*365)*n_pumps</t>
  </si>
  <si>
    <t>Carbon Transport Calculations</t>
  </si>
  <si>
    <t>Pipeline Temperature (°F)</t>
  </si>
  <si>
    <t>CO2 Density (kg/m3)</t>
  </si>
  <si>
    <r>
      <t>PR Equation of state:  ρ</t>
    </r>
    <r>
      <rPr>
        <vertAlign val="subscript"/>
        <sz val="10"/>
        <color theme="1"/>
        <rFont val="Calibri"/>
        <family val="2"/>
      </rPr>
      <t>CO2</t>
    </r>
    <r>
      <rPr>
        <sz val="10"/>
        <color theme="1"/>
        <rFont val="Calibri"/>
        <family val="2"/>
      </rPr>
      <t xml:space="preserve"> = denPRCO2(v</t>
    </r>
    <r>
      <rPr>
        <vertAlign val="subscript"/>
        <sz val="10"/>
        <color theme="1"/>
        <rFont val="Calibri"/>
        <family val="2"/>
      </rPr>
      <t>CO2-init</t>
    </r>
    <r>
      <rPr>
        <sz val="10"/>
        <color theme="1"/>
        <rFont val="Calibri"/>
        <family val="2"/>
      </rPr>
      <t>, P</t>
    </r>
    <r>
      <rPr>
        <vertAlign val="subscript"/>
        <sz val="10"/>
        <color theme="1"/>
        <rFont val="Calibri"/>
        <family val="2"/>
      </rPr>
      <t>ave</t>
    </r>
    <r>
      <rPr>
        <sz val="10"/>
        <color theme="1"/>
        <rFont val="Calibri"/>
        <family val="2"/>
      </rPr>
      <t>, T</t>
    </r>
    <r>
      <rPr>
        <vertAlign val="subscript"/>
        <sz val="10"/>
        <color theme="1"/>
        <rFont val="Calibri"/>
        <family val="2"/>
      </rPr>
      <t>Pipeline</t>
    </r>
    <r>
      <rPr>
        <sz val="10"/>
        <color theme="1"/>
        <rFont val="Calibri"/>
        <family val="2"/>
      </rPr>
      <t>)</t>
    </r>
  </si>
  <si>
    <t>Regional Evaluation</t>
  </si>
  <si>
    <t>Site Characterization</t>
  </si>
  <si>
    <t xml:space="preserve">Operations </t>
  </si>
  <si>
    <t>Post Injection Site Care &amp; Site Closure</t>
  </si>
  <si>
    <t>Carbon Storage (Saline) Calculations</t>
  </si>
  <si>
    <t>Expense Costs by Stage</t>
  </si>
  <si>
    <t>5/15/17:  Same information as BLS data for Chemical Mfg:  https://data.bls.gov/pdq/SurveyOutputServlet</t>
  </si>
  <si>
    <t>CEPC Inflation Adj: 2008-&gt;2005</t>
  </si>
  <si>
    <t>CO2 Pumps</t>
  </si>
  <si>
    <t>CO2 Storage Cost Breakdown (2007 USD)</t>
  </si>
  <si>
    <t xml:space="preserve">Capital Costs </t>
  </si>
  <si>
    <t>CO2 Other Equipment</t>
  </si>
  <si>
    <t>CO2 Storage</t>
  </si>
  <si>
    <t>CO2 Storage (annualized)</t>
  </si>
  <si>
    <t>Carbon Sequestration Energy Charge ($/tonne CO2)</t>
  </si>
  <si>
    <t>Carbon Sequestration O&amp;M Charge ($/tonne CO2)</t>
  </si>
  <si>
    <t>Approx Carbon Seq. Cap. Charge ($/tonne CO2)</t>
  </si>
  <si>
    <t>Inlet pressure for CO2 transport (pump suction pressure)</t>
  </si>
  <si>
    <t>Pipeline length (miles)</t>
  </si>
  <si>
    <t>Pipeline Elevation Change (ft)</t>
  </si>
  <si>
    <t>Process Design Parameters</t>
  </si>
  <si>
    <t>Process Conditions</t>
  </si>
  <si>
    <t>Other Considerations</t>
  </si>
  <si>
    <t>Finance Parameters</t>
  </si>
  <si>
    <t>Notes / References</t>
  </si>
  <si>
    <t>Ground temperature</t>
  </si>
  <si>
    <t>Pipeline Nominal Diameter (in)</t>
  </si>
  <si>
    <t>CO2_Pump_Eff</t>
  </si>
  <si>
    <t>CO2_ControlSystem</t>
  </si>
  <si>
    <t>CO2_SurgeTank</t>
  </si>
  <si>
    <t>CO2_PipeElevation</t>
  </si>
  <si>
    <t>CO2_Pipeline_Temp</t>
  </si>
  <si>
    <t>Ongoing Capital Expences</t>
  </si>
  <si>
    <t>Material Capital</t>
  </si>
  <si>
    <t>Electricity consumption</t>
  </si>
  <si>
    <t>kWh/kg H2</t>
  </si>
  <si>
    <t xml:space="preserve">Pump Fixed Cost </t>
  </si>
  <si>
    <t>Pump Variable Cost</t>
  </si>
  <si>
    <t>(Total Other Equipment Cost) * O&amp;M Factor</t>
  </si>
  <si>
    <t>Pipeline Process Control System</t>
  </si>
  <si>
    <t>Pipeline cost of $5000/mi-yr</t>
  </si>
  <si>
    <t>Miscellaneous (Surveying, engineering, supervision, etc.)</t>
  </si>
  <si>
    <t>Right of Way and Damages</t>
  </si>
  <si>
    <t>Labor</t>
  </si>
  <si>
    <t>Pipeline Capital Cost Per Mile</t>
  </si>
  <si>
    <t>n_CO2_pumps</t>
  </si>
  <si>
    <t>Pump Capital Cost</t>
  </si>
  <si>
    <r>
      <t>C</t>
    </r>
    <r>
      <rPr>
        <vertAlign val="subscript"/>
        <sz val="10"/>
        <color theme="1"/>
        <rFont val="Arial"/>
        <family val="2"/>
      </rPr>
      <t>Cost_Type</t>
    </r>
    <r>
      <rPr>
        <sz val="10"/>
        <color theme="1"/>
        <rFont val="Arial"/>
        <family val="2"/>
      </rPr>
      <t xml:space="preserve"> = a</t>
    </r>
    <r>
      <rPr>
        <vertAlign val="subscript"/>
        <sz val="10"/>
        <color theme="1"/>
        <rFont val="Arial"/>
        <family val="2"/>
      </rPr>
      <t>0</t>
    </r>
    <r>
      <rPr>
        <sz val="10"/>
        <color theme="1"/>
        <rFont val="Arial"/>
        <family val="2"/>
      </rPr>
      <t xml:space="preserve"> + L * (a</t>
    </r>
    <r>
      <rPr>
        <vertAlign val="subscript"/>
        <sz val="10"/>
        <color theme="1"/>
        <rFont val="Arial"/>
        <family val="2"/>
      </rPr>
      <t xml:space="preserve">1 </t>
    </r>
    <r>
      <rPr>
        <sz val="10"/>
        <color theme="1"/>
        <rFont val="Arial"/>
        <family val="2"/>
      </rPr>
      <t>* D</t>
    </r>
    <r>
      <rPr>
        <vertAlign val="superscript"/>
        <sz val="10"/>
        <color theme="1"/>
        <rFont val="Arial"/>
        <family val="2"/>
      </rPr>
      <t>2</t>
    </r>
    <r>
      <rPr>
        <sz val="10"/>
        <color theme="1"/>
        <rFont val="Arial"/>
        <family val="2"/>
      </rPr>
      <t xml:space="preserve"> + a</t>
    </r>
    <r>
      <rPr>
        <vertAlign val="subscript"/>
        <sz val="10"/>
        <color theme="1"/>
        <rFont val="Arial"/>
        <family val="2"/>
      </rPr>
      <t xml:space="preserve">2 </t>
    </r>
    <r>
      <rPr>
        <sz val="10"/>
        <color theme="1"/>
        <rFont val="Arial"/>
        <family val="2"/>
      </rPr>
      <t>* D + a</t>
    </r>
    <r>
      <rPr>
        <vertAlign val="subscript"/>
        <sz val="10"/>
        <color theme="1"/>
        <rFont val="Arial"/>
        <family val="2"/>
      </rPr>
      <t>3</t>
    </r>
    <r>
      <rPr>
        <sz val="10"/>
        <color theme="1"/>
        <rFont val="Arial"/>
        <family val="2"/>
      </rPr>
      <t>) based on NETL CO2 Transport Model which uses Parker (2004) UCD-ITS-RR-04-35  basis</t>
    </r>
  </si>
  <si>
    <r>
      <t>C</t>
    </r>
    <r>
      <rPr>
        <vertAlign val="subscript"/>
        <sz val="10"/>
        <color theme="1"/>
        <rFont val="Arial"/>
        <family val="2"/>
      </rPr>
      <t>pump</t>
    </r>
    <r>
      <rPr>
        <sz val="10"/>
        <color theme="1"/>
        <rFont val="Arial"/>
        <family val="2"/>
      </rPr>
      <t xml:space="preserve"> = (C</t>
    </r>
    <r>
      <rPr>
        <vertAlign val="subscript"/>
        <sz val="10"/>
        <color theme="1"/>
        <rFont val="Arial"/>
        <family val="2"/>
      </rPr>
      <t>pump_fix</t>
    </r>
    <r>
      <rPr>
        <sz val="10"/>
        <color theme="1"/>
        <rFont val="Arial"/>
        <family val="2"/>
      </rPr>
      <t xml:space="preserve"> + C</t>
    </r>
    <r>
      <rPr>
        <vertAlign val="subscript"/>
        <sz val="10"/>
        <color theme="1"/>
        <rFont val="Arial"/>
        <family val="2"/>
      </rPr>
      <t xml:space="preserve">pump_var </t>
    </r>
    <r>
      <rPr>
        <sz val="10"/>
        <color theme="1"/>
        <rFont val="Arial"/>
        <family val="2"/>
      </rPr>
      <t>* W</t>
    </r>
    <r>
      <rPr>
        <vertAlign val="subscript"/>
        <sz val="10"/>
        <color theme="1"/>
        <rFont val="Arial"/>
        <family val="2"/>
      </rPr>
      <t>pump</t>
    </r>
    <r>
      <rPr>
        <sz val="10"/>
        <color theme="1"/>
        <rFont val="Arial"/>
        <family val="2"/>
      </rPr>
      <t>)</t>
    </r>
  </si>
  <si>
    <t>Cost of $1,110/kW (2005$) from NETL CO2 Transport Model which uses McCollum &amp; Ogden (2006) UCD-ITS-RR-06-14 basis</t>
  </si>
  <si>
    <r>
      <t>W</t>
    </r>
    <r>
      <rPr>
        <vertAlign val="subscript"/>
        <sz val="10"/>
        <rFont val="Arial"/>
        <family val="2"/>
      </rPr>
      <t>pump</t>
    </r>
    <r>
      <rPr>
        <sz val="10"/>
        <rFont val="Arial"/>
        <family val="2"/>
      </rPr>
      <t xml:space="preserve"> = ((1e3 kg/t * 1e6 Pa/MPa * 1e-3 kW/W)  / (24*3600 s/day))*qmax*dPpump/(ηpump*ρCO2)   from NETL CO2 Transport Model</t>
    </r>
  </si>
  <si>
    <t>Fixed cost of $70,000 (2005$) from NETL CO2 Transport Model which uses McCollum &amp; Ogden (2006) UCD-ITS-RR-06-14 basis</t>
  </si>
  <si>
    <t>Based on NETL CO2 Transport Model which uses NETL (2010) DOE/NETL-2010/1447 basis. Original cost is in 2000$</t>
  </si>
  <si>
    <r>
      <t>a</t>
    </r>
    <r>
      <rPr>
        <vertAlign val="subscript"/>
        <sz val="10"/>
        <color theme="1"/>
        <rFont val="Arial"/>
        <family val="2"/>
      </rPr>
      <t>0</t>
    </r>
    <r>
      <rPr>
        <sz val="10"/>
        <color theme="1"/>
        <rFont val="Arial"/>
        <family val="2"/>
      </rPr>
      <t xml:space="preserve"> = 35,000 $;   a</t>
    </r>
    <r>
      <rPr>
        <vertAlign val="subscript"/>
        <sz val="10"/>
        <color theme="1"/>
        <rFont val="Arial"/>
        <family val="2"/>
      </rPr>
      <t>1</t>
    </r>
    <r>
      <rPr>
        <sz val="10"/>
        <color theme="1"/>
        <rFont val="Arial"/>
        <family val="2"/>
      </rPr>
      <t xml:space="preserve"> = 330.5 $/mi-in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687 $/mi-in;   a</t>
    </r>
    <r>
      <rPr>
        <vertAlign val="subscript"/>
        <sz val="10"/>
        <color theme="1"/>
        <rFont val="Arial"/>
        <family val="2"/>
      </rPr>
      <t xml:space="preserve">3 </t>
    </r>
    <r>
      <rPr>
        <sz val="10"/>
        <color theme="1"/>
        <rFont val="Arial"/>
        <family val="2"/>
      </rPr>
      <t>= 26,960 $/mi   (coefficient basis is 2000$)</t>
    </r>
  </si>
  <si>
    <r>
      <t>a</t>
    </r>
    <r>
      <rPr>
        <vertAlign val="subscript"/>
        <sz val="10"/>
        <color theme="1"/>
        <rFont val="Arial"/>
        <family val="2"/>
      </rPr>
      <t>0</t>
    </r>
    <r>
      <rPr>
        <sz val="10"/>
        <color theme="1"/>
        <rFont val="Arial"/>
        <family val="2"/>
      </rPr>
      <t xml:space="preserve"> = 185,000 $;   a</t>
    </r>
    <r>
      <rPr>
        <vertAlign val="subscript"/>
        <sz val="10"/>
        <color theme="1"/>
        <rFont val="Arial"/>
        <family val="2"/>
      </rPr>
      <t>1</t>
    </r>
    <r>
      <rPr>
        <sz val="10"/>
        <color theme="1"/>
        <rFont val="Arial"/>
        <family val="2"/>
      </rPr>
      <t xml:space="preserve"> = 343 $/mi-in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2,074 $/mi-in;   a</t>
    </r>
    <r>
      <rPr>
        <vertAlign val="subscript"/>
        <sz val="10"/>
        <color theme="1"/>
        <rFont val="Arial"/>
        <family val="2"/>
      </rPr>
      <t xml:space="preserve">3 </t>
    </r>
    <r>
      <rPr>
        <sz val="10"/>
        <color theme="1"/>
        <rFont val="Arial"/>
        <family val="2"/>
      </rPr>
      <t>= 170,013 $/mi   (coefficient basis is 2000$)</t>
    </r>
  </si>
  <si>
    <r>
      <t>a</t>
    </r>
    <r>
      <rPr>
        <vertAlign val="subscript"/>
        <sz val="10"/>
        <color theme="1"/>
        <rFont val="Arial"/>
        <family val="2"/>
      </rPr>
      <t>0</t>
    </r>
    <r>
      <rPr>
        <sz val="10"/>
        <color theme="1"/>
        <rFont val="Arial"/>
        <family val="2"/>
      </rPr>
      <t xml:space="preserve"> = 40,000 $;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577 $/mi-in;   a</t>
    </r>
    <r>
      <rPr>
        <vertAlign val="subscript"/>
        <sz val="10"/>
        <color theme="1"/>
        <rFont val="Arial"/>
        <family val="2"/>
      </rPr>
      <t xml:space="preserve">3 </t>
    </r>
    <r>
      <rPr>
        <sz val="10"/>
        <color theme="1"/>
        <rFont val="Arial"/>
        <family val="2"/>
      </rPr>
      <t>= 29,788 $/mi   (coefficient basis is 2000$)</t>
    </r>
  </si>
  <si>
    <r>
      <t>a</t>
    </r>
    <r>
      <rPr>
        <vertAlign val="subscript"/>
        <sz val="10"/>
        <color theme="1"/>
        <rFont val="Arial"/>
        <family val="2"/>
      </rPr>
      <t>0</t>
    </r>
    <r>
      <rPr>
        <sz val="10"/>
        <color theme="1"/>
        <rFont val="Arial"/>
        <family val="2"/>
      </rPr>
      <t xml:space="preserve"> = 95,000 $;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8,417 $/mi-in;   a</t>
    </r>
    <r>
      <rPr>
        <vertAlign val="subscript"/>
        <sz val="10"/>
        <color theme="1"/>
        <rFont val="Arial"/>
        <family val="2"/>
      </rPr>
      <t xml:space="preserve">3 </t>
    </r>
    <r>
      <rPr>
        <sz val="10"/>
        <color theme="1"/>
        <rFont val="Arial"/>
        <family val="2"/>
      </rPr>
      <t>= 7,324 $/mi   (coefficient basis is 2000$)</t>
    </r>
  </si>
  <si>
    <t>Based on NETL CO2 Transport Model which uses Bock (2003) basis. $5000/mi-yr is based in 1999$</t>
  </si>
  <si>
    <t>Operations</t>
  </si>
  <si>
    <t>Total ongoing capital expenses</t>
  </si>
  <si>
    <t>Based on NETL CO2 Saline Storage Cost Model -- P50 correlation determined (2008$) as function of CO2 flowrate for each stage of cost</t>
  </si>
  <si>
    <t>CO2 Mass Flowrate (G metric tons/year)</t>
  </si>
  <si>
    <t>Set to 0 to turn off CCS</t>
  </si>
  <si>
    <t>Total transportation and storage cost (w/o capture)</t>
  </si>
  <si>
    <t>Prices are in $(2012)/GJ LHV</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</si>
  <si>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</si>
  <si>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</si>
  <si>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</si>
  <si>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</si>
  <si>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</si>
  <si>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</si>
  <si>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</si>
  <si>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</si>
  <si>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www.nrel.gov</t>
  </si>
  <si>
    <t>M. Penev</t>
  </si>
  <si>
    <t>$(2016)/ gal</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</si>
  <si>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</si>
  <si>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</si>
  <si>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</si>
  <si>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</si>
  <si>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</si>
  <si>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</si>
  <si>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</si>
  <si>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</si>
  <si>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</si>
  <si>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</si>
  <si>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</si>
  <si>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</si>
  <si>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</si>
  <si>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</si>
  <si>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</si>
  <si>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</si>
  <si>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</si>
  <si>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</si>
  <si>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</si>
  <si>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</si>
  <si>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</si>
  <si>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</si>
  <si>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</si>
  <si>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</si>
  <si>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</si>
  <si>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</si>
  <si>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</si>
  <si>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</si>
  <si>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</si>
  <si>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</si>
  <si>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</si>
  <si>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</si>
  <si>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</si>
  <si>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</si>
  <si>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</si>
  <si>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</si>
  <si>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</si>
  <si>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</si>
  <si>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</si>
  <si>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</si>
  <si>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</si>
  <si>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</si>
  <si>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Michael Penev</t>
  </si>
  <si>
    <t>303 275 3880</t>
  </si>
  <si>
    <t>mike.penev@nrel.gov</t>
  </si>
  <si>
    <t>Price Conversion Factor (GJ/kWh)</t>
  </si>
  <si>
    <t>Price in Startup Year ($2016)/kWh</t>
  </si>
  <si>
    <t>Price Conversion Factor (GJ/mmBtu)</t>
  </si>
  <si>
    <t>Price in Startup Year ($2016)/mmBtu</t>
  </si>
  <si>
    <t>Usage (mmBtu/kg H2)</t>
  </si>
  <si>
    <t>Usage (kWh/kg H2)</t>
  </si>
  <si>
    <t>Enter 0 to enable constant outstanding debt.</t>
  </si>
  <si>
    <t>H2A Hydrogen Production Cash Flow Analysis Tool v3.2018</t>
  </si>
  <si>
    <t>Default used?</t>
  </si>
  <si>
    <t>Temperature (°F)</t>
  </si>
  <si>
    <t>Pressure (psia)</t>
  </si>
  <si>
    <t>Run Risk Analysis (note: Risk analysis could take ~5 min to run)?</t>
  </si>
  <si>
    <t>Standard fossil energy sources</t>
  </si>
  <si>
    <t>none</t>
  </si>
  <si>
    <t>Nth plant</t>
  </si>
  <si>
    <t>USA, average</t>
  </si>
  <si>
    <t>V-L Mole Fraction</t>
  </si>
  <si>
    <t>Ar</t>
  </si>
  <si>
    <r>
      <t>CH</t>
    </r>
    <r>
      <rPr>
        <vertAlign val="subscript"/>
        <sz val="8"/>
        <color rgb="FF383838"/>
        <rFont val="Calibri"/>
        <family val="2"/>
      </rPr>
      <t>4</t>
    </r>
  </si>
  <si>
    <r>
      <t>CH</t>
    </r>
    <r>
      <rPr>
        <vertAlign val="subscript"/>
        <sz val="8"/>
        <color rgb="FF383838"/>
        <rFont val="Calibri"/>
        <family val="2"/>
      </rPr>
      <t>4</t>
    </r>
    <r>
      <rPr>
        <sz val="8"/>
        <color rgb="FF383838"/>
        <rFont val="Calibri"/>
        <family val="2"/>
      </rPr>
      <t>S</t>
    </r>
  </si>
  <si>
    <r>
      <t>C</t>
    </r>
    <r>
      <rPr>
        <vertAlign val="subscript"/>
        <sz val="8"/>
        <color rgb="FF383838"/>
        <rFont val="Calibri"/>
        <family val="2"/>
      </rPr>
      <t>2</t>
    </r>
    <r>
      <rPr>
        <sz val="8"/>
        <color rgb="FF383838"/>
        <rFont val="Calibri"/>
        <family val="2"/>
      </rPr>
      <t>H</t>
    </r>
    <r>
      <rPr>
        <vertAlign val="subscript"/>
        <sz val="8"/>
        <color rgb="FF383838"/>
        <rFont val="Calibri"/>
        <family val="2"/>
      </rPr>
      <t>6</t>
    </r>
  </si>
  <si>
    <r>
      <t>C</t>
    </r>
    <r>
      <rPr>
        <vertAlign val="subscript"/>
        <sz val="8"/>
        <color rgb="FF383838"/>
        <rFont val="Calibri"/>
        <family val="2"/>
      </rPr>
      <t>3</t>
    </r>
    <r>
      <rPr>
        <sz val="8"/>
        <color rgb="FF383838"/>
        <rFont val="Calibri"/>
        <family val="2"/>
      </rPr>
      <t>H</t>
    </r>
    <r>
      <rPr>
        <vertAlign val="subscript"/>
        <sz val="8"/>
        <color rgb="FF383838"/>
        <rFont val="Calibri"/>
        <family val="2"/>
      </rPr>
      <t>8</t>
    </r>
  </si>
  <si>
    <r>
      <t>C</t>
    </r>
    <r>
      <rPr>
        <vertAlign val="subscript"/>
        <sz val="8"/>
        <color rgb="FF383838"/>
        <rFont val="Calibri"/>
        <family val="2"/>
      </rPr>
      <t>4</t>
    </r>
    <r>
      <rPr>
        <sz val="8"/>
        <color rgb="FF383838"/>
        <rFont val="Calibri"/>
        <family val="2"/>
      </rPr>
      <t>H</t>
    </r>
    <r>
      <rPr>
        <vertAlign val="subscript"/>
        <sz val="8"/>
        <color rgb="FF383838"/>
        <rFont val="Calibri"/>
        <family val="2"/>
      </rPr>
      <t>10</t>
    </r>
  </si>
  <si>
    <t>CO</t>
  </si>
  <si>
    <r>
      <t>CO</t>
    </r>
    <r>
      <rPr>
        <vertAlign val="subscript"/>
        <sz val="8"/>
        <color rgb="FF383838"/>
        <rFont val="Calibri"/>
        <family val="2"/>
      </rPr>
      <t>2</t>
    </r>
  </si>
  <si>
    <r>
      <t>H</t>
    </r>
    <r>
      <rPr>
        <vertAlign val="subscript"/>
        <sz val="8"/>
        <color rgb="FF383838"/>
        <rFont val="Calibri"/>
        <family val="2"/>
      </rPr>
      <t>2</t>
    </r>
  </si>
  <si>
    <r>
      <t>H</t>
    </r>
    <r>
      <rPr>
        <vertAlign val="subscript"/>
        <sz val="8"/>
        <color rgb="FF383838"/>
        <rFont val="Calibri"/>
        <family val="2"/>
      </rPr>
      <t>2</t>
    </r>
    <r>
      <rPr>
        <sz val="8"/>
        <color rgb="FF383838"/>
        <rFont val="Calibri"/>
        <family val="2"/>
      </rPr>
      <t>O</t>
    </r>
  </si>
  <si>
    <r>
      <t>N</t>
    </r>
    <r>
      <rPr>
        <vertAlign val="subscript"/>
        <sz val="8"/>
        <color rgb="FF383838"/>
        <rFont val="Calibri"/>
        <family val="2"/>
      </rPr>
      <t>2</t>
    </r>
  </si>
  <si>
    <r>
      <t>O</t>
    </r>
    <r>
      <rPr>
        <vertAlign val="subscript"/>
        <sz val="8"/>
        <color rgb="FF383838"/>
        <rFont val="Calibri"/>
        <family val="2"/>
      </rPr>
      <t>2</t>
    </r>
  </si>
  <si>
    <r>
      <t>SO</t>
    </r>
    <r>
      <rPr>
        <vertAlign val="subscript"/>
        <sz val="8"/>
        <color rgb="FF383838"/>
        <rFont val="Calibri"/>
        <family val="2"/>
      </rPr>
      <t>2</t>
    </r>
  </si>
  <si>
    <t>V-L Flowrate (kg/hr)</t>
  </si>
  <si>
    <t>Solids Flowrate (kg/hr)</t>
  </si>
  <si>
    <t>Temperature (°C)</t>
  </si>
  <si>
    <t>Pressure (MPa, abs)</t>
  </si>
  <si>
    <t>V-L Molecular Weight</t>
  </si>
  <si>
    <t>V-L Flowrate (lb/hr)</t>
  </si>
  <si>
    <t>Solids Flowrate (lb/hr)</t>
  </si>
  <si>
    <t>Mol flow basis kmol/h</t>
  </si>
  <si>
    <t>Key parameters</t>
  </si>
  <si>
    <t>Heat of combustion (LHV, kJ/mol)</t>
  </si>
  <si>
    <t>Heat of combustion (HHV, kJ/mol)</t>
  </si>
  <si>
    <t>dHf (g, kJ/mol)</t>
  </si>
  <si>
    <t>dHf (l, kJ/mol)</t>
  </si>
  <si>
    <t>Feed rate (kJ/h)</t>
  </si>
  <si>
    <t>Steam/carbon ratio (mol/mol)</t>
  </si>
  <si>
    <t>Product rate (kJ/h)</t>
  </si>
  <si>
    <t>LHV, HHV</t>
  </si>
  <si>
    <t>Feed rate (kW)</t>
  </si>
  <si>
    <t>Product rate (kW)</t>
  </si>
  <si>
    <t>Product rate (kg/day)</t>
  </si>
  <si>
    <t>Carbon feed rate (mol/h)</t>
  </si>
  <si>
    <t>Shift CO conversion rate</t>
  </si>
  <si>
    <t xml:space="preserve">The methodology for developing the performance results presented in this report included performing steady-state simulations of the hydrogen plant configurations at the design capacity using the Aspen Plus® (Aspen) process modeling software.  The major plant equipment performance and process limits were based on published reports, information obtained from vendors and users of the technology, performance data from design/build utility projects, and/or best engineering judgment.  Mass and energy balance data from the Aspen models were used to size major pieces of equipment, which formed the basis for developing the cost estimates presented.
Full, bottom-up estimates for each case in this study were not pursued.  Instead, the capital and operation and maintenance (O&amp;M) costs for each of the cases were estimated using a combined bottom-up and scaling approach.  Black &amp; Veatch (B&amp;V) leveraged an in-house database and conceptual estimating models.  Costs were further calibrated using a combination of adjusted vendor-furnished data and scaled estimates from previous design/build projects.  In addition, cost scaling was performed on select plant areas using reference costs from prior NETL studies according to the 2019 revision of the QGESS document “Capital Cost Scaling Methodology: Revision 4 Report.” </t>
  </si>
  <si>
    <t>Feed rate (mmBTU/h)</t>
  </si>
  <si>
    <t xml:space="preserve">Note 1: while the process flow shows compression past 300 psia, H2A model framework excludes compression for transmission and distribution. Hence, entailed analysis does not include capital or energy use for the product hydrogen compressor. </t>
  </si>
  <si>
    <t>Electricity use (kW)</t>
  </si>
  <si>
    <t>Raw water withdrawal (gal/min)</t>
  </si>
  <si>
    <t>Power Summary</t>
  </si>
  <si>
    <t>Auxiliary Load Summary</t>
  </si>
  <si>
    <t>Air Blower, kWe</t>
  </si>
  <si>
    <t>Circulating Water Pumps, kWe</t>
  </si>
  <si>
    <t>Cooling Tower Fans, kWe</t>
  </si>
  <si>
    <t>Feedwater Pumps, kWe</t>
  </si>
  <si>
    <t>Ground Water Pumps, kWe</t>
  </si>
  <si>
    <t>Hydrogen Compressor, kWe</t>
  </si>
  <si>
    <t>Transformer Losses, kWe</t>
  </si>
  <si>
    <t>In-H2A scope</t>
  </si>
  <si>
    <r>
      <t>Electricity use (kWh/kg H</t>
    </r>
    <r>
      <rPr>
        <sz val="10"/>
        <rFont val="Calibri"/>
        <family val="2"/>
      </rPr>
      <t>₂</t>
    </r>
    <r>
      <rPr>
        <sz val="10"/>
        <rFont val="Arial"/>
        <family val="2"/>
      </rPr>
      <t>)</t>
    </r>
  </si>
  <si>
    <r>
      <t>Raw water withdrawal (gal/kg H</t>
    </r>
    <r>
      <rPr>
        <sz val="10"/>
        <rFont val="Calibri"/>
        <family val="2"/>
      </rPr>
      <t>₂</t>
    </r>
    <r>
      <rPr>
        <sz val="10"/>
        <rFont val="Arial"/>
        <family val="2"/>
      </rPr>
      <t>)</t>
    </r>
  </si>
  <si>
    <t>3/1/2022 source: https://alfred.stlouisfed.org/series?seid=PCU325325</t>
  </si>
  <si>
    <t>3/1/2022 source: http://data.bls.gov/timeseries/CEU3232500008?data_tool=Xgtable</t>
  </si>
  <si>
    <t>3/1/2022 source: https://fred.stlouisfed.org/series/GDPDEF#0</t>
  </si>
  <si>
    <t>3/2/2022 source: https://www.chemengonline.com/pci</t>
  </si>
  <si>
    <t>Feedwater &amp; Miscellaneous BOP Systems</t>
  </si>
  <si>
    <t>Reformer &amp; Accessories</t>
  </si>
  <si>
    <t>Hydrogen Production</t>
  </si>
  <si>
    <t>Accessory Electric Plant</t>
  </si>
  <si>
    <t>Instrumentation &amp; Control</t>
  </si>
  <si>
    <r>
      <t>Removed H</t>
    </r>
    <r>
      <rPr>
        <sz val="10"/>
        <rFont val="Calibri"/>
        <family val="2"/>
      </rPr>
      <t>₂</t>
    </r>
    <r>
      <rPr>
        <sz val="10"/>
        <rFont val="Arial"/>
        <family val="2"/>
      </rPr>
      <t xml:space="preserve"> compressor to pipeline pressure as it is out of scope for H2A production cases</t>
    </r>
  </si>
  <si>
    <t>Using H2A default; NETL uses 20% of direct cap cost</t>
  </si>
  <si>
    <t>Using H2A default; NETL includes permitting into EPC</t>
  </si>
  <si>
    <t>Estimated based on site total cost in NETL report.</t>
  </si>
  <si>
    <t>Removed as it is out of scope for H2A production framework</t>
  </si>
  <si>
    <t>feedstock Industrial Electricity Usage</t>
  </si>
  <si>
    <t>feedstockIndustrial_Electricity_Usage</t>
  </si>
  <si>
    <t>Using H2A default</t>
  </si>
  <si>
    <t>Administrative &amp; support labor</t>
  </si>
  <si>
    <t>Weighted average by sub-component list</t>
  </si>
  <si>
    <t>Fuel use (mmBTU, LHV/kg H₂)</t>
  </si>
  <si>
    <t>Syngas Cleanup</t>
  </si>
  <si>
    <t xml:space="preserve">Use the entries here to specify actual realised project overruns or underruns. Contingency impact is computed in the "Tornado Charts &amp; Risk Analysis" tab, informing the statistical risk spread of capital cost - see cells D8:E8. </t>
  </si>
  <si>
    <t>Cooling Water System</t>
  </si>
  <si>
    <r>
      <t>V-L Flowrate (kg</t>
    </r>
    <r>
      <rPr>
        <vertAlign val="subscript"/>
        <sz val="8"/>
        <color rgb="FF383838"/>
        <rFont val="Calibri"/>
        <family val="2"/>
      </rPr>
      <t>mol</t>
    </r>
    <r>
      <rPr>
        <sz val="8"/>
        <color rgb="FF383838"/>
        <rFont val="Calibri"/>
        <family val="2"/>
      </rPr>
      <t>/hr)</t>
    </r>
  </si>
  <si>
    <r>
      <t>Steam Table Enthalpy (kJ/kg)</t>
    </r>
    <r>
      <rPr>
        <vertAlign val="superscript"/>
        <sz val="8"/>
        <color rgb="FF383838"/>
        <rFont val="Calibri"/>
        <family val="2"/>
      </rPr>
      <t>A</t>
    </r>
  </si>
  <si>
    <r>
      <t>AspenPlus Enthalpy (kJ/kg)</t>
    </r>
    <r>
      <rPr>
        <vertAlign val="superscript"/>
        <sz val="8"/>
        <color rgb="FF383838"/>
        <rFont val="Calibri"/>
        <family val="2"/>
      </rPr>
      <t>B</t>
    </r>
  </si>
  <si>
    <r>
      <t>Density (kg/m</t>
    </r>
    <r>
      <rPr>
        <vertAlign val="superscript"/>
        <sz val="8"/>
        <color rgb="FF383838"/>
        <rFont val="Calibri"/>
        <family val="2"/>
      </rPr>
      <t>3</t>
    </r>
    <r>
      <rPr>
        <sz val="8"/>
        <color rgb="FF383838"/>
        <rFont val="Calibri"/>
        <family val="2"/>
      </rPr>
      <t>)</t>
    </r>
  </si>
  <si>
    <r>
      <t>V-L Flowrate (lb</t>
    </r>
    <r>
      <rPr>
        <vertAlign val="subscript"/>
        <sz val="8"/>
        <color rgb="FF383838"/>
        <rFont val="Calibri"/>
        <family val="2"/>
      </rPr>
      <t>mol</t>
    </r>
    <r>
      <rPr>
        <sz val="8"/>
        <color rgb="FF383838"/>
        <rFont val="Calibri"/>
        <family val="2"/>
      </rPr>
      <t>/hr)</t>
    </r>
  </si>
  <si>
    <r>
      <t>Steam Table Enthalpy (Btu/lb)</t>
    </r>
    <r>
      <rPr>
        <vertAlign val="superscript"/>
        <sz val="8"/>
        <color rgb="FF383838"/>
        <rFont val="Calibri"/>
        <family val="2"/>
      </rPr>
      <t>A</t>
    </r>
  </si>
  <si>
    <r>
      <t>AspenPlus Enthalpy (Btu/lb)</t>
    </r>
    <r>
      <rPr>
        <vertAlign val="superscript"/>
        <sz val="8"/>
        <color rgb="FF383838"/>
        <rFont val="Calibri"/>
        <family val="2"/>
      </rPr>
      <t>B</t>
    </r>
  </si>
  <si>
    <r>
      <t>Density (lb/ft</t>
    </r>
    <r>
      <rPr>
        <vertAlign val="superscript"/>
        <sz val="8"/>
        <color rgb="FF383838"/>
        <rFont val="Calibri"/>
        <family val="2"/>
      </rPr>
      <t>3</t>
    </r>
    <r>
      <rPr>
        <sz val="8"/>
        <color rgb="FF383838"/>
        <rFont val="Calibri"/>
        <family val="2"/>
      </rPr>
      <t>)</t>
    </r>
  </si>
  <si>
    <t>SMR carbon reforming rate</t>
  </si>
  <si>
    <r>
      <t>CO</t>
    </r>
    <r>
      <rPr>
        <vertAlign val="subscript"/>
        <sz val="10"/>
        <color rgb="FF1C1C1C"/>
        <rFont val="Calibri"/>
        <family val="2"/>
      </rPr>
      <t>2</t>
    </r>
    <r>
      <rPr>
        <sz val="10"/>
        <color rgb="FF1C1C1C"/>
        <rFont val="Calibri"/>
        <family val="2"/>
      </rPr>
      <t xml:space="preserve"> Capture/Removal Auxiliaries, kWe</t>
    </r>
  </si>
  <si>
    <r>
      <t>Miscellaneous Balance of Plant</t>
    </r>
    <r>
      <rPr>
        <vertAlign val="superscript"/>
        <sz val="10"/>
        <color rgb="FF1C1C1C"/>
        <rFont val="Calibri"/>
        <family val="2"/>
      </rPr>
      <t>A</t>
    </r>
    <r>
      <rPr>
        <sz val="10"/>
        <color rgb="FF1C1C1C"/>
        <rFont val="Calibri"/>
        <family val="2"/>
      </rPr>
      <t>, kWe</t>
    </r>
  </si>
  <si>
    <t>Total power (kW)</t>
  </si>
  <si>
    <t>https://netl.doe.gov/projects/files/QualityGuidelinesforEnergySystemStudiesCapitalCostScalingMethodologyRevision4Report_110719.pdf</t>
  </si>
  <si>
    <t>Includes buildings and other site improvements</t>
  </si>
  <si>
    <t>Project contingency ($)</t>
  </si>
  <si>
    <t>Process contingency ($)</t>
  </si>
  <si>
    <t>Maintenance labor</t>
  </si>
  <si>
    <t>Steam methane reforming (SMR) of natural gas continues to be the most efficient, economical, and widely used process for production of hydrogen and hydrogen/carbon monoxide mixtures.  The purpose of this analysis is to assess the economic production of hydrogen from the steam reforming of natural gas without any carbon capture and sequestration.</t>
  </si>
  <si>
    <t xml:space="preserve">Natural gas is fed into the steam methane reformer (SMR) plant via a pipeline at 450 psia. The gas is desulfurized, and mixed with steam at 395°C. The reformer reactor is fed with an overall steam to carbon (H₂O/C) ratio of 2.56. The endothermic steam methane reforming reaction is performed on the cold side of a tube-shell heat exchanger and heat is supplied on the hot side of the heat exchanger by combustion of pressure swing adsorber (PSA) effluent and supplemental natural gas. Product syngas exits the reactor at 870°C and is cooled to 204°C before entering a shift reactor. In the shift reactor, carbon monoxide from the syngas reacts with steam to produce more hydrogen and carbon dioxide. Product hydrogen rich product is further purified through a PSA system resulting in pure hydrogen at 346 psia. </t>
  </si>
  <si>
    <t>Current Central Hydrogen Production from Steam Methane Reforming (SMR) of Natural Gas without Carbon Capture and Sequestration</t>
  </si>
  <si>
    <t>Current Central Hydrogen Production from Steam Methane Reforming (SMR) of Natural Gas without CCS</t>
  </si>
  <si>
    <t>Natural gas desulfurization, steam-methane-reformer, shift, pressure swing absorption</t>
  </si>
  <si>
    <t>$/1,000</t>
  </si>
  <si>
    <r>
      <t>$/[kg H</t>
    </r>
    <r>
      <rPr>
        <b/>
        <vertAlign val="subscript"/>
        <sz val="10"/>
        <color rgb="FFFFFFFF"/>
        <rFont val="Calibri"/>
        <family val="2"/>
      </rPr>
      <t>2</t>
    </r>
    <r>
      <rPr>
        <b/>
        <sz val="10"/>
        <color rgb="FFFFFFFF"/>
        <rFont val="Calibri"/>
        <family val="2"/>
      </rPr>
      <t>/day]</t>
    </r>
  </si>
  <si>
    <t>Pre-Production Costs</t>
  </si>
  <si>
    <t>6 Months All Labor</t>
  </si>
  <si>
    <t>1 Month Maintenance Materials</t>
  </si>
  <si>
    <t>1 Month Non-Fuel Consumables</t>
  </si>
  <si>
    <t>1 Month Waste Disposal</t>
  </si>
  <si>
    <t>25% of 1 Months Fuel Cost at 100% CF</t>
  </si>
  <si>
    <t>2% of TPC</t>
  </si>
  <si>
    <t>Inventory Capital</t>
  </si>
  <si>
    <t>60-day supply of fuel and consumables at 100% CF</t>
  </si>
  <si>
    <t>0.5% of TPC (spare parts)</t>
  </si>
  <si>
    <t>Other Costs</t>
  </si>
  <si>
    <t>Initial Cost for Catalyst and Chemicals</t>
  </si>
  <si>
    <t>Land</t>
  </si>
  <si>
    <t>Other Owner’s Costs</t>
  </si>
  <si>
    <t>Financing Costs</t>
  </si>
  <si>
    <t>Total Overnight Costs (TOC)</t>
  </si>
  <si>
    <t>TASC Multiplier (IOU, 35 year)</t>
  </si>
  <si>
    <t>Total As-Spent Cost (TASC)</t>
  </si>
  <si>
    <t>https://netl.doe.gov/energy-analysis/details?id=ed4825aa-8f04-4df7-abef-60e564f636c9</t>
  </si>
  <si>
    <r>
      <t xml:space="preserve">Based on Case 1 of NETL 2022 Comparison of Commercial, State-of-the-Art, Fossil-Based Hydrogen Production Technologies </t>
    </r>
    <r>
      <rPr>
        <sz val="10"/>
        <rFont val="Calibri"/>
        <family val="2"/>
      </rPr>
      <t>↓</t>
    </r>
  </si>
  <si>
    <t>Lewis, E. et al. 2022. Comparison of commercial, state-of-the-art, fossil-based hydrogen production technologies. National Energy Technology Laboratory (NETL).</t>
  </si>
  <si>
    <t>Corporate ownership, with 1.5 debt to equity financing capital structure.</t>
  </si>
  <si>
    <t>utility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</si>
</sst>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0;;&quot;Constant debt&quot;"/>
    <numFmt numFmtId="189" formatCode="_(* #,##0.0000_);_(* \(#,##0.0000\);_(* &quot;-&quot;??_);_(@_)"/>
  </numFmts>
  <fonts count="94">
    <font>
      <sz val="10"/>
      <name val="Arial"/>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b/>
      <sz val="16"/>
      <color indexed="12"/>
      <name val="Arial"/>
      <family val="2"/>
    </font>
    <font>
      <b/>
      <sz val="20"/>
      <color indexed="12"/>
      <name val="Arial"/>
      <family val="2"/>
    </font>
    <font>
      <u/>
      <sz val="10"/>
      <name val="Arial"/>
      <family val="2"/>
    </font>
    <font>
      <sz val="11"/>
      <name val="Arial"/>
      <family val="2"/>
    </font>
    <font>
      <b/>
      <sz val="14"/>
      <color indexed="12"/>
      <name val="Arial Black"/>
      <family val="2"/>
    </font>
    <font>
      <sz val="14"/>
      <color indexed="12"/>
      <name val="Arial Black"/>
      <family val="2"/>
    </font>
    <font>
      <b/>
      <u/>
      <sz val="11"/>
      <color indexed="12"/>
      <name val="Arial"/>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b/>
      <sz val="11"/>
      <color indexed="12"/>
      <name val="Arial"/>
      <family val="2"/>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name val="Calibri"/>
      <family val="2"/>
    </font>
    <font>
      <sz val="10"/>
      <color theme="9"/>
      <name val="Arial"/>
      <family val="2"/>
    </font>
    <font>
      <sz val="10"/>
      <color theme="1"/>
      <name val="Calibri"/>
      <family val="2"/>
    </font>
    <font>
      <vertAlign val="subscript"/>
      <sz val="10"/>
      <color theme="1"/>
      <name val="Calibri"/>
      <family val="2"/>
    </font>
    <font>
      <sz val="11"/>
      <color indexed="8"/>
      <name val="Calibri"/>
      <family val="2"/>
      <scheme val="minor"/>
    </font>
    <font>
      <sz val="11"/>
      <color rgb="FFFF0000"/>
      <name val="Arial"/>
      <family val="2"/>
    </font>
    <font>
      <sz val="10"/>
      <color theme="1"/>
      <name val="Arial"/>
      <family val="2"/>
    </font>
    <font>
      <vertAlign val="subscript"/>
      <sz val="10"/>
      <color theme="1"/>
      <name val="Arial"/>
      <family val="2"/>
    </font>
    <font>
      <vertAlign val="superscript"/>
      <sz val="10"/>
      <color theme="1"/>
      <name val="Arial"/>
      <family val="2"/>
    </font>
    <font>
      <vertAlign val="subscript"/>
      <sz val="10"/>
      <name val="Arial"/>
      <family val="2"/>
    </font>
    <font>
      <sz val="10"/>
      <color theme="9" tint="-0.249977111117893"/>
      <name val="Arial"/>
      <family val="2"/>
    </font>
    <font>
      <sz val="10"/>
      <color theme="0" tint="-0.34998626667073579"/>
      <name val="Arial"/>
      <family val="2"/>
    </font>
    <font>
      <sz val="8"/>
      <color rgb="FF383838"/>
      <name val="Calibri"/>
      <family val="2"/>
    </font>
    <font>
      <vertAlign val="subscript"/>
      <sz val="8"/>
      <color rgb="FF383838"/>
      <name val="Calibri"/>
      <family val="2"/>
    </font>
    <font>
      <b/>
      <sz val="10"/>
      <color rgb="FFFFFFFF"/>
      <name val="Calibri"/>
      <family val="2"/>
    </font>
    <font>
      <b/>
      <sz val="10"/>
      <color rgb="FF0000FF"/>
      <name val="Arial"/>
      <family val="2"/>
    </font>
    <font>
      <b/>
      <i/>
      <sz val="10"/>
      <color rgb="FF0000FF"/>
      <name val="Arial"/>
      <family val="2"/>
    </font>
    <font>
      <b/>
      <sz val="11"/>
      <color rgb="FF0000FF"/>
      <name val="Calibri"/>
      <family val="2"/>
      <scheme val="minor"/>
    </font>
    <font>
      <b/>
      <sz val="8"/>
      <color rgb="FFFFFFFF"/>
      <name val="Calibri"/>
      <family val="2"/>
    </font>
    <font>
      <vertAlign val="superscript"/>
      <sz val="8"/>
      <color rgb="FF383838"/>
      <name val="Calibri"/>
      <family val="2"/>
    </font>
    <font>
      <sz val="10"/>
      <color rgb="FF1C1C1C"/>
      <name val="Calibri"/>
      <family val="2"/>
    </font>
    <font>
      <vertAlign val="subscript"/>
      <sz val="10"/>
      <color rgb="FF1C1C1C"/>
      <name val="Calibri"/>
      <family val="2"/>
    </font>
    <font>
      <vertAlign val="superscript"/>
      <sz val="10"/>
      <color rgb="FF1C1C1C"/>
      <name val="Calibri"/>
      <family val="2"/>
    </font>
    <font>
      <sz val="10"/>
      <color theme="0"/>
      <name val="Arial"/>
      <family val="2"/>
    </font>
    <font>
      <sz val="10"/>
      <color rgb="FF383838"/>
      <name val="Calibri"/>
      <family val="2"/>
    </font>
    <font>
      <b/>
      <vertAlign val="subscript"/>
      <sz val="10"/>
      <color rgb="FFFFFFFF"/>
      <name val="Calibri"/>
      <family val="2"/>
    </font>
    <font>
      <b/>
      <sz val="10"/>
      <color rgb="FF383838"/>
      <name val="Calibri"/>
      <family val="2"/>
    </font>
    <font>
      <sz val="8"/>
      <color rgb="FF000000"/>
      <name val="Segoe UI"/>
    </font>
  </fonts>
  <fills count="29">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00B0D9"/>
        <bgColor indexed="64"/>
      </patternFill>
    </fill>
    <fill>
      <patternFill patternType="solid">
        <fgColor rgb="FF99CA3D"/>
        <bgColor indexed="64"/>
      </patternFill>
    </fill>
    <fill>
      <patternFill patternType="solid">
        <fgColor theme="1" tint="0.499984740745262"/>
        <bgColor indexed="64"/>
      </patternFill>
    </fill>
  </fills>
  <borders count="18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thick">
        <color indexed="64"/>
      </right>
      <top style="thin">
        <color indexed="64"/>
      </top>
      <bottom style="double">
        <color indexed="64"/>
      </bottom>
      <diagonal/>
    </border>
    <border>
      <left style="medium">
        <color rgb="FF8A8C8E"/>
      </left>
      <right style="medium">
        <color rgb="FF8A8C8E"/>
      </right>
      <top style="medium">
        <color rgb="FF8A8C8E"/>
      </top>
      <bottom style="medium">
        <color rgb="FF8A8C8E"/>
      </bottom>
      <diagonal/>
    </border>
    <border>
      <left/>
      <right style="medium">
        <color rgb="FF8A8C8E"/>
      </right>
      <top style="medium">
        <color rgb="FF8A8C8E"/>
      </top>
      <bottom style="medium">
        <color rgb="FF8A8C8E"/>
      </bottom>
      <diagonal/>
    </border>
    <border>
      <left style="medium">
        <color rgb="FF8A8C8E"/>
      </left>
      <right style="medium">
        <color rgb="FF8A8C8E"/>
      </right>
      <top/>
      <bottom style="medium">
        <color rgb="FF8A8C8E"/>
      </bottom>
      <diagonal/>
    </border>
    <border>
      <left/>
      <right style="medium">
        <color rgb="FF8A8C8E"/>
      </right>
      <top/>
      <bottom style="medium">
        <color rgb="FF8A8C8E"/>
      </bottom>
      <diagonal/>
    </border>
    <border>
      <left style="medium">
        <color rgb="FF8A8C8E"/>
      </left>
      <right/>
      <top style="medium">
        <color rgb="FF8A8C8E"/>
      </top>
      <bottom/>
      <diagonal/>
    </border>
    <border>
      <left/>
      <right style="medium">
        <color rgb="FF8A8C8E"/>
      </right>
      <top style="medium">
        <color rgb="FF8A8C8E"/>
      </top>
      <bottom/>
      <diagonal/>
    </border>
    <border>
      <left style="medium">
        <color rgb="FF8A8C8E"/>
      </left>
      <right/>
      <top style="medium">
        <color rgb="FF8A8C8E"/>
      </top>
      <bottom style="medium">
        <color rgb="FF8A8C8E"/>
      </bottom>
      <diagonal/>
    </border>
    <border>
      <left/>
      <right/>
      <top style="medium">
        <color rgb="FF8A8C8E"/>
      </top>
      <bottom style="medium">
        <color rgb="FF8A8C8E"/>
      </bottom>
      <diagonal/>
    </border>
  </borders>
  <cellStyleXfs count="21">
    <xf numFmtId="0" fontId="0" fillId="0" borderId="0"/>
    <xf numFmtId="43" fontId="1" fillId="0" borderId="0" applyFont="0" applyFill="0" applyBorder="0" applyAlignment="0" applyProtection="0"/>
    <xf numFmtId="43" fontId="58" fillId="0" borderId="0" applyFont="0" applyFill="0" applyBorder="0" applyAlignment="0" applyProtection="0"/>
    <xf numFmtId="44" fontId="1" fillId="0" borderId="0" applyFont="0" applyFill="0" applyBorder="0" applyAlignment="0" applyProtection="0"/>
    <xf numFmtId="44" fontId="58" fillId="0" borderId="0" applyFon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11" fillId="0" borderId="0"/>
    <xf numFmtId="0" fontId="59" fillId="0" borderId="0"/>
    <xf numFmtId="0" fontId="59" fillId="0" borderId="0"/>
    <xf numFmtId="0" fontId="55" fillId="0" borderId="0"/>
    <xf numFmtId="0" fontId="59" fillId="0" borderId="0"/>
    <xf numFmtId="173" fontId="49" fillId="0" borderId="0"/>
    <xf numFmtId="173" fontId="49" fillId="0" borderId="0"/>
    <xf numFmtId="0" fontId="11" fillId="0" borderId="0"/>
    <xf numFmtId="0" fontId="11" fillId="0" borderId="0"/>
    <xf numFmtId="173" fontId="15" fillId="0" borderId="0"/>
    <xf numFmtId="9" fontId="1" fillId="0" borderId="0" applyFont="0" applyFill="0" applyBorder="0" applyAlignment="0" applyProtection="0"/>
    <xf numFmtId="9" fontId="11" fillId="0" borderId="0" applyFont="0" applyFill="0" applyBorder="0" applyAlignment="0" applyProtection="0"/>
    <xf numFmtId="9" fontId="58" fillId="0" borderId="0" applyFont="0" applyFill="0" applyBorder="0" applyAlignment="0" applyProtection="0"/>
    <xf numFmtId="0" fontId="70" fillId="0" borderId="0"/>
  </cellStyleXfs>
  <cellXfs count="1630">
    <xf numFmtId="0" fontId="0" fillId="0" borderId="0" xfId="0"/>
    <xf numFmtId="0" fontId="3" fillId="0" borderId="0" xfId="0" applyFont="1"/>
    <xf numFmtId="0" fontId="5" fillId="0" borderId="0" xfId="0" applyFont="1"/>
    <xf numFmtId="0" fontId="8" fillId="2" borderId="1" xfId="0" applyFont="1" applyFill="1" applyBorder="1" applyAlignment="1">
      <alignment wrapText="1"/>
    </xf>
    <xf numFmtId="0" fontId="8" fillId="2" borderId="2" xfId="0" applyFont="1" applyFill="1" applyBorder="1" applyAlignment="1">
      <alignment wrapText="1"/>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8" fillId="3" borderId="4" xfId="0" applyFont="1" applyFill="1" applyBorder="1" applyAlignment="1">
      <alignment vertical="center" wrapText="1"/>
    </xf>
    <xf numFmtId="0" fontId="8" fillId="3" borderId="0" xfId="0" applyFont="1" applyFill="1" applyAlignment="1">
      <alignment vertical="center" wrapText="1"/>
    </xf>
    <xf numFmtId="0" fontId="8" fillId="3" borderId="0" xfId="0" applyFont="1" applyFill="1" applyAlignment="1">
      <alignment horizontal="center" vertical="center" wrapText="1"/>
    </xf>
    <xf numFmtId="0" fontId="8" fillId="3" borderId="5" xfId="0" applyFont="1" applyFill="1" applyBorder="1" applyAlignment="1">
      <alignment horizontal="center" vertical="center" wrapText="1"/>
    </xf>
    <xf numFmtId="0" fontId="7" fillId="2" borderId="4" xfId="0" applyFont="1" applyFill="1" applyBorder="1" applyAlignment="1">
      <alignment horizontal="left" vertical="center" wrapText="1"/>
    </xf>
    <xf numFmtId="0" fontId="8" fillId="2" borderId="0" xfId="0" applyFont="1" applyFill="1" applyAlignment="1">
      <alignment horizontal="left" vertical="center" wrapText="1"/>
    </xf>
    <xf numFmtId="1" fontId="7" fillId="2" borderId="0" xfId="0" applyNumberFormat="1" applyFont="1" applyFill="1" applyAlignment="1">
      <alignment horizontal="center" vertical="center"/>
    </xf>
    <xf numFmtId="3" fontId="7" fillId="0" borderId="0" xfId="0" applyNumberFormat="1" applyFont="1" applyAlignment="1">
      <alignment horizontal="center" vertical="center"/>
    </xf>
    <xf numFmtId="0" fontId="7" fillId="2" borderId="4" xfId="0" applyFont="1" applyFill="1" applyBorder="1" applyAlignment="1">
      <alignment vertical="center" wrapText="1"/>
    </xf>
    <xf numFmtId="0" fontId="8" fillId="2" borderId="0" xfId="0" applyFont="1" applyFill="1" applyAlignment="1">
      <alignment vertical="center" wrapText="1"/>
    </xf>
    <xf numFmtId="3" fontId="7" fillId="2" borderId="0" xfId="0" applyNumberFormat="1" applyFont="1" applyFill="1" applyAlignment="1">
      <alignment horizontal="center" vertical="center"/>
    </xf>
    <xf numFmtId="166" fontId="7" fillId="2" borderId="0" xfId="0" applyNumberFormat="1" applyFont="1" applyFill="1" applyAlignment="1">
      <alignment horizontal="center" vertical="center"/>
    </xf>
    <xf numFmtId="3" fontId="7" fillId="2" borderId="0" xfId="0" applyNumberFormat="1" applyFont="1" applyFill="1" applyAlignment="1">
      <alignment horizontal="center" vertical="center" wrapText="1"/>
    </xf>
    <xf numFmtId="166" fontId="7" fillId="2" borderId="5" xfId="0" applyNumberFormat="1" applyFont="1" applyFill="1" applyBorder="1" applyAlignment="1">
      <alignment horizontal="center" vertical="center" wrapText="1"/>
    </xf>
    <xf numFmtId="3" fontId="7" fillId="2" borderId="5" xfId="0" applyNumberFormat="1" applyFont="1" applyFill="1" applyBorder="1" applyAlignment="1">
      <alignment horizontal="center" vertical="center" wrapText="1"/>
    </xf>
    <xf numFmtId="3" fontId="7" fillId="2" borderId="5" xfId="0" quotePrefix="1" applyNumberFormat="1" applyFont="1" applyFill="1" applyBorder="1" applyAlignment="1">
      <alignment horizontal="center" vertical="center" wrapText="1"/>
    </xf>
    <xf numFmtId="0" fontId="8" fillId="2" borderId="0" xfId="0" applyFont="1" applyFill="1" applyAlignment="1">
      <alignment vertical="center"/>
    </xf>
    <xf numFmtId="3" fontId="7" fillId="2" borderId="0" xfId="0" quotePrefix="1" applyNumberFormat="1" applyFont="1" applyFill="1" applyAlignment="1">
      <alignment horizontal="center" vertical="center" wrapText="1"/>
    </xf>
    <xf numFmtId="0" fontId="7" fillId="2" borderId="4" xfId="0" applyFont="1" applyFill="1" applyBorder="1" applyAlignment="1">
      <alignment horizontal="left" wrapText="1"/>
    </xf>
    <xf numFmtId="0" fontId="7" fillId="2" borderId="0" xfId="0" applyFont="1" applyFill="1" applyAlignment="1">
      <alignment horizontal="left" wrapText="1"/>
    </xf>
    <xf numFmtId="0" fontId="7"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6" xfId="0" applyFont="1" applyBorder="1" applyAlignment="1">
      <alignment vertical="top" wrapText="1"/>
    </xf>
    <xf numFmtId="0" fontId="11" fillId="0" borderId="0" xfId="0" applyFont="1" applyAlignment="1">
      <alignment vertical="top" wrapText="1"/>
    </xf>
    <xf numFmtId="0" fontId="11" fillId="3" borderId="8" xfId="0" applyFont="1" applyFill="1" applyBorder="1" applyAlignment="1">
      <alignment horizontal="left" vertical="center" wrapText="1"/>
    </xf>
    <xf numFmtId="0" fontId="16" fillId="0" borderId="0" xfId="0" applyFont="1"/>
    <xf numFmtId="0" fontId="11" fillId="0" borderId="0" xfId="0" applyFont="1" applyAlignment="1">
      <alignment horizontal="left" vertical="center" wrapText="1"/>
    </xf>
    <xf numFmtId="0" fontId="3" fillId="0" borderId="0" xfId="0" quotePrefix="1" applyFont="1" applyAlignment="1">
      <alignment horizontal="left" vertical="center"/>
    </xf>
    <xf numFmtId="0" fontId="12" fillId="4" borderId="0" xfId="0" applyFont="1" applyFill="1"/>
    <xf numFmtId="0" fontId="11" fillId="4" borderId="0" xfId="0" applyFont="1" applyFill="1"/>
    <xf numFmtId="0" fontId="11" fillId="0" borderId="0" xfId="0" applyFont="1"/>
    <xf numFmtId="0" fontId="11" fillId="5" borderId="8" xfId="0" applyFont="1" applyFill="1" applyBorder="1" applyAlignment="1">
      <alignment horizontal="left" vertical="center" wrapText="1"/>
    </xf>
    <xf numFmtId="0" fontId="11" fillId="6" borderId="8" xfId="0" applyFont="1" applyFill="1" applyBorder="1" applyAlignment="1">
      <alignment horizontal="left" vertical="center" wrapText="1"/>
    </xf>
    <xf numFmtId="0" fontId="0" fillId="4" borderId="8" xfId="0" applyFill="1" applyBorder="1"/>
    <xf numFmtId="173" fontId="17" fillId="0" borderId="9" xfId="16" applyFont="1" applyBorder="1"/>
    <xf numFmtId="173" fontId="17" fillId="0" borderId="10" xfId="16" applyFont="1" applyBorder="1"/>
    <xf numFmtId="0" fontId="0" fillId="0" borderId="10" xfId="0" applyBorder="1"/>
    <xf numFmtId="0" fontId="0" fillId="0" borderId="11" xfId="0" applyBorder="1"/>
    <xf numFmtId="173" fontId="11" fillId="0" borderId="0" xfId="16" applyFont="1"/>
    <xf numFmtId="173" fontId="3" fillId="0" borderId="13" xfId="16" applyFont="1" applyBorder="1" applyAlignment="1">
      <alignment horizontal="center"/>
    </xf>
    <xf numFmtId="173" fontId="3" fillId="0" borderId="14" xfId="16" applyFont="1" applyBorder="1" applyAlignment="1">
      <alignment horizontal="center"/>
    </xf>
    <xf numFmtId="173" fontId="3" fillId="0" borderId="15" xfId="16" applyFont="1" applyBorder="1" applyAlignment="1">
      <alignment horizontal="center"/>
    </xf>
    <xf numFmtId="173" fontId="3" fillId="0" borderId="16" xfId="16" applyFont="1" applyBorder="1" applyAlignment="1">
      <alignment horizontal="center"/>
    </xf>
    <xf numFmtId="173" fontId="11" fillId="3" borderId="17" xfId="16" applyFont="1" applyFill="1" applyBorder="1"/>
    <xf numFmtId="170" fontId="11" fillId="3" borderId="8" xfId="16" applyNumberFormat="1" applyFont="1" applyFill="1" applyBorder="1"/>
    <xf numFmtId="170" fontId="11" fillId="3" borderId="19" xfId="16" applyNumberFormat="1" applyFont="1" applyFill="1" applyBorder="1"/>
    <xf numFmtId="173" fontId="11" fillId="3" borderId="20" xfId="16" applyFont="1" applyFill="1" applyBorder="1"/>
    <xf numFmtId="170" fontId="11" fillId="3" borderId="23" xfId="16" applyNumberFormat="1" applyFont="1" applyFill="1" applyBorder="1"/>
    <xf numFmtId="0" fontId="17" fillId="3" borderId="24" xfId="0" applyFont="1" applyFill="1" applyBorder="1"/>
    <xf numFmtId="0" fontId="0" fillId="3" borderId="10" xfId="0" applyFill="1" applyBorder="1"/>
    <xf numFmtId="0" fontId="0" fillId="3" borderId="11" xfId="0" applyFill="1" applyBorder="1"/>
    <xf numFmtId="0" fontId="0" fillId="3" borderId="25" xfId="0" applyFill="1" applyBorder="1"/>
    <xf numFmtId="0" fontId="0" fillId="3" borderId="26" xfId="0" applyFill="1" applyBorder="1" applyAlignment="1">
      <alignment horizontal="center"/>
    </xf>
    <xf numFmtId="0" fontId="0" fillId="3" borderId="27" xfId="0" applyFill="1" applyBorder="1" applyAlignment="1">
      <alignment horizontal="center"/>
    </xf>
    <xf numFmtId="0" fontId="0" fillId="3" borderId="12" xfId="0" applyFill="1" applyBorder="1"/>
    <xf numFmtId="0" fontId="0" fillId="3" borderId="25" xfId="0" applyFill="1" applyBorder="1" applyAlignment="1">
      <alignment horizontal="center"/>
    </xf>
    <xf numFmtId="0" fontId="0" fillId="3" borderId="28" xfId="0" applyFill="1" applyBorder="1"/>
    <xf numFmtId="10" fontId="0" fillId="3" borderId="29" xfId="0" applyNumberFormat="1" applyFill="1" applyBorder="1"/>
    <xf numFmtId="10" fontId="0" fillId="3" borderId="30" xfId="0" applyNumberFormat="1" applyFill="1" applyBorder="1"/>
    <xf numFmtId="168" fontId="0" fillId="3" borderId="31" xfId="0" applyNumberFormat="1" applyFill="1" applyBorder="1"/>
    <xf numFmtId="0" fontId="0" fillId="3" borderId="32" xfId="0" applyFill="1" applyBorder="1"/>
    <xf numFmtId="10" fontId="0" fillId="3" borderId="18" xfId="0" applyNumberFormat="1" applyFill="1" applyBorder="1"/>
    <xf numFmtId="10" fontId="0" fillId="3" borderId="8" xfId="0" applyNumberFormat="1" applyFill="1" applyBorder="1"/>
    <xf numFmtId="168" fontId="0" fillId="3" borderId="19" xfId="0" applyNumberFormat="1" applyFill="1" applyBorder="1"/>
    <xf numFmtId="0" fontId="0" fillId="3" borderId="33" xfId="0" applyFill="1" applyBorder="1"/>
    <xf numFmtId="10" fontId="0" fillId="3" borderId="21" xfId="0" applyNumberFormat="1" applyFill="1" applyBorder="1"/>
    <xf numFmtId="10" fontId="0" fillId="3" borderId="22" xfId="0" applyNumberFormat="1" applyFill="1" applyBorder="1"/>
    <xf numFmtId="168" fontId="0" fillId="3" borderId="23" xfId="0" applyNumberFormat="1" applyFill="1" applyBorder="1"/>
    <xf numFmtId="0" fontId="0" fillId="3" borderId="34" xfId="0" applyFill="1" applyBorder="1"/>
    <xf numFmtId="175" fontId="0" fillId="3" borderId="13" xfId="0" applyNumberFormat="1" applyFill="1" applyBorder="1"/>
    <xf numFmtId="175" fontId="0" fillId="3" borderId="15" xfId="0" applyNumberFormat="1" applyFill="1" applyBorder="1"/>
    <xf numFmtId="175" fontId="0" fillId="3" borderId="16" xfId="0" applyNumberFormat="1" applyFill="1" applyBorder="1"/>
    <xf numFmtId="175" fontId="0" fillId="3" borderId="20" xfId="0" applyNumberFormat="1" applyFill="1" applyBorder="1"/>
    <xf numFmtId="175" fontId="0" fillId="3" borderId="22" xfId="0" applyNumberFormat="1" applyFill="1" applyBorder="1"/>
    <xf numFmtId="175" fontId="0" fillId="3" borderId="23" xfId="0" applyNumberFormat="1" applyFill="1" applyBorder="1"/>
    <xf numFmtId="0" fontId="17" fillId="3" borderId="25" xfId="0" applyFont="1" applyFill="1" applyBorder="1"/>
    <xf numFmtId="0" fontId="0" fillId="3" borderId="27" xfId="0" applyFill="1" applyBorder="1"/>
    <xf numFmtId="0" fontId="0" fillId="3" borderId="13" xfId="0" applyFill="1" applyBorder="1"/>
    <xf numFmtId="0" fontId="0" fillId="3" borderId="16" xfId="0" applyFill="1" applyBorder="1" applyAlignment="1">
      <alignment horizontal="right"/>
    </xf>
    <xf numFmtId="0" fontId="0" fillId="3" borderId="17" xfId="0" applyFill="1" applyBorder="1"/>
    <xf numFmtId="0" fontId="0" fillId="3" borderId="19" xfId="0" applyFill="1" applyBorder="1" applyAlignment="1">
      <alignment horizontal="right"/>
    </xf>
    <xf numFmtId="0" fontId="0" fillId="3" borderId="20" xfId="0" applyFill="1" applyBorder="1"/>
    <xf numFmtId="170" fontId="0" fillId="3" borderId="23" xfId="0" applyNumberFormat="1" applyFill="1" applyBorder="1"/>
    <xf numFmtId="0" fontId="17" fillId="3" borderId="9" xfId="0" applyFont="1" applyFill="1" applyBorder="1"/>
    <xf numFmtId="0" fontId="0" fillId="3" borderId="9" xfId="0" applyFill="1" applyBorder="1"/>
    <xf numFmtId="0" fontId="0" fillId="3" borderId="12" xfId="0" applyFill="1" applyBorder="1" applyAlignment="1">
      <alignment wrapText="1"/>
    </xf>
    <xf numFmtId="0" fontId="0" fillId="3" borderId="35" xfId="0" applyFill="1" applyBorder="1"/>
    <xf numFmtId="0" fontId="0" fillId="3" borderId="26" xfId="0" applyFill="1" applyBorder="1"/>
    <xf numFmtId="170" fontId="0" fillId="3" borderId="29" xfId="0" applyNumberFormat="1" applyFill="1" applyBorder="1"/>
    <xf numFmtId="170" fontId="0" fillId="3" borderId="30" xfId="0" applyNumberFormat="1" applyFill="1" applyBorder="1"/>
    <xf numFmtId="170" fontId="0" fillId="3" borderId="31" xfId="0" applyNumberFormat="1" applyFill="1" applyBorder="1"/>
    <xf numFmtId="170" fontId="0" fillId="3" borderId="28" xfId="0" applyNumberFormat="1" applyFill="1" applyBorder="1"/>
    <xf numFmtId="170" fontId="0" fillId="3" borderId="32" xfId="0" applyNumberFormat="1" applyFill="1" applyBorder="1"/>
    <xf numFmtId="170" fontId="0" fillId="3" borderId="18" xfId="0" applyNumberFormat="1" applyFill="1" applyBorder="1"/>
    <xf numFmtId="170" fontId="0" fillId="3" borderId="8" xfId="0" applyNumberFormat="1" applyFill="1" applyBorder="1"/>
    <xf numFmtId="170" fontId="0" fillId="3" borderId="19" xfId="0" applyNumberFormat="1" applyFill="1" applyBorder="1"/>
    <xf numFmtId="170" fontId="0" fillId="3" borderId="21" xfId="0" applyNumberFormat="1" applyFill="1" applyBorder="1"/>
    <xf numFmtId="170" fontId="0" fillId="3" borderId="22" xfId="0" applyNumberFormat="1" applyFill="1" applyBorder="1"/>
    <xf numFmtId="170" fontId="0" fillId="3" borderId="33" xfId="0" applyNumberFormat="1" applyFill="1" applyBorder="1"/>
    <xf numFmtId="170" fontId="0" fillId="0" borderId="0" xfId="0" applyNumberFormat="1"/>
    <xf numFmtId="0" fontId="3" fillId="3" borderId="13" xfId="0" applyFont="1" applyFill="1" applyBorder="1"/>
    <xf numFmtId="0" fontId="3" fillId="3" borderId="15" xfId="0" applyFont="1" applyFill="1" applyBorder="1"/>
    <xf numFmtId="0" fontId="3" fillId="3" borderId="16" xfId="0" applyFont="1" applyFill="1" applyBorder="1" applyAlignment="1">
      <alignment wrapText="1"/>
    </xf>
    <xf numFmtId="5" fontId="1" fillId="3" borderId="19" xfId="3" applyNumberFormat="1" applyFill="1" applyBorder="1" applyProtection="1"/>
    <xf numFmtId="0" fontId="0" fillId="3" borderId="36" xfId="0" applyFill="1" applyBorder="1"/>
    <xf numFmtId="170" fontId="0" fillId="3" borderId="37" xfId="0" applyNumberFormat="1" applyFill="1" applyBorder="1"/>
    <xf numFmtId="5" fontId="1" fillId="3" borderId="38" xfId="3" applyNumberFormat="1" applyFill="1" applyBorder="1" applyProtection="1"/>
    <xf numFmtId="0" fontId="3" fillId="3" borderId="25" xfId="0" applyFont="1" applyFill="1" applyBorder="1"/>
    <xf numFmtId="170" fontId="3" fillId="3" borderId="26" xfId="0" applyNumberFormat="1" applyFont="1" applyFill="1" applyBorder="1"/>
    <xf numFmtId="5" fontId="3" fillId="3" borderId="27" xfId="3" applyNumberFormat="1" applyFont="1" applyFill="1" applyBorder="1" applyProtection="1"/>
    <xf numFmtId="170" fontId="3" fillId="0" borderId="0" xfId="0" applyNumberFormat="1" applyFont="1"/>
    <xf numFmtId="5" fontId="3" fillId="0" borderId="0" xfId="3" applyNumberFormat="1" applyFont="1" applyFill="1" applyBorder="1" applyProtection="1"/>
    <xf numFmtId="0" fontId="3" fillId="3" borderId="20" xfId="0" applyFont="1" applyFill="1" applyBorder="1" applyAlignment="1">
      <alignment wrapText="1"/>
    </xf>
    <xf numFmtId="0" fontId="3" fillId="3" borderId="23" xfId="0" applyFont="1" applyFill="1" applyBorder="1" applyAlignment="1">
      <alignment wrapText="1"/>
    </xf>
    <xf numFmtId="0" fontId="0" fillId="3" borderId="39" xfId="0" applyFill="1" applyBorder="1"/>
    <xf numFmtId="170" fontId="3" fillId="3" borderId="27" xfId="0" applyNumberFormat="1" applyFont="1" applyFill="1" applyBorder="1"/>
    <xf numFmtId="173" fontId="16" fillId="0" borderId="0" xfId="16" applyFont="1" applyAlignment="1">
      <alignment horizontal="left"/>
    </xf>
    <xf numFmtId="173" fontId="7" fillId="0" borderId="0" xfId="16" applyFont="1"/>
    <xf numFmtId="173" fontId="19" fillId="0" borderId="0" xfId="16" applyFont="1"/>
    <xf numFmtId="173" fontId="20" fillId="0" borderId="0" xfId="16" applyFont="1" applyAlignment="1">
      <alignment horizontal="left"/>
    </xf>
    <xf numFmtId="173" fontId="11" fillId="0" borderId="17" xfId="16" applyFont="1" applyBorder="1" applyAlignment="1">
      <alignment wrapText="1"/>
    </xf>
    <xf numFmtId="173" fontId="11" fillId="0" borderId="17" xfId="16" applyFont="1" applyBorder="1"/>
    <xf numFmtId="164" fontId="11" fillId="3" borderId="19" xfId="16" applyNumberFormat="1" applyFont="1" applyFill="1" applyBorder="1" applyAlignment="1">
      <alignment horizontal="center"/>
    </xf>
    <xf numFmtId="173" fontId="11" fillId="0" borderId="36" xfId="16" applyFont="1" applyBorder="1"/>
    <xf numFmtId="164" fontId="11" fillId="3" borderId="38" xfId="16" applyNumberFormat="1" applyFont="1" applyFill="1" applyBorder="1" applyAlignment="1">
      <alignment horizontal="center"/>
    </xf>
    <xf numFmtId="0" fontId="19" fillId="0" borderId="0" xfId="0" applyFont="1" applyAlignment="1">
      <alignment horizontal="left" vertical="center"/>
    </xf>
    <xf numFmtId="173" fontId="11" fillId="0" borderId="36" xfId="16" applyFont="1" applyBorder="1" applyAlignment="1">
      <alignment wrapText="1"/>
    </xf>
    <xf numFmtId="165" fontId="11" fillId="3" borderId="38" xfId="16" applyNumberFormat="1" applyFont="1" applyFill="1" applyBorder="1" applyAlignment="1">
      <alignment horizontal="center"/>
    </xf>
    <xf numFmtId="173" fontId="11" fillId="0" borderId="20" xfId="16" applyFont="1" applyBorder="1"/>
    <xf numFmtId="0" fontId="17" fillId="0" borderId="10" xfId="0" applyFont="1" applyBorder="1" applyAlignment="1">
      <alignment wrapText="1"/>
    </xf>
    <xf numFmtId="173" fontId="11" fillId="0" borderId="11" xfId="16" applyFont="1" applyBorder="1"/>
    <xf numFmtId="10" fontId="11" fillId="0" borderId="0" xfId="17" applyNumberFormat="1" applyFont="1" applyFill="1" applyBorder="1" applyProtection="1"/>
    <xf numFmtId="173" fontId="3" fillId="0" borderId="40" xfId="16" applyFont="1" applyBorder="1" applyAlignment="1">
      <alignment horizontal="center"/>
    </xf>
    <xf numFmtId="164" fontId="11" fillId="3" borderId="31" xfId="16" applyNumberFormat="1" applyFont="1" applyFill="1" applyBorder="1"/>
    <xf numFmtId="164" fontId="11" fillId="3" borderId="19" xfId="16" applyNumberFormat="1" applyFont="1" applyFill="1" applyBorder="1"/>
    <xf numFmtId="173" fontId="17" fillId="0" borderId="9" xfId="16" applyFont="1" applyBorder="1" applyAlignment="1">
      <alignment horizontal="left"/>
    </xf>
    <xf numFmtId="173" fontId="21" fillId="0" borderId="17" xfId="16" applyFont="1" applyBorder="1" applyAlignment="1">
      <alignment horizontal="left"/>
    </xf>
    <xf numFmtId="173" fontId="11" fillId="0" borderId="19" xfId="16" applyFont="1" applyBorder="1"/>
    <xf numFmtId="173" fontId="11" fillId="0" borderId="17" xfId="16" applyFont="1" applyBorder="1" applyAlignment="1">
      <alignment horizontal="left" wrapText="1"/>
    </xf>
    <xf numFmtId="3" fontId="11" fillId="3" borderId="19" xfId="16" applyNumberFormat="1" applyFont="1" applyFill="1" applyBorder="1"/>
    <xf numFmtId="173" fontId="11" fillId="0" borderId="17" xfId="16" applyFont="1" applyBorder="1" applyAlignment="1">
      <alignment horizontal="left"/>
    </xf>
    <xf numFmtId="0" fontId="11" fillId="0" borderId="17" xfId="0" applyFont="1" applyBorder="1" applyAlignment="1">
      <alignment horizontal="left" vertical="center"/>
    </xf>
    <xf numFmtId="2" fontId="11" fillId="3" borderId="19" xfId="16" applyNumberFormat="1" applyFont="1" applyFill="1" applyBorder="1"/>
    <xf numFmtId="1" fontId="11" fillId="3" borderId="19" xfId="16" applyNumberFormat="1" applyFont="1" applyFill="1" applyBorder="1"/>
    <xf numFmtId="173" fontId="22" fillId="0" borderId="0" xfId="16" applyFont="1"/>
    <xf numFmtId="9" fontId="11" fillId="3" borderId="19" xfId="16" applyNumberFormat="1" applyFont="1" applyFill="1" applyBorder="1"/>
    <xf numFmtId="9" fontId="11" fillId="3" borderId="7" xfId="16" applyNumberFormat="1" applyFont="1" applyFill="1" applyBorder="1"/>
    <xf numFmtId="164" fontId="11" fillId="0" borderId="19" xfId="16" applyNumberFormat="1" applyFont="1" applyBorder="1"/>
    <xf numFmtId="173" fontId="21" fillId="0" borderId="17" xfId="16" applyFont="1" applyBorder="1"/>
    <xf numFmtId="9" fontId="11" fillId="0" borderId="19" xfId="16" applyNumberFormat="1" applyFont="1" applyBorder="1"/>
    <xf numFmtId="10" fontId="11" fillId="3" borderId="19" xfId="16" applyNumberFormat="1" applyFont="1" applyFill="1" applyBorder="1"/>
    <xf numFmtId="7" fontId="11" fillId="0" borderId="0" xfId="3" applyNumberFormat="1" applyFont="1" applyFill="1" applyBorder="1" applyProtection="1"/>
    <xf numFmtId="1" fontId="11" fillId="3" borderId="19" xfId="16" applyNumberFormat="1" applyFont="1" applyFill="1" applyBorder="1" applyAlignment="1">
      <alignment horizontal="right"/>
    </xf>
    <xf numFmtId="170" fontId="11" fillId="3" borderId="19" xfId="16" applyNumberFormat="1" applyFont="1" applyFill="1" applyBorder="1" applyAlignment="1">
      <alignment horizontal="right"/>
    </xf>
    <xf numFmtId="173" fontId="11" fillId="0" borderId="20" xfId="16" applyFont="1" applyBorder="1" applyAlignment="1">
      <alignment wrapText="1"/>
    </xf>
    <xf numFmtId="0" fontId="0" fillId="0" borderId="10" xfId="0" applyBorder="1" applyAlignment="1">
      <alignment wrapText="1"/>
    </xf>
    <xf numFmtId="173" fontId="3" fillId="0" borderId="0" xfId="16" applyFont="1" applyAlignment="1">
      <alignment horizontal="center" wrapText="1"/>
    </xf>
    <xf numFmtId="173" fontId="11" fillId="3" borderId="13" xfId="16" applyFont="1" applyFill="1" applyBorder="1"/>
    <xf numFmtId="173" fontId="11" fillId="3" borderId="15" xfId="16" applyFont="1" applyFill="1" applyBorder="1"/>
    <xf numFmtId="165" fontId="11" fillId="3" borderId="15" xfId="16" applyNumberFormat="1" applyFont="1" applyFill="1" applyBorder="1"/>
    <xf numFmtId="170" fontId="11" fillId="3" borderId="15" xfId="16" applyNumberFormat="1" applyFont="1" applyFill="1" applyBorder="1"/>
    <xf numFmtId="6" fontId="11" fillId="3" borderId="15" xfId="16" applyNumberFormat="1" applyFont="1" applyFill="1" applyBorder="1"/>
    <xf numFmtId="164" fontId="1" fillId="3" borderId="15" xfId="17" applyNumberFormat="1" applyFill="1" applyBorder="1" applyProtection="1"/>
    <xf numFmtId="173" fontId="11" fillId="3" borderId="8" xfId="16" applyFont="1" applyFill="1" applyBorder="1"/>
    <xf numFmtId="165" fontId="11" fillId="3" borderId="8" xfId="16" applyNumberFormat="1" applyFont="1" applyFill="1" applyBorder="1"/>
    <xf numFmtId="6" fontId="11" fillId="3" borderId="8" xfId="16" applyNumberFormat="1" applyFont="1" applyFill="1" applyBorder="1"/>
    <xf numFmtId="164" fontId="1" fillId="3" borderId="8" xfId="17" applyNumberFormat="1" applyFill="1" applyBorder="1" applyProtection="1"/>
    <xf numFmtId="173" fontId="11" fillId="3" borderId="22" xfId="16" applyFont="1" applyFill="1" applyBorder="1"/>
    <xf numFmtId="6" fontId="11" fillId="3" borderId="22" xfId="16" applyNumberFormat="1" applyFont="1" applyFill="1" applyBorder="1"/>
    <xf numFmtId="173" fontId="11" fillId="0" borderId="0" xfId="16" applyFont="1" applyAlignment="1">
      <alignment horizontal="right"/>
    </xf>
    <xf numFmtId="170" fontId="11" fillId="0" borderId="0" xfId="16" applyNumberFormat="1" applyFont="1"/>
    <xf numFmtId="0" fontId="17" fillId="0" borderId="11" xfId="0" applyFont="1" applyBorder="1" applyAlignment="1">
      <alignment wrapText="1"/>
    </xf>
    <xf numFmtId="173" fontId="11" fillId="3" borderId="17" xfId="16" applyFont="1" applyFill="1" applyBorder="1" applyAlignment="1">
      <alignment horizontal="right"/>
    </xf>
    <xf numFmtId="10" fontId="11" fillId="3" borderId="8" xfId="16" applyNumberFormat="1" applyFont="1" applyFill="1" applyBorder="1"/>
    <xf numFmtId="169" fontId="11" fillId="3" borderId="19" xfId="16" applyNumberFormat="1" applyFont="1" applyFill="1" applyBorder="1" applyAlignment="1">
      <alignment horizontal="right"/>
    </xf>
    <xf numFmtId="173" fontId="11" fillId="3" borderId="20" xfId="16" applyFont="1" applyFill="1" applyBorder="1" applyAlignment="1">
      <alignment horizontal="right" wrapText="1"/>
    </xf>
    <xf numFmtId="10" fontId="11" fillId="3" borderId="22" xfId="16" applyNumberFormat="1" applyFont="1" applyFill="1" applyBorder="1"/>
    <xf numFmtId="169" fontId="11" fillId="3" borderId="23" xfId="16" applyNumberFormat="1" applyFont="1" applyFill="1" applyBorder="1" applyAlignment="1">
      <alignment horizontal="right"/>
    </xf>
    <xf numFmtId="173" fontId="17" fillId="0" borderId="46" xfId="16" applyFont="1" applyBorder="1"/>
    <xf numFmtId="0" fontId="0" fillId="0" borderId="47" xfId="0" applyBorder="1" applyAlignment="1">
      <alignment wrapText="1"/>
    </xf>
    <xf numFmtId="173" fontId="17" fillId="0" borderId="9" xfId="16" applyFont="1" applyBorder="1" applyAlignment="1">
      <alignment wrapText="1"/>
    </xf>
    <xf numFmtId="0" fontId="17" fillId="0" borderId="9" xfId="0" applyFont="1" applyBorder="1" applyAlignment="1">
      <alignment wrapText="1"/>
    </xf>
    <xf numFmtId="173" fontId="3" fillId="0" borderId="48" xfId="16" applyFont="1" applyBorder="1" applyAlignment="1">
      <alignment horizontal="center"/>
    </xf>
    <xf numFmtId="173" fontId="11" fillId="3" borderId="49" xfId="16" applyFont="1" applyFill="1" applyBorder="1"/>
    <xf numFmtId="169" fontId="11" fillId="3" borderId="17" xfId="16" applyNumberFormat="1" applyFont="1" applyFill="1" applyBorder="1"/>
    <xf numFmtId="169" fontId="11" fillId="3" borderId="8" xfId="16" applyNumberFormat="1" applyFont="1" applyFill="1" applyBorder="1"/>
    <xf numFmtId="173" fontId="11" fillId="3" borderId="50" xfId="16" applyFont="1" applyFill="1" applyBorder="1"/>
    <xf numFmtId="0" fontId="0" fillId="0" borderId="0" xfId="0" applyAlignment="1" applyProtection="1">
      <alignment wrapText="1"/>
      <protection locked="0"/>
    </xf>
    <xf numFmtId="0" fontId="0" fillId="0" borderId="0" xfId="0" applyProtection="1">
      <protection locked="0"/>
    </xf>
    <xf numFmtId="0" fontId="11" fillId="0" borderId="0" xfId="0" applyFont="1" applyProtection="1">
      <protection locked="0"/>
    </xf>
    <xf numFmtId="0" fontId="3" fillId="0" borderId="0" xfId="0" applyFont="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lignment horizontal="center" vertical="center" wrapText="1"/>
    </xf>
    <xf numFmtId="170" fontId="11" fillId="3" borderId="15" xfId="0" applyNumberFormat="1" applyFont="1" applyFill="1" applyBorder="1" applyAlignment="1">
      <alignment horizontal="center" vertical="center" wrapText="1"/>
    </xf>
    <xf numFmtId="170" fontId="0" fillId="3" borderId="8" xfId="0" applyNumberFormat="1" applyFill="1" applyBorder="1" applyAlignment="1">
      <alignment horizontal="center" vertical="center" wrapText="1"/>
    </xf>
    <xf numFmtId="170" fontId="11" fillId="3" borderId="8" xfId="0" applyNumberFormat="1" applyFont="1" applyFill="1" applyBorder="1" applyAlignment="1">
      <alignment horizontal="center" vertical="center" wrapText="1"/>
    </xf>
    <xf numFmtId="170" fontId="0" fillId="3" borderId="22" xfId="0" applyNumberFormat="1" applyFill="1" applyBorder="1" applyAlignment="1">
      <alignment horizontal="center" vertical="center" wrapText="1"/>
    </xf>
    <xf numFmtId="170" fontId="11" fillId="3" borderId="22" xfId="0" applyNumberFormat="1" applyFont="1" applyFill="1" applyBorder="1" applyAlignment="1">
      <alignment horizontal="center" vertical="center" wrapText="1"/>
    </xf>
    <xf numFmtId="0" fontId="0" fillId="0" borderId="0" xfId="0" quotePrefix="1" applyProtection="1">
      <protection locked="0"/>
    </xf>
    <xf numFmtId="0" fontId="26" fillId="0" borderId="25" xfId="0" applyFont="1" applyBorder="1" applyAlignment="1">
      <alignment wrapText="1"/>
    </xf>
    <xf numFmtId="0" fontId="26" fillId="0" borderId="51" xfId="0" applyFont="1" applyBorder="1" applyAlignment="1">
      <alignment horizontal="center" wrapText="1"/>
    </xf>
    <xf numFmtId="0" fontId="26" fillId="0" borderId="52" xfId="0" applyFont="1" applyBorder="1" applyAlignment="1">
      <alignment horizontal="center" wrapText="1"/>
    </xf>
    <xf numFmtId="0" fontId="26" fillId="0" borderId="53" xfId="0" applyFont="1" applyBorder="1" applyAlignment="1">
      <alignment horizontal="center" wrapText="1"/>
    </xf>
    <xf numFmtId="0" fontId="26" fillId="0" borderId="54" xfId="0" applyFont="1" applyBorder="1" applyAlignment="1">
      <alignment horizontal="center" wrapText="1"/>
    </xf>
    <xf numFmtId="173" fontId="3" fillId="0" borderId="0" xfId="16" applyFont="1" applyAlignment="1">
      <alignment vertical="top" wrapText="1"/>
    </xf>
    <xf numFmtId="0" fontId="11" fillId="3" borderId="8" xfId="16" applyNumberFormat="1" applyFont="1" applyFill="1" applyBorder="1"/>
    <xf numFmtId="0" fontId="28" fillId="0" borderId="10" xfId="0" applyFont="1" applyBorder="1" applyAlignment="1">
      <alignment wrapText="1"/>
    </xf>
    <xf numFmtId="0" fontId="28" fillId="0" borderId="10" xfId="0" quotePrefix="1" applyFont="1" applyBorder="1" applyAlignment="1">
      <alignment wrapText="1"/>
    </xf>
    <xf numFmtId="169" fontId="11" fillId="3" borderId="18" xfId="16" applyNumberFormat="1" applyFont="1" applyFill="1" applyBorder="1"/>
    <xf numFmtId="0" fontId="17" fillId="0" borderId="25" xfId="0" applyFont="1" applyBorder="1" applyAlignment="1">
      <alignment wrapText="1"/>
    </xf>
    <xf numFmtId="169" fontId="11" fillId="3" borderId="55" xfId="16" applyNumberFormat="1" applyFont="1" applyFill="1" applyBorder="1"/>
    <xf numFmtId="169" fontId="11" fillId="3" borderId="19" xfId="16" applyNumberFormat="1" applyFont="1" applyFill="1" applyBorder="1"/>
    <xf numFmtId="173" fontId="11" fillId="0" borderId="56" xfId="16" applyFont="1" applyBorder="1"/>
    <xf numFmtId="173" fontId="3" fillId="0" borderId="34" xfId="16" applyFont="1" applyBorder="1" applyAlignment="1">
      <alignment horizontal="center" wrapText="1"/>
    </xf>
    <xf numFmtId="173" fontId="3" fillId="7" borderId="34" xfId="16" applyFont="1" applyFill="1" applyBorder="1" applyAlignment="1">
      <alignment horizontal="center" wrapText="1"/>
    </xf>
    <xf numFmtId="169" fontId="11" fillId="7" borderId="17" xfId="16" applyNumberFormat="1" applyFont="1" applyFill="1" applyBorder="1"/>
    <xf numFmtId="174" fontId="11" fillId="7" borderId="17" xfId="16" applyNumberFormat="1" applyFont="1" applyFill="1" applyBorder="1"/>
    <xf numFmtId="174" fontId="11" fillId="7" borderId="20" xfId="16" applyNumberFormat="1" applyFont="1" applyFill="1" applyBorder="1"/>
    <xf numFmtId="0" fontId="3" fillId="7" borderId="1" xfId="0" applyFont="1" applyFill="1" applyBorder="1"/>
    <xf numFmtId="0" fontId="0" fillId="7" borderId="2" xfId="0" applyFill="1" applyBorder="1"/>
    <xf numFmtId="9" fontId="0" fillId="7" borderId="2" xfId="17" applyFont="1" applyFill="1" applyBorder="1" applyProtection="1"/>
    <xf numFmtId="0" fontId="0" fillId="7" borderId="4" xfId="0" applyFill="1" applyBorder="1"/>
    <xf numFmtId="0" fontId="0" fillId="7" borderId="0" xfId="0" applyFill="1"/>
    <xf numFmtId="0" fontId="4" fillId="7" borderId="4" xfId="5" applyFill="1" applyBorder="1" applyAlignment="1" applyProtection="1"/>
    <xf numFmtId="0" fontId="0" fillId="7" borderId="4" xfId="0" applyFill="1" applyBorder="1" applyAlignment="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3" fillId="7" borderId="4" xfId="0" applyFont="1" applyFill="1" applyBorder="1"/>
    <xf numFmtId="0" fontId="0" fillId="7" borderId="59"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43" fontId="0" fillId="0" borderId="0" xfId="0" applyNumberFormat="1"/>
    <xf numFmtId="0" fontId="0" fillId="13" borderId="8" xfId="0" applyFill="1" applyBorder="1"/>
    <xf numFmtId="43" fontId="0" fillId="14" borderId="0" xfId="1" applyFont="1" applyFill="1" applyBorder="1"/>
    <xf numFmtId="0" fontId="0" fillId="14" borderId="0" xfId="0" applyFill="1"/>
    <xf numFmtId="2" fontId="7" fillId="14" borderId="0" xfId="0" applyNumberFormat="1" applyFont="1" applyFill="1" applyAlignment="1">
      <alignment wrapText="1"/>
    </xf>
    <xf numFmtId="43" fontId="0" fillId="14" borderId="62" xfId="0" applyNumberFormat="1" applyFill="1" applyBorder="1"/>
    <xf numFmtId="0" fontId="0" fillId="14" borderId="4" xfId="0" applyFill="1" applyBorder="1"/>
    <xf numFmtId="0" fontId="11" fillId="14" borderId="63" xfId="0" applyFont="1" applyFill="1" applyBorder="1"/>
    <xf numFmtId="0" fontId="11" fillId="14" borderId="17" xfId="0" applyFont="1" applyFill="1" applyBorder="1"/>
    <xf numFmtId="0" fontId="1" fillId="0" borderId="0" xfId="0" applyFont="1"/>
    <xf numFmtId="0" fontId="1" fillId="7" borderId="0" xfId="0" applyFont="1" applyFill="1"/>
    <xf numFmtId="0" fontId="1" fillId="4" borderId="0" xfId="0" applyFont="1" applyFill="1"/>
    <xf numFmtId="0" fontId="1" fillId="9" borderId="0" xfId="0" applyFont="1" applyFill="1"/>
    <xf numFmtId="0" fontId="1" fillId="11" borderId="0" xfId="0" applyFont="1" applyFill="1"/>
    <xf numFmtId="0" fontId="1" fillId="12" borderId="0" xfId="0" applyFont="1" applyFill="1"/>
    <xf numFmtId="0" fontId="1" fillId="10" borderId="0" xfId="0" applyFont="1" applyFill="1"/>
    <xf numFmtId="164" fontId="12" fillId="0" borderId="64" xfId="16" applyNumberFormat="1" applyFont="1" applyBorder="1"/>
    <xf numFmtId="0" fontId="0" fillId="3" borderId="15" xfId="0" applyFill="1" applyBorder="1" applyAlignment="1">
      <alignment horizontal="right" vertical="center" wrapText="1"/>
    </xf>
    <xf numFmtId="0" fontId="0" fillId="3" borderId="8" xfId="0" applyFill="1" applyBorder="1" applyAlignment="1">
      <alignment horizontal="right" vertical="center" wrapText="1"/>
    </xf>
    <xf numFmtId="0" fontId="0" fillId="3" borderId="22" xfId="0" applyFill="1" applyBorder="1" applyAlignment="1">
      <alignment horizontal="right" vertical="center" wrapText="1"/>
    </xf>
    <xf numFmtId="0" fontId="31" fillId="0" borderId="0" xfId="0" applyFont="1"/>
    <xf numFmtId="173" fontId="3" fillId="0" borderId="17" xfId="16" applyFont="1" applyBorder="1" applyAlignment="1">
      <alignment wrapText="1"/>
    </xf>
    <xf numFmtId="0" fontId="25" fillId="2" borderId="0" xfId="0" applyFont="1" applyFill="1" applyAlignment="1">
      <alignment horizontal="center" vertical="top" wrapText="1"/>
    </xf>
    <xf numFmtId="0" fontId="0" fillId="2" borderId="0" xfId="0" applyFill="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1" fillId="2" borderId="4" xfId="0" applyFont="1" applyFill="1" applyBorder="1" applyAlignment="1">
      <alignment vertical="top" wrapText="1"/>
    </xf>
    <xf numFmtId="0" fontId="1" fillId="2" borderId="4" xfId="0" applyFont="1" applyFill="1" applyBorder="1" applyAlignment="1">
      <alignment vertical="top" wrapText="1"/>
    </xf>
    <xf numFmtId="0" fontId="3" fillId="2" borderId="4" xfId="0" applyFont="1" applyFill="1" applyBorder="1" applyAlignment="1">
      <alignment vertical="top" wrapText="1"/>
    </xf>
    <xf numFmtId="0" fontId="5" fillId="2" borderId="4" xfId="0" applyFont="1" applyFill="1" applyBorder="1" applyAlignment="1">
      <alignment vertical="top" wrapText="1"/>
    </xf>
    <xf numFmtId="0" fontId="0" fillId="2" borderId="4" xfId="0" applyFill="1" applyBorder="1" applyAlignment="1">
      <alignment horizontal="center" vertical="top" wrapText="1"/>
    </xf>
    <xf numFmtId="0" fontId="3" fillId="2" borderId="4" xfId="0" applyFont="1" applyFill="1" applyBorder="1" applyAlignment="1">
      <alignment horizontal="left" vertical="top" wrapText="1"/>
    </xf>
    <xf numFmtId="0" fontId="5" fillId="2" borderId="58" xfId="0" applyFont="1" applyFill="1" applyBorder="1" applyAlignment="1">
      <alignment vertical="top" wrapText="1"/>
    </xf>
    <xf numFmtId="0" fontId="13" fillId="2" borderId="24" xfId="0" applyFont="1" applyFill="1" applyBorder="1" applyAlignment="1">
      <alignment horizontal="left"/>
    </xf>
    <xf numFmtId="3" fontId="3" fillId="2" borderId="65" xfId="0" applyNumberFormat="1" applyFont="1" applyFill="1" applyBorder="1" applyAlignment="1">
      <alignment vertical="center" wrapText="1"/>
    </xf>
    <xf numFmtId="0" fontId="3" fillId="2" borderId="65" xfId="0" applyFont="1" applyFill="1" applyBorder="1" applyAlignment="1">
      <alignment horizontal="left" vertical="center" wrapText="1"/>
    </xf>
    <xf numFmtId="0" fontId="11" fillId="2" borderId="65" xfId="0" applyFont="1" applyFill="1" applyBorder="1" applyAlignment="1">
      <alignment horizontal="left" vertical="center" wrapText="1"/>
    </xf>
    <xf numFmtId="0" fontId="0" fillId="2" borderId="66" xfId="0" applyFill="1" applyBorder="1"/>
    <xf numFmtId="0" fontId="13" fillId="2" borderId="25" xfId="0" applyFont="1" applyFill="1" applyBorder="1" applyAlignment="1">
      <alignment horizontal="left"/>
    </xf>
    <xf numFmtId="3" fontId="3" fillId="2" borderId="42" xfId="0" applyNumberFormat="1" applyFont="1" applyFill="1" applyBorder="1" applyAlignment="1">
      <alignment vertical="center" wrapText="1"/>
    </xf>
    <xf numFmtId="0" fontId="3" fillId="2" borderId="26" xfId="0" applyFont="1" applyFill="1" applyBorder="1" applyAlignment="1">
      <alignment horizontal="left" vertical="center" wrapText="1"/>
    </xf>
    <xf numFmtId="0" fontId="3" fillId="2" borderId="27" xfId="0" applyFont="1" applyFill="1" applyBorder="1" applyAlignment="1">
      <alignment vertical="center"/>
    </xf>
    <xf numFmtId="0" fontId="11" fillId="2" borderId="67" xfId="0" applyFont="1" applyFill="1" applyBorder="1" applyAlignment="1">
      <alignment wrapText="1"/>
    </xf>
    <xf numFmtId="0" fontId="11" fillId="2" borderId="68" xfId="0" applyFont="1" applyFill="1" applyBorder="1" applyAlignment="1" applyProtection="1">
      <alignment wrapText="1"/>
      <protection locked="0"/>
    </xf>
    <xf numFmtId="0" fontId="11" fillId="2" borderId="69" xfId="0" applyFont="1" applyFill="1" applyBorder="1" applyAlignment="1" applyProtection="1">
      <alignment wrapText="1"/>
      <protection locked="0"/>
    </xf>
    <xf numFmtId="0" fontId="3" fillId="2" borderId="70" xfId="0" applyFont="1" applyFill="1" applyBorder="1" applyAlignment="1">
      <alignment wrapText="1"/>
    </xf>
    <xf numFmtId="0" fontId="3" fillId="2" borderId="25" xfId="0" applyFont="1" applyFill="1" applyBorder="1" applyAlignment="1">
      <alignment horizontal="center"/>
    </xf>
    <xf numFmtId="0" fontId="3" fillId="2" borderId="69" xfId="0" applyFont="1" applyFill="1" applyBorder="1" applyAlignment="1">
      <alignment horizontal="center" wrapText="1"/>
    </xf>
    <xf numFmtId="0" fontId="3" fillId="2" borderId="26" xfId="0" applyFont="1" applyFill="1" applyBorder="1" applyAlignment="1">
      <alignment horizontal="center" wrapText="1"/>
    </xf>
    <xf numFmtId="0" fontId="3" fillId="2" borderId="26" xfId="0" applyFont="1" applyFill="1" applyBorder="1" applyAlignment="1">
      <alignment wrapText="1"/>
    </xf>
    <xf numFmtId="0" fontId="3" fillId="2" borderId="27" xfId="0" applyFont="1" applyFill="1" applyBorder="1" applyAlignment="1">
      <alignment wrapText="1"/>
    </xf>
    <xf numFmtId="0" fontId="3" fillId="2" borderId="41" xfId="0" applyFont="1" applyFill="1" applyBorder="1" applyAlignment="1">
      <alignment horizontal="center"/>
    </xf>
    <xf numFmtId="0" fontId="3" fillId="2" borderId="42" xfId="0" applyFont="1" applyFill="1" applyBorder="1" applyAlignment="1">
      <alignment horizontal="center" wrapText="1"/>
    </xf>
    <xf numFmtId="0" fontId="3" fillId="2" borderId="42" xfId="0" applyFont="1" applyFill="1" applyBorder="1" applyAlignment="1">
      <alignment wrapText="1"/>
    </xf>
    <xf numFmtId="0" fontId="3" fillId="2" borderId="71" xfId="0" applyFont="1" applyFill="1" applyBorder="1" applyAlignment="1">
      <alignment wrapText="1"/>
    </xf>
    <xf numFmtId="170" fontId="11" fillId="2" borderId="15" xfId="0" applyNumberFormat="1" applyFont="1" applyFill="1" applyBorder="1" applyAlignment="1" applyProtection="1">
      <alignment horizontal="right" vertical="center" wrapText="1"/>
      <protection locked="0"/>
    </xf>
    <xf numFmtId="171" fontId="11" fillId="2" borderId="15" xfId="0" applyNumberFormat="1" applyFont="1" applyFill="1" applyBorder="1" applyAlignment="1" applyProtection="1">
      <alignment horizontal="right" vertical="center" wrapText="1"/>
      <protection locked="0"/>
    </xf>
    <xf numFmtId="3" fontId="11" fillId="2" borderId="15" xfId="0" applyNumberFormat="1" applyFont="1" applyFill="1" applyBorder="1" applyAlignment="1" applyProtection="1">
      <alignment horizontal="right" vertical="center" wrapText="1"/>
      <protection locked="0"/>
    </xf>
    <xf numFmtId="3" fontId="11" fillId="2" borderId="16" xfId="0" applyNumberFormat="1" applyFont="1" applyFill="1" applyBorder="1" applyAlignment="1" applyProtection="1">
      <alignment horizontal="right" vertical="center" wrapText="1"/>
      <protection locked="0"/>
    </xf>
    <xf numFmtId="170" fontId="11" fillId="2" borderId="8" xfId="0" applyNumberFormat="1" applyFont="1" applyFill="1" applyBorder="1" applyAlignment="1" applyProtection="1">
      <alignment horizontal="right" vertical="center" wrapText="1"/>
      <protection locked="0"/>
    </xf>
    <xf numFmtId="171" fontId="11" fillId="2" borderId="8" xfId="0" applyNumberFormat="1" applyFont="1" applyFill="1" applyBorder="1" applyAlignment="1" applyProtection="1">
      <alignment horizontal="right" vertical="center" wrapText="1"/>
      <protection locked="0"/>
    </xf>
    <xf numFmtId="3" fontId="11" fillId="2" borderId="8" xfId="0" applyNumberFormat="1" applyFont="1" applyFill="1" applyBorder="1" applyAlignment="1" applyProtection="1">
      <alignment horizontal="right" vertical="center" wrapText="1"/>
      <protection locked="0"/>
    </xf>
    <xf numFmtId="3" fontId="11" fillId="2" borderId="19" xfId="0" applyNumberFormat="1" applyFont="1" applyFill="1" applyBorder="1" applyAlignment="1" applyProtection="1">
      <alignment horizontal="right" vertical="center" wrapText="1"/>
      <protection locked="0"/>
    </xf>
    <xf numFmtId="170" fontId="11" fillId="2" borderId="22" xfId="0" applyNumberFormat="1" applyFont="1" applyFill="1" applyBorder="1" applyAlignment="1" applyProtection="1">
      <alignment horizontal="right" vertical="center" wrapText="1"/>
      <protection locked="0"/>
    </xf>
    <xf numFmtId="171" fontId="11" fillId="2" borderId="22" xfId="0" applyNumberFormat="1" applyFont="1" applyFill="1" applyBorder="1" applyAlignment="1" applyProtection="1">
      <alignment horizontal="right" vertical="center" wrapText="1"/>
      <protection locked="0"/>
    </xf>
    <xf numFmtId="3" fontId="11" fillId="2" borderId="22" xfId="0" applyNumberFormat="1" applyFont="1" applyFill="1" applyBorder="1" applyAlignment="1" applyProtection="1">
      <alignment horizontal="right" vertical="center" wrapText="1"/>
      <protection locked="0"/>
    </xf>
    <xf numFmtId="3" fontId="11" fillId="2" borderId="23" xfId="0" applyNumberFormat="1" applyFont="1" applyFill="1" applyBorder="1" applyAlignment="1" applyProtection="1">
      <alignment horizontal="right" vertical="center" wrapText="1"/>
      <protection locked="0"/>
    </xf>
    <xf numFmtId="0" fontId="5"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7" fillId="0" borderId="72" xfId="16" applyFont="1" applyBorder="1" applyAlignment="1">
      <alignment wrapText="1"/>
    </xf>
    <xf numFmtId="173" fontId="17" fillId="0" borderId="73" xfId="16" applyFont="1" applyBorder="1" applyAlignment="1">
      <alignment wrapText="1"/>
    </xf>
    <xf numFmtId="173" fontId="17" fillId="0" borderId="74" xfId="16" applyFont="1" applyBorder="1" applyAlignment="1">
      <alignment wrapText="1"/>
    </xf>
    <xf numFmtId="173" fontId="12" fillId="3" borderId="75" xfId="16" applyFont="1" applyFill="1" applyBorder="1" applyAlignment="1">
      <alignment wrapText="1"/>
    </xf>
    <xf numFmtId="0" fontId="12" fillId="3" borderId="76" xfId="0" applyFont="1" applyFill="1" applyBorder="1" applyAlignment="1">
      <alignment wrapText="1"/>
    </xf>
    <xf numFmtId="0" fontId="12" fillId="3" borderId="75" xfId="0" applyFont="1" applyFill="1" applyBorder="1" applyAlignment="1">
      <alignment wrapText="1"/>
    </xf>
    <xf numFmtId="0" fontId="12" fillId="3" borderId="76" xfId="0" quotePrefix="1" applyFont="1" applyFill="1" applyBorder="1" applyAlignment="1">
      <alignment wrapText="1"/>
    </xf>
    <xf numFmtId="0" fontId="17" fillId="3" borderId="76" xfId="0" applyFont="1" applyFill="1" applyBorder="1" applyAlignment="1">
      <alignment wrapText="1"/>
    </xf>
    <xf numFmtId="0" fontId="17" fillId="3" borderId="77" xfId="0" applyFont="1" applyFill="1" applyBorder="1" applyAlignment="1">
      <alignment wrapText="1"/>
    </xf>
    <xf numFmtId="173" fontId="12" fillId="3" borderId="78" xfId="16" applyFont="1" applyFill="1" applyBorder="1" applyAlignment="1">
      <alignment wrapText="1"/>
    </xf>
    <xf numFmtId="0" fontId="12" fillId="3" borderId="79" xfId="0" applyFont="1" applyFill="1" applyBorder="1" applyAlignment="1">
      <alignment wrapText="1"/>
    </xf>
    <xf numFmtId="0" fontId="12" fillId="3" borderId="78" xfId="0" applyFont="1" applyFill="1" applyBorder="1" applyAlignment="1">
      <alignment wrapText="1"/>
    </xf>
    <xf numFmtId="0" fontId="12" fillId="3" borderId="79" xfId="0" quotePrefix="1" applyFont="1" applyFill="1" applyBorder="1" applyAlignment="1">
      <alignment wrapText="1"/>
    </xf>
    <xf numFmtId="0" fontId="17" fillId="3" borderId="79" xfId="0" applyFont="1" applyFill="1" applyBorder="1" applyAlignment="1">
      <alignment wrapText="1"/>
    </xf>
    <xf numFmtId="0" fontId="17" fillId="3" borderId="80" xfId="0" applyFont="1" applyFill="1" applyBorder="1" applyAlignment="1">
      <alignment wrapText="1"/>
    </xf>
    <xf numFmtId="173" fontId="12" fillId="3" borderId="81" xfId="16" applyFont="1" applyFill="1" applyBorder="1" applyAlignment="1">
      <alignment wrapText="1"/>
    </xf>
    <xf numFmtId="0" fontId="12" fillId="3" borderId="2" xfId="0" applyFont="1" applyFill="1" applyBorder="1" applyAlignment="1">
      <alignment wrapText="1"/>
    </xf>
    <xf numFmtId="0" fontId="12" fillId="3" borderId="81" xfId="0" applyFont="1" applyFill="1" applyBorder="1" applyAlignment="1">
      <alignment wrapText="1"/>
    </xf>
    <xf numFmtId="0" fontId="12" fillId="3" borderId="2" xfId="0" quotePrefix="1" applyFont="1" applyFill="1" applyBorder="1" applyAlignment="1">
      <alignment wrapText="1"/>
    </xf>
    <xf numFmtId="0" fontId="17" fillId="3" borderId="2" xfId="0" applyFont="1" applyFill="1" applyBorder="1" applyAlignment="1">
      <alignment wrapText="1"/>
    </xf>
    <xf numFmtId="0" fontId="17" fillId="3" borderId="82" xfId="0" applyFont="1" applyFill="1" applyBorder="1" applyAlignment="1">
      <alignment wrapText="1"/>
    </xf>
    <xf numFmtId="0" fontId="17" fillId="0" borderId="41" xfId="0" applyFont="1" applyBorder="1" applyAlignment="1">
      <alignment wrapText="1"/>
    </xf>
    <xf numFmtId="0" fontId="17" fillId="0" borderId="13" xfId="0" applyFont="1" applyBorder="1" applyAlignment="1">
      <alignment wrapText="1"/>
    </xf>
    <xf numFmtId="0" fontId="17" fillId="0" borderId="17" xfId="0" applyFont="1" applyBorder="1" applyAlignment="1">
      <alignment wrapText="1"/>
    </xf>
    <xf numFmtId="0" fontId="17" fillId="0" borderId="20" xfId="0" applyFont="1" applyBorder="1" applyAlignment="1">
      <alignment wrapText="1"/>
    </xf>
    <xf numFmtId="0" fontId="17" fillId="0" borderId="83" xfId="0" applyFont="1" applyBorder="1" applyAlignment="1">
      <alignment wrapText="1"/>
    </xf>
    <xf numFmtId="0" fontId="17" fillId="3" borderId="42" xfId="0" applyFont="1" applyFill="1" applyBorder="1" applyAlignment="1">
      <alignment wrapText="1"/>
    </xf>
    <xf numFmtId="0" fontId="17" fillId="3" borderId="71" xfId="0" applyFont="1" applyFill="1" applyBorder="1" applyAlignment="1">
      <alignment wrapText="1"/>
    </xf>
    <xf numFmtId="0" fontId="17" fillId="3" borderId="15" xfId="0" applyFont="1" applyFill="1" applyBorder="1" applyAlignment="1">
      <alignment wrapText="1"/>
    </xf>
    <xf numFmtId="0" fontId="17" fillId="3" borderId="16" xfId="0" applyFont="1" applyFill="1" applyBorder="1" applyAlignment="1">
      <alignment wrapText="1"/>
    </xf>
    <xf numFmtId="0" fontId="17" fillId="3" borderId="8" xfId="0" applyFont="1" applyFill="1" applyBorder="1" applyAlignment="1">
      <alignment wrapText="1"/>
    </xf>
    <xf numFmtId="0" fontId="17" fillId="3" borderId="19" xfId="0" applyFont="1" applyFill="1" applyBorder="1" applyAlignment="1">
      <alignment wrapText="1"/>
    </xf>
    <xf numFmtId="0" fontId="17" fillId="3" borderId="22" xfId="0" applyFont="1" applyFill="1" applyBorder="1" applyAlignment="1">
      <alignment wrapText="1"/>
    </xf>
    <xf numFmtId="0" fontId="17" fillId="3" borderId="23" xfId="0" applyFont="1" applyFill="1" applyBorder="1" applyAlignment="1">
      <alignment wrapText="1"/>
    </xf>
    <xf numFmtId="0" fontId="17" fillId="3" borderId="84" xfId="0" applyFont="1" applyFill="1" applyBorder="1" applyAlignment="1">
      <alignment wrapText="1"/>
    </xf>
    <xf numFmtId="0" fontId="17" fillId="3" borderId="45" xfId="0" applyFont="1" applyFill="1" applyBorder="1" applyAlignment="1">
      <alignment wrapText="1"/>
    </xf>
    <xf numFmtId="173" fontId="17" fillId="0" borderId="6" xfId="16" applyFont="1" applyBorder="1" applyAlignment="1">
      <alignment wrapText="1"/>
    </xf>
    <xf numFmtId="173" fontId="17" fillId="3" borderId="10" xfId="16" applyFont="1" applyFill="1" applyBorder="1" applyAlignment="1">
      <alignment wrapText="1"/>
    </xf>
    <xf numFmtId="173" fontId="11" fillId="3" borderId="11" xfId="16" applyFont="1" applyFill="1" applyBorder="1"/>
    <xf numFmtId="173" fontId="17" fillId="3" borderId="22" xfId="16" applyFont="1" applyFill="1" applyBorder="1" applyAlignment="1">
      <alignment wrapText="1"/>
    </xf>
    <xf numFmtId="173" fontId="11" fillId="3" borderId="23" xfId="16" applyFont="1" applyFill="1" applyBorder="1"/>
    <xf numFmtId="173" fontId="17" fillId="3" borderId="0" xfId="16" applyFont="1" applyFill="1" applyAlignment="1">
      <alignment wrapText="1"/>
    </xf>
    <xf numFmtId="173" fontId="11" fillId="3" borderId="7" xfId="16" applyFont="1" applyFill="1" applyBorder="1"/>
    <xf numFmtId="173" fontId="5" fillId="3" borderId="0" xfId="16" applyFont="1" applyFill="1" applyAlignment="1">
      <alignment horizontal="center" vertical="center"/>
    </xf>
    <xf numFmtId="173" fontId="17" fillId="0" borderId="85" xfId="16" applyFont="1" applyBorder="1" applyAlignment="1">
      <alignment wrapText="1"/>
    </xf>
    <xf numFmtId="0" fontId="17" fillId="3" borderId="47" xfId="0" applyFont="1" applyFill="1" applyBorder="1" applyAlignment="1">
      <alignment wrapText="1"/>
    </xf>
    <xf numFmtId="0" fontId="17" fillId="3" borderId="56" xfId="0" applyFont="1" applyFill="1" applyBorder="1" applyAlignment="1">
      <alignment wrapText="1"/>
    </xf>
    <xf numFmtId="0" fontId="17" fillId="0" borderId="86" xfId="0" applyFont="1" applyBorder="1" applyAlignment="1">
      <alignment wrapText="1"/>
    </xf>
    <xf numFmtId="173" fontId="17" fillId="0" borderId="86" xfId="16" applyFont="1" applyBorder="1" applyAlignment="1">
      <alignment wrapText="1"/>
    </xf>
    <xf numFmtId="173" fontId="17" fillId="3" borderId="47" xfId="16" applyFont="1" applyFill="1" applyBorder="1" applyAlignment="1">
      <alignment wrapText="1"/>
    </xf>
    <xf numFmtId="173" fontId="11" fillId="3" borderId="56" xfId="16" applyFont="1" applyFill="1" applyBorder="1"/>
    <xf numFmtId="2" fontId="12" fillId="3" borderId="86" xfId="16" applyNumberFormat="1" applyFont="1" applyFill="1" applyBorder="1" applyAlignment="1">
      <alignment wrapText="1"/>
    </xf>
    <xf numFmtId="2" fontId="12" fillId="3" borderId="47" xfId="16" applyNumberFormat="1" applyFont="1" applyFill="1" applyBorder="1" applyAlignment="1">
      <alignment wrapText="1"/>
    </xf>
    <xf numFmtId="2" fontId="12" fillId="3" borderId="56" xfId="16" applyNumberFormat="1" applyFont="1" applyFill="1" applyBorder="1" applyAlignment="1">
      <alignment wrapText="1"/>
    </xf>
    <xf numFmtId="173" fontId="17" fillId="0" borderId="75" xfId="16" applyFont="1" applyBorder="1"/>
    <xf numFmtId="173" fontId="11" fillId="0" borderId="76" xfId="16" applyFont="1" applyBorder="1"/>
    <xf numFmtId="173" fontId="3" fillId="0" borderId="16" xfId="16" applyFont="1" applyBorder="1" applyAlignment="1">
      <alignment horizontal="center" wrapText="1"/>
    </xf>
    <xf numFmtId="173" fontId="33" fillId="0" borderId="0" xfId="16" applyFont="1" applyAlignment="1">
      <alignment horizontal="left"/>
    </xf>
    <xf numFmtId="0" fontId="5" fillId="0" borderId="4" xfId="0" applyFont="1" applyBorder="1" applyAlignment="1">
      <alignment vertical="top" wrapText="1"/>
    </xf>
    <xf numFmtId="0" fontId="5" fillId="0" borderId="0" xfId="0" applyFont="1" applyAlignment="1">
      <alignment vertical="top" wrapText="1"/>
    </xf>
    <xf numFmtId="0" fontId="5" fillId="0" borderId="4" xfId="0" applyFont="1" applyBorder="1" applyAlignment="1">
      <alignment vertical="center" wrapText="1"/>
    </xf>
    <xf numFmtId="0" fontId="5" fillId="0" borderId="0" xfId="0" applyFont="1" applyAlignment="1">
      <alignment vertical="center" wrapText="1"/>
    </xf>
    <xf numFmtId="0" fontId="5" fillId="0" borderId="4" xfId="0" applyFont="1" applyBorder="1" applyAlignment="1">
      <alignment horizontal="left" vertical="top" wrapText="1"/>
    </xf>
    <xf numFmtId="0" fontId="0" fillId="0" borderId="59" xfId="0" applyBorder="1"/>
    <xf numFmtId="0" fontId="0" fillId="0" borderId="87" xfId="0" applyBorder="1"/>
    <xf numFmtId="0" fontId="5" fillId="3" borderId="57" xfId="0" applyFont="1" applyFill="1" applyBorder="1" applyAlignment="1">
      <alignment vertical="center" wrapText="1"/>
    </xf>
    <xf numFmtId="0" fontId="5" fillId="0" borderId="4" xfId="0" applyFont="1" applyBorder="1" applyAlignment="1">
      <alignment horizontal="right" vertical="center" wrapText="1"/>
    </xf>
    <xf numFmtId="0" fontId="5" fillId="0" borderId="4" xfId="0" applyFont="1" applyBorder="1" applyAlignment="1">
      <alignment horizontal="right" vertical="top" wrapText="1"/>
    </xf>
    <xf numFmtId="0" fontId="0" fillId="0" borderId="5" xfId="0" applyBorder="1"/>
    <xf numFmtId="0" fontId="0" fillId="0" borderId="4" xfId="0" applyBorder="1" applyAlignment="1">
      <alignment horizontal="center" vertical="top" wrapText="1"/>
    </xf>
    <xf numFmtId="0" fontId="5" fillId="0" borderId="58" xfId="0" applyFont="1" applyBorder="1" applyAlignment="1">
      <alignment vertical="center" wrapText="1"/>
    </xf>
    <xf numFmtId="170" fontId="5" fillId="3" borderId="57" xfId="0" applyNumberFormat="1" applyFont="1" applyFill="1" applyBorder="1" applyAlignment="1">
      <alignment horizontal="right" vertical="top" wrapText="1"/>
    </xf>
    <xf numFmtId="0" fontId="27" fillId="3" borderId="57" xfId="0" applyFont="1" applyFill="1" applyBorder="1" applyAlignment="1">
      <alignment vertical="top" wrapText="1"/>
    </xf>
    <xf numFmtId="0" fontId="3" fillId="3" borderId="57" xfId="0" applyFont="1" applyFill="1" applyBorder="1" applyAlignment="1">
      <alignment horizontal="center" vertical="top" wrapText="1"/>
    </xf>
    <xf numFmtId="170" fontId="14" fillId="3" borderId="57" xfId="0" applyNumberFormat="1" applyFont="1" applyFill="1" applyBorder="1" applyAlignment="1">
      <alignment horizontal="center" vertical="center" wrapText="1"/>
    </xf>
    <xf numFmtId="0" fontId="14" fillId="3" borderId="88" xfId="0" applyFont="1" applyFill="1" applyBorder="1" applyAlignment="1">
      <alignment vertical="center" wrapText="1"/>
    </xf>
    <xf numFmtId="0" fontId="3" fillId="3" borderId="4" xfId="0" applyFont="1" applyFill="1" applyBorder="1" applyAlignment="1">
      <alignment horizontal="center" vertical="top" wrapText="1"/>
    </xf>
    <xf numFmtId="0" fontId="3" fillId="3" borderId="0" xfId="0" applyFont="1" applyFill="1" applyAlignment="1">
      <alignment horizontal="center" vertical="top" wrapText="1"/>
    </xf>
    <xf numFmtId="170" fontId="3" fillId="3" borderId="0" xfId="0" applyNumberFormat="1" applyFont="1" applyFill="1" applyAlignment="1">
      <alignment horizontal="center" vertical="top" wrapText="1"/>
    </xf>
    <xf numFmtId="0" fontId="3" fillId="3" borderId="5" xfId="0" applyFont="1" applyFill="1" applyBorder="1" applyAlignment="1">
      <alignment vertical="top"/>
    </xf>
    <xf numFmtId="170" fontId="14" fillId="3" borderId="89" xfId="0" applyNumberFormat="1" applyFont="1" applyFill="1" applyBorder="1" applyAlignment="1">
      <alignment vertical="center" wrapText="1"/>
    </xf>
    <xf numFmtId="0" fontId="34" fillId="0" borderId="0" xfId="0" applyFont="1" applyAlignment="1">
      <alignment vertical="top" wrapText="1"/>
    </xf>
    <xf numFmtId="7" fontId="0" fillId="5" borderId="57" xfId="0" applyNumberFormat="1" applyFill="1" applyBorder="1" applyAlignment="1">
      <alignment vertical="top" wrapText="1"/>
    </xf>
    <xf numFmtId="0" fontId="14" fillId="5" borderId="89" xfId="0" applyFont="1" applyFill="1" applyBorder="1" applyAlignment="1">
      <alignment horizontal="right" vertical="top" wrapText="1"/>
    </xf>
    <xf numFmtId="0" fontId="0" fillId="6" borderId="0" xfId="0" applyFill="1"/>
    <xf numFmtId="176" fontId="14" fillId="3" borderId="57" xfId="0" applyNumberFormat="1" applyFont="1" applyFill="1" applyBorder="1" applyAlignment="1">
      <alignment horizontal="right" vertical="top" wrapText="1"/>
    </xf>
    <xf numFmtId="170" fontId="0" fillId="5" borderId="15" xfId="0" applyNumberFormat="1" applyFill="1" applyBorder="1" applyAlignment="1" applyProtection="1">
      <alignment horizontal="center" vertical="center" wrapText="1"/>
      <protection locked="0"/>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5" fillId="2" borderId="20" xfId="0" applyFont="1" applyFill="1" applyBorder="1" applyProtection="1">
      <protection locked="0"/>
    </xf>
    <xf numFmtId="0" fontId="35" fillId="2" borderId="22" xfId="0" applyFont="1" applyFill="1" applyBorder="1" applyAlignment="1" applyProtection="1">
      <alignment horizontal="right" wrapText="1"/>
      <protection locked="0"/>
    </xf>
    <xf numFmtId="0" fontId="38" fillId="2" borderId="90" xfId="0" applyFont="1" applyFill="1" applyBorder="1" applyAlignment="1" applyProtection="1">
      <alignment horizontal="left" vertical="center"/>
      <protection locked="0"/>
    </xf>
    <xf numFmtId="0" fontId="36" fillId="2" borderId="90" xfId="0" applyFont="1" applyFill="1" applyBorder="1" applyProtection="1">
      <protection locked="0"/>
    </xf>
    <xf numFmtId="0" fontId="3" fillId="0" borderId="0" xfId="0" applyFont="1" applyAlignment="1">
      <alignment vertical="top" wrapText="1"/>
    </xf>
    <xf numFmtId="0" fontId="39" fillId="2" borderId="91" xfId="0" applyFont="1" applyFill="1" applyBorder="1" applyAlignment="1">
      <alignment vertical="top" wrapText="1"/>
    </xf>
    <xf numFmtId="0" fontId="32" fillId="2" borderId="0" xfId="0" applyFont="1" applyFill="1" applyAlignment="1">
      <alignment vertical="top" wrapText="1"/>
    </xf>
    <xf numFmtId="0" fontId="32" fillId="2" borderId="5" xfId="0" applyFont="1" applyFill="1" applyBorder="1" applyAlignment="1">
      <alignment vertical="top" wrapText="1"/>
    </xf>
    <xf numFmtId="0" fontId="39" fillId="2" borderId="94" xfId="0" applyFont="1" applyFill="1" applyBorder="1" applyAlignment="1">
      <alignment vertical="top" wrapText="1"/>
    </xf>
    <xf numFmtId="0" fontId="32" fillId="2" borderId="95" xfId="0" applyFont="1" applyFill="1" applyBorder="1" applyAlignment="1">
      <alignment vertical="top" wrapText="1"/>
    </xf>
    <xf numFmtId="0" fontId="32" fillId="2" borderId="96" xfId="0" applyFont="1" applyFill="1" applyBorder="1" applyAlignment="1">
      <alignment vertical="top" wrapText="1"/>
    </xf>
    <xf numFmtId="0" fontId="41" fillId="2" borderId="4" xfId="0" applyFont="1" applyFill="1" applyBorder="1" applyAlignment="1">
      <alignment horizontal="center" vertical="center" wrapText="1"/>
    </xf>
    <xf numFmtId="0" fontId="41" fillId="2" borderId="0" xfId="0" applyFont="1" applyFill="1" applyAlignment="1">
      <alignment horizontal="center" vertical="top" wrapText="1"/>
    </xf>
    <xf numFmtId="0" fontId="40" fillId="2" borderId="94" xfId="0" applyFont="1" applyFill="1" applyBorder="1" applyAlignment="1">
      <alignment wrapText="1"/>
    </xf>
    <xf numFmtId="0" fontId="35" fillId="2" borderId="41" xfId="0" applyFont="1" applyFill="1" applyBorder="1" applyAlignment="1" applyProtection="1">
      <alignment horizontal="right" wrapText="1"/>
      <protection locked="0"/>
    </xf>
    <xf numFmtId="0" fontId="10" fillId="2" borderId="42" xfId="0" applyFont="1" applyFill="1" applyBorder="1" applyAlignment="1" applyProtection="1">
      <alignment horizontal="center" wrapText="1"/>
      <protection locked="0"/>
    </xf>
    <xf numFmtId="0" fontId="11" fillId="2" borderId="97" xfId="0" applyFont="1" applyFill="1" applyBorder="1" applyAlignment="1" applyProtection="1">
      <alignment horizontal="left" wrapText="1"/>
      <protection locked="0"/>
    </xf>
    <xf numFmtId="42" fontId="11" fillId="3" borderId="69" xfId="0" applyNumberFormat="1" applyFont="1" applyFill="1" applyBorder="1" applyAlignment="1" applyProtection="1">
      <alignment wrapText="1"/>
      <protection locked="0"/>
    </xf>
    <xf numFmtId="2" fontId="11" fillId="2" borderId="69" xfId="0" applyNumberFormat="1" applyFont="1" applyFill="1" applyBorder="1" applyAlignment="1" applyProtection="1">
      <alignment wrapText="1"/>
      <protection locked="0"/>
    </xf>
    <xf numFmtId="0" fontId="10" fillId="2" borderId="71" xfId="0" applyFont="1" applyFill="1" applyBorder="1" applyAlignment="1" applyProtection="1">
      <alignment horizontal="center" wrapText="1"/>
      <protection locked="0"/>
    </xf>
    <xf numFmtId="172" fontId="3" fillId="2" borderId="69" xfId="0" applyNumberFormat="1" applyFont="1" applyFill="1" applyBorder="1" applyAlignment="1" applyProtection="1">
      <alignment wrapText="1"/>
      <protection locked="0"/>
    </xf>
    <xf numFmtId="0" fontId="11" fillId="2" borderId="70" xfId="0" applyFont="1" applyFill="1" applyBorder="1" applyAlignment="1" applyProtection="1">
      <alignment wrapText="1"/>
      <protection locked="0"/>
    </xf>
    <xf numFmtId="0" fontId="11" fillId="6" borderId="100" xfId="0" applyFont="1" applyFill="1" applyBorder="1" applyAlignment="1" applyProtection="1">
      <alignment wrapText="1"/>
      <protection locked="0"/>
    </xf>
    <xf numFmtId="0" fontId="11" fillId="6" borderId="101" xfId="0" applyFont="1" applyFill="1" applyBorder="1" applyAlignment="1" applyProtection="1">
      <alignment wrapText="1"/>
      <protection locked="0"/>
    </xf>
    <xf numFmtId="0" fontId="0" fillId="3" borderId="98" xfId="0" applyFill="1" applyBorder="1"/>
    <xf numFmtId="10" fontId="11" fillId="3" borderId="57" xfId="0" applyNumberFormat="1" applyFont="1" applyFill="1" applyBorder="1" applyAlignment="1" applyProtection="1">
      <alignment wrapText="1"/>
      <protection locked="0"/>
    </xf>
    <xf numFmtId="0" fontId="17" fillId="3" borderId="0" xfId="0" applyFont="1" applyFill="1" applyAlignment="1">
      <alignment wrapText="1"/>
    </xf>
    <xf numFmtId="0" fontId="17" fillId="3" borderId="7" xfId="0" applyFont="1" applyFill="1" applyBorder="1" applyAlignment="1">
      <alignment wrapText="1"/>
    </xf>
    <xf numFmtId="0" fontId="17" fillId="0" borderId="6" xfId="0" applyFont="1" applyBorder="1" applyAlignment="1">
      <alignment wrapText="1"/>
    </xf>
    <xf numFmtId="173" fontId="17" fillId="0" borderId="104" xfId="16" applyFont="1" applyBorder="1" applyAlignment="1">
      <alignment wrapText="1"/>
    </xf>
    <xf numFmtId="2" fontId="12" fillId="3" borderId="78" xfId="16" applyNumberFormat="1" applyFont="1" applyFill="1" applyBorder="1" applyAlignment="1">
      <alignment wrapText="1"/>
    </xf>
    <xf numFmtId="2" fontId="12" fillId="3" borderId="79" xfId="16" applyNumberFormat="1" applyFont="1" applyFill="1" applyBorder="1" applyAlignment="1">
      <alignment wrapText="1"/>
    </xf>
    <xf numFmtId="2" fontId="12" fillId="3" borderId="80" xfId="16" applyNumberFormat="1" applyFont="1" applyFill="1" applyBorder="1" applyAlignment="1">
      <alignment wrapText="1"/>
    </xf>
    <xf numFmtId="0" fontId="9" fillId="2" borderId="0" xfId="5" applyFont="1" applyFill="1" applyBorder="1" applyAlignment="1" applyProtection="1">
      <alignment horizontal="left" vertical="top" wrapText="1"/>
    </xf>
    <xf numFmtId="0" fontId="0" fillId="0" borderId="0" xfId="0" applyAlignment="1">
      <alignment horizontal="left" vertical="top" wrapText="1"/>
    </xf>
    <xf numFmtId="165" fontId="7" fillId="2" borderId="0" xfId="0" applyNumberFormat="1" applyFont="1" applyFill="1" applyAlignment="1">
      <alignment horizontal="center" vertical="center"/>
    </xf>
    <xf numFmtId="166" fontId="7" fillId="0" borderId="5" xfId="0" applyNumberFormat="1" applyFont="1" applyBorder="1" applyAlignment="1">
      <alignment horizontal="center" vertical="center" wrapText="1"/>
    </xf>
    <xf numFmtId="1" fontId="7" fillId="2" borderId="0" xfId="0" applyNumberFormat="1" applyFont="1" applyFill="1" applyAlignment="1">
      <alignment horizontal="center" vertical="center" wrapText="1"/>
    </xf>
    <xf numFmtId="2" fontId="7" fillId="2" borderId="0" xfId="0" applyNumberFormat="1" applyFont="1" applyFill="1" applyAlignment="1">
      <alignment horizontal="center" vertical="center"/>
    </xf>
    <xf numFmtId="2" fontId="7" fillId="2" borderId="5" xfId="0" applyNumberFormat="1" applyFont="1" applyFill="1" applyBorder="1" applyAlignment="1">
      <alignment horizontal="center" vertical="center" wrapText="1"/>
    </xf>
    <xf numFmtId="0" fontId="5" fillId="3" borderId="57" xfId="0" applyFont="1" applyFill="1" applyBorder="1" applyAlignment="1">
      <alignment horizontal="left" vertical="center" wrapText="1"/>
    </xf>
    <xf numFmtId="0" fontId="5" fillId="0" borderId="4" xfId="0" applyFont="1" applyBorder="1" applyAlignment="1">
      <alignment horizontal="left" vertical="center" wrapText="1"/>
    </xf>
    <xf numFmtId="0" fontId="0" fillId="0" borderId="0" xfId="0" applyAlignment="1">
      <alignment horizontal="center"/>
    </xf>
    <xf numFmtId="0" fontId="3"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0" fontId="37" fillId="2" borderId="13" xfId="0" applyFont="1" applyFill="1" applyBorder="1" applyAlignment="1">
      <alignment vertical="top" wrapText="1"/>
    </xf>
    <xf numFmtId="0" fontId="14" fillId="0" borderId="63" xfId="0" applyFont="1" applyBorder="1" applyAlignment="1">
      <alignment vertical="top" wrapText="1"/>
    </xf>
    <xf numFmtId="0" fontId="0" fillId="0" borderId="98" xfId="0" applyBorder="1" applyAlignment="1">
      <alignment vertical="top" wrapText="1"/>
    </xf>
    <xf numFmtId="0" fontId="0" fillId="0" borderId="108" xfId="0" applyBorder="1" applyAlignment="1">
      <alignment vertical="top" wrapText="1"/>
    </xf>
    <xf numFmtId="0" fontId="14" fillId="0" borderId="109" xfId="0" applyFont="1" applyBorder="1" applyAlignment="1">
      <alignment vertical="top" wrapText="1"/>
    </xf>
    <xf numFmtId="3" fontId="14" fillId="3" borderId="8" xfId="0" applyNumberFormat="1" applyFont="1" applyFill="1" applyBorder="1" applyAlignment="1">
      <alignment vertical="top" wrapText="1"/>
    </xf>
    <xf numFmtId="2" fontId="14" fillId="3" borderId="8" xfId="0" applyNumberFormat="1" applyFont="1" applyFill="1" applyBorder="1" applyAlignment="1">
      <alignment vertical="top" wrapText="1"/>
    </xf>
    <xf numFmtId="167" fontId="14" fillId="3" borderId="22" xfId="0" applyNumberFormat="1" applyFont="1" applyFill="1" applyBorder="1" applyAlignment="1">
      <alignment vertical="top" wrapText="1"/>
    </xf>
    <xf numFmtId="0" fontId="0" fillId="0" borderId="65" xfId="0" applyBorder="1" applyAlignment="1">
      <alignment vertical="top" wrapText="1"/>
    </xf>
    <xf numFmtId="0" fontId="0" fillId="0" borderId="66" xfId="0" applyBorder="1" applyAlignment="1">
      <alignment vertical="top" wrapText="1"/>
    </xf>
    <xf numFmtId="0" fontId="0" fillId="0" borderId="7" xfId="0" applyBorder="1" applyAlignment="1">
      <alignment vertical="top" wrapText="1"/>
    </xf>
    <xf numFmtId="0" fontId="0" fillId="0" borderId="90" xfId="0" applyBorder="1" applyAlignment="1">
      <alignment vertical="top" wrapText="1"/>
    </xf>
    <xf numFmtId="0" fontId="0" fillId="0" borderId="110" xfId="0" applyBorder="1" applyAlignment="1">
      <alignment vertical="top" wrapText="1"/>
    </xf>
    <xf numFmtId="2" fontId="0" fillId="0" borderId="0" xfId="0" applyNumberFormat="1" applyAlignment="1">
      <alignment vertical="top" wrapText="1"/>
    </xf>
    <xf numFmtId="0" fontId="0" fillId="0" borderId="90" xfId="0" applyBorder="1"/>
    <xf numFmtId="0" fontId="19" fillId="3" borderId="111" xfId="0" applyFont="1" applyFill="1" applyBorder="1" applyAlignment="1">
      <alignment horizontal="left" vertical="center"/>
    </xf>
    <xf numFmtId="173" fontId="11" fillId="0" borderId="112" xfId="16" applyFont="1" applyBorder="1" applyAlignment="1">
      <alignment wrapText="1"/>
    </xf>
    <xf numFmtId="165" fontId="11" fillId="3" borderId="113" xfId="16" applyNumberFormat="1" applyFont="1" applyFill="1" applyBorder="1"/>
    <xf numFmtId="173" fontId="11" fillId="0" borderId="114" xfId="16" applyFont="1" applyBorder="1"/>
    <xf numFmtId="173" fontId="11" fillId="0" borderId="115" xfId="16" applyFont="1" applyBorder="1" applyAlignment="1">
      <alignment wrapText="1"/>
    </xf>
    <xf numFmtId="165" fontId="11" fillId="3" borderId="98" xfId="16" applyNumberFormat="1" applyFont="1" applyFill="1" applyBorder="1"/>
    <xf numFmtId="173" fontId="11" fillId="0" borderId="116" xfId="16" applyFont="1" applyBorder="1"/>
    <xf numFmtId="173" fontId="11" fillId="0" borderId="117" xfId="16" applyFont="1" applyBorder="1" applyAlignment="1">
      <alignment wrapText="1"/>
    </xf>
    <xf numFmtId="165" fontId="11" fillId="3" borderId="118" xfId="16" applyNumberFormat="1" applyFont="1" applyFill="1" applyBorder="1"/>
    <xf numFmtId="173" fontId="11" fillId="0" borderId="119" xfId="16" applyFont="1" applyBorder="1"/>
    <xf numFmtId="165" fontId="3" fillId="0" borderId="0" xfId="16" applyNumberFormat="1" applyFont="1"/>
    <xf numFmtId="0" fontId="3" fillId="0" borderId="58" xfId="0" applyFont="1" applyBorder="1"/>
    <xf numFmtId="0" fontId="3" fillId="0" borderId="59" xfId="0" applyFont="1" applyBorder="1"/>
    <xf numFmtId="0" fontId="3" fillId="0" borderId="87" xfId="0" applyFont="1" applyBorder="1"/>
    <xf numFmtId="173" fontId="11" fillId="0" borderId="106" xfId="16" applyFont="1" applyBorder="1"/>
    <xf numFmtId="170" fontId="11" fillId="0" borderId="107" xfId="16" applyNumberFormat="1" applyFont="1" applyBorder="1" applyAlignment="1">
      <alignment horizontal="center"/>
    </xf>
    <xf numFmtId="173" fontId="11" fillId="0" borderId="98" xfId="16" applyFont="1" applyBorder="1"/>
    <xf numFmtId="173" fontId="11" fillId="0" borderId="108" xfId="16" applyFont="1" applyBorder="1"/>
    <xf numFmtId="173" fontId="11" fillId="0" borderId="120" xfId="16" applyFont="1" applyBorder="1"/>
    <xf numFmtId="173" fontId="11" fillId="0" borderId="111" xfId="16" applyFont="1" applyBorder="1"/>
    <xf numFmtId="173" fontId="5" fillId="0" borderId="40" xfId="16" applyFont="1" applyBorder="1"/>
    <xf numFmtId="173" fontId="4" fillId="0" borderId="63" xfId="5" applyNumberFormat="1" applyBorder="1" applyAlignment="1" applyProtection="1"/>
    <xf numFmtId="173" fontId="4" fillId="0" borderId="109" xfId="5" applyNumberFormat="1" applyBorder="1" applyAlignment="1" applyProtection="1"/>
    <xf numFmtId="0" fontId="14" fillId="0" borderId="121" xfId="0" applyFont="1" applyBorder="1" applyAlignment="1">
      <alignment vertical="top" wrapText="1"/>
    </xf>
    <xf numFmtId="167" fontId="14" fillId="3" borderId="37" xfId="0" applyNumberFormat="1" applyFont="1" applyFill="1" applyBorder="1" applyAlignment="1">
      <alignment vertical="top" wrapText="1"/>
    </xf>
    <xf numFmtId="0" fontId="17" fillId="0" borderId="10" xfId="0" quotePrefix="1" applyFont="1" applyBorder="1" applyAlignment="1">
      <alignment wrapText="1"/>
    </xf>
    <xf numFmtId="173" fontId="3" fillId="0" borderId="40" xfId="16" applyFont="1" applyBorder="1" applyAlignment="1">
      <alignment horizontal="center" wrapText="1"/>
    </xf>
    <xf numFmtId="0" fontId="12" fillId="3" borderId="122" xfId="0" applyFont="1" applyFill="1" applyBorder="1" applyAlignment="1">
      <alignment wrapText="1"/>
    </xf>
    <xf numFmtId="0" fontId="12" fillId="3" borderId="123" xfId="0" applyFont="1" applyFill="1" applyBorder="1" applyAlignment="1">
      <alignment wrapText="1"/>
    </xf>
    <xf numFmtId="0" fontId="12" fillId="3" borderId="124" xfId="0" applyFont="1" applyFill="1" applyBorder="1" applyAlignment="1">
      <alignment wrapText="1"/>
    </xf>
    <xf numFmtId="173" fontId="3" fillId="0" borderId="107" xfId="16" applyFont="1" applyBorder="1" applyAlignment="1">
      <alignment horizontal="center" wrapText="1"/>
    </xf>
    <xf numFmtId="169" fontId="11" fillId="3" borderId="108" xfId="16" applyNumberFormat="1" applyFont="1" applyFill="1" applyBorder="1"/>
    <xf numFmtId="173" fontId="3" fillId="0" borderId="125" xfId="16" applyFont="1" applyBorder="1" applyAlignment="1">
      <alignment horizontal="center" wrapText="1"/>
    </xf>
    <xf numFmtId="0" fontId="12" fillId="3" borderId="77" xfId="0" quotePrefix="1" applyFont="1" applyFill="1" applyBorder="1" applyAlignment="1">
      <alignment horizontal="left" wrapText="1"/>
    </xf>
    <xf numFmtId="0" fontId="12" fillId="3" borderId="80" xfId="0" quotePrefix="1" applyFont="1" applyFill="1" applyBorder="1" applyAlignment="1">
      <alignment wrapText="1"/>
    </xf>
    <xf numFmtId="0" fontId="12" fillId="3" borderId="80" xfId="0" quotePrefix="1" applyFont="1" applyFill="1" applyBorder="1" applyAlignment="1">
      <alignment horizontal="center" wrapText="1"/>
    </xf>
    <xf numFmtId="0" fontId="3" fillId="0" borderId="3" xfId="0" applyFont="1" applyBorder="1" applyAlignment="1">
      <alignment wrapText="1"/>
    </xf>
    <xf numFmtId="0" fontId="0" fillId="0" borderId="113" xfId="0" applyBorder="1"/>
    <xf numFmtId="0" fontId="0" fillId="0" borderId="98" xfId="0" applyBorder="1"/>
    <xf numFmtId="0" fontId="0" fillId="0" borderId="116" xfId="0" applyBorder="1"/>
    <xf numFmtId="0" fontId="11" fillId="2" borderId="4" xfId="0" applyFont="1" applyFill="1" applyBorder="1" applyAlignment="1">
      <alignment horizontal="left" vertical="top" wrapText="1"/>
    </xf>
    <xf numFmtId="173" fontId="17" fillId="0" borderId="76" xfId="16" applyFont="1" applyBorder="1" applyAlignment="1">
      <alignment horizontal="left"/>
    </xf>
    <xf numFmtId="164" fontId="12" fillId="0" borderId="76" xfId="16" applyNumberFormat="1" applyFont="1" applyBorder="1"/>
    <xf numFmtId="173" fontId="11" fillId="0" borderId="6" xfId="16" applyFont="1" applyBorder="1" applyAlignment="1">
      <alignment wrapText="1"/>
    </xf>
    <xf numFmtId="173" fontId="3" fillId="0" borderId="6" xfId="16" applyFont="1" applyBorder="1" applyAlignment="1">
      <alignment wrapText="1"/>
    </xf>
    <xf numFmtId="173" fontId="11" fillId="0" borderId="67" xfId="16" applyFont="1" applyBorder="1" applyAlignment="1">
      <alignment wrapText="1"/>
    </xf>
    <xf numFmtId="0" fontId="0" fillId="0" borderId="77" xfId="0" applyBorder="1"/>
    <xf numFmtId="173" fontId="5" fillId="0" borderId="78" xfId="16" applyFont="1" applyBorder="1" applyAlignment="1">
      <alignment vertical="center" wrapText="1"/>
    </xf>
    <xf numFmtId="173" fontId="5" fillId="0" borderId="79" xfId="16" applyFont="1" applyBorder="1" applyAlignment="1">
      <alignment horizontal="center" vertical="center" wrapText="1"/>
    </xf>
    <xf numFmtId="165" fontId="5" fillId="0" borderId="79" xfId="16" applyNumberFormat="1" applyFont="1" applyBorder="1" applyAlignment="1">
      <alignment horizontal="center" vertical="center" wrapText="1"/>
    </xf>
    <xf numFmtId="165" fontId="5" fillId="0" borderId="80" xfId="16" applyNumberFormat="1" applyFont="1" applyBorder="1" applyAlignment="1">
      <alignment horizontal="center" vertical="center" wrapText="1"/>
    </xf>
    <xf numFmtId="173" fontId="11" fillId="3" borderId="0" xfId="16" applyFont="1" applyFill="1" applyAlignment="1">
      <alignment horizontal="center"/>
    </xf>
    <xf numFmtId="173" fontId="11" fillId="3" borderId="7" xfId="16" applyFont="1" applyFill="1" applyBorder="1" applyAlignment="1">
      <alignment horizontal="center"/>
    </xf>
    <xf numFmtId="165" fontId="11" fillId="3" borderId="0" xfId="16" applyNumberFormat="1" applyFont="1" applyFill="1" applyAlignment="1">
      <alignment horizontal="center"/>
    </xf>
    <xf numFmtId="165" fontId="11" fillId="0" borderId="2" xfId="16" applyNumberFormat="1" applyFont="1" applyBorder="1" applyAlignment="1">
      <alignment horizontal="center"/>
    </xf>
    <xf numFmtId="173" fontId="11" fillId="0" borderId="2" xfId="16" applyFont="1" applyBorder="1" applyAlignment="1">
      <alignment horizontal="center"/>
    </xf>
    <xf numFmtId="173" fontId="11" fillId="0" borderId="82" xfId="16" applyFont="1" applyBorder="1" applyAlignment="1">
      <alignment horizontal="center"/>
    </xf>
    <xf numFmtId="173" fontId="11" fillId="0" borderId="63" xfId="16" applyFont="1" applyBorder="1" applyAlignment="1">
      <alignment horizontal="right"/>
    </xf>
    <xf numFmtId="173" fontId="11" fillId="0" borderId="63" xfId="16" applyFont="1" applyBorder="1" applyAlignment="1">
      <alignment horizontal="right" wrapText="1"/>
    </xf>
    <xf numFmtId="173" fontId="3" fillId="0" borderId="109" xfId="16" applyFont="1" applyBorder="1"/>
    <xf numFmtId="173" fontId="17" fillId="0" borderId="77" xfId="16" applyFont="1" applyBorder="1" applyAlignment="1">
      <alignment horizontal="left"/>
    </xf>
    <xf numFmtId="165" fontId="3" fillId="0" borderId="7" xfId="16" applyNumberFormat="1" applyFont="1" applyBorder="1"/>
    <xf numFmtId="0" fontId="0" fillId="0" borderId="9" xfId="0" applyBorder="1"/>
    <xf numFmtId="0" fontId="5" fillId="0" borderId="40" xfId="0" applyFont="1" applyBorder="1" applyAlignment="1">
      <alignment vertical="top" wrapText="1"/>
    </xf>
    <xf numFmtId="0" fontId="5" fillId="0" borderId="106" xfId="0" applyFont="1" applyBorder="1" applyAlignment="1">
      <alignment vertical="top" wrapText="1"/>
    </xf>
    <xf numFmtId="0" fontId="5" fillId="0" borderId="106" xfId="0" applyFont="1" applyBorder="1" applyAlignment="1">
      <alignment horizontal="left" vertical="top" wrapText="1"/>
    </xf>
    <xf numFmtId="0" fontId="5" fillId="0" borderId="106" xfId="0" applyFont="1" applyBorder="1" applyAlignment="1">
      <alignment horizontal="right" vertical="top" wrapText="1"/>
    </xf>
    <xf numFmtId="0" fontId="5" fillId="0" borderId="106" xfId="0" applyFont="1" applyBorder="1" applyAlignment="1">
      <alignment horizontal="center" vertical="top" wrapText="1"/>
    </xf>
    <xf numFmtId="0" fontId="5" fillId="0" borderId="48" xfId="0" applyFont="1" applyBorder="1" applyAlignment="1">
      <alignment vertical="top" wrapText="1"/>
    </xf>
    <xf numFmtId="0" fontId="5" fillId="0" borderId="107" xfId="0" applyFont="1" applyBorder="1" applyAlignment="1">
      <alignment vertical="top" wrapText="1"/>
    </xf>
    <xf numFmtId="0" fontId="0" fillId="0" borderId="98" xfId="0" applyBorder="1" applyAlignment="1">
      <alignment horizontal="left" vertical="top" wrapText="1"/>
    </xf>
    <xf numFmtId="2" fontId="0" fillId="0" borderId="49" xfId="0" applyNumberFormat="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3" fillId="0" borderId="76" xfId="16" applyFont="1" applyBorder="1" applyAlignment="1">
      <alignment horizontal="center"/>
    </xf>
    <xf numFmtId="0" fontId="3" fillId="0" borderId="76" xfId="0" applyFont="1" applyBorder="1" applyAlignment="1">
      <alignment horizontal="center"/>
    </xf>
    <xf numFmtId="0" fontId="3" fillId="0" borderId="77" xfId="0" applyFont="1" applyBorder="1" applyAlignment="1">
      <alignment horizontal="center"/>
    </xf>
    <xf numFmtId="2" fontId="11" fillId="3" borderId="113" xfId="16" applyNumberFormat="1" applyFont="1" applyFill="1" applyBorder="1" applyAlignment="1">
      <alignment horizontal="center" vertical="center" wrapText="1"/>
    </xf>
    <xf numFmtId="2" fontId="11" fillId="3" borderId="128" xfId="16" applyNumberFormat="1" applyFont="1" applyFill="1" applyBorder="1" applyAlignment="1">
      <alignment horizontal="center" vertical="center" wrapText="1"/>
    </xf>
    <xf numFmtId="3" fontId="11" fillId="3" borderId="98" xfId="16" applyNumberFormat="1" applyFont="1" applyFill="1" applyBorder="1" applyAlignment="1">
      <alignment horizontal="center" vertical="center" wrapText="1"/>
    </xf>
    <xf numFmtId="3" fontId="11" fillId="3" borderId="108" xfId="16" applyNumberFormat="1" applyFont="1" applyFill="1" applyBorder="1" applyAlignment="1">
      <alignment horizontal="center" vertical="center" wrapText="1"/>
    </xf>
    <xf numFmtId="2" fontId="11" fillId="3" borderId="98" xfId="16" applyNumberFormat="1" applyFont="1" applyFill="1" applyBorder="1" applyAlignment="1">
      <alignment horizontal="center" vertical="center" wrapText="1"/>
    </xf>
    <xf numFmtId="2" fontId="11" fillId="3" borderId="108" xfId="16" applyNumberFormat="1" applyFont="1" applyFill="1" applyBorder="1" applyAlignment="1">
      <alignment horizontal="center" vertical="center" wrapText="1"/>
    </xf>
    <xf numFmtId="3" fontId="11" fillId="3" borderId="120" xfId="16" applyNumberFormat="1" applyFont="1" applyFill="1" applyBorder="1" applyAlignment="1">
      <alignment horizontal="center" vertical="center" wrapText="1"/>
    </xf>
    <xf numFmtId="3" fontId="11" fillId="3" borderId="111" xfId="16" applyNumberFormat="1" applyFont="1" applyFill="1" applyBorder="1" applyAlignment="1">
      <alignment horizontal="center" vertical="center" wrapText="1"/>
    </xf>
    <xf numFmtId="173" fontId="3" fillId="0" borderId="127" xfId="16" applyFont="1" applyBorder="1" applyAlignment="1">
      <alignment wrapText="1"/>
    </xf>
    <xf numFmtId="173" fontId="11" fillId="0" borderId="63" xfId="16" applyFont="1" applyBorder="1" applyAlignment="1">
      <alignment wrapText="1"/>
    </xf>
    <xf numFmtId="173" fontId="11" fillId="0" borderId="109" xfId="16" applyFont="1" applyBorder="1" applyAlignment="1">
      <alignment wrapText="1"/>
    </xf>
    <xf numFmtId="165" fontId="3" fillId="0" borderId="113" xfId="16" applyNumberFormat="1" applyFont="1" applyBorder="1" applyAlignment="1">
      <alignment horizontal="center"/>
    </xf>
    <xf numFmtId="165" fontId="3" fillId="0" borderId="128" xfId="16" applyNumberFormat="1" applyFont="1" applyBorder="1" applyAlignment="1">
      <alignment horizontal="center"/>
    </xf>
    <xf numFmtId="165" fontId="11" fillId="3" borderId="98" xfId="16" applyNumberFormat="1" applyFont="1" applyFill="1" applyBorder="1" applyAlignment="1">
      <alignment horizontal="center"/>
    </xf>
    <xf numFmtId="173" fontId="11" fillId="0" borderId="121" xfId="16" applyFont="1" applyBorder="1" applyAlignment="1">
      <alignment wrapText="1"/>
    </xf>
    <xf numFmtId="0" fontId="3" fillId="0" borderId="86" xfId="0" applyFont="1" applyBorder="1"/>
    <xf numFmtId="165" fontId="11" fillId="3" borderId="129" xfId="16" applyNumberFormat="1" applyFont="1" applyFill="1" applyBorder="1" applyAlignment="1">
      <alignment horizontal="center"/>
    </xf>
    <xf numFmtId="165" fontId="0" fillId="3" borderId="47" xfId="0" applyNumberFormat="1" applyFill="1" applyBorder="1" applyAlignment="1">
      <alignment horizontal="center"/>
    </xf>
    <xf numFmtId="11" fontId="11" fillId="3" borderId="98" xfId="16" applyNumberFormat="1" applyFont="1" applyFill="1" applyBorder="1" applyAlignment="1">
      <alignment horizontal="center"/>
    </xf>
    <xf numFmtId="11" fontId="11" fillId="3" borderId="129" xfId="16" applyNumberFormat="1" applyFont="1" applyFill="1" applyBorder="1" applyAlignment="1">
      <alignment horizontal="center"/>
    </xf>
    <xf numFmtId="11" fontId="0" fillId="3" borderId="47" xfId="0" applyNumberFormat="1" applyFill="1" applyBorder="1" applyAlignment="1">
      <alignment horizontal="center"/>
    </xf>
    <xf numFmtId="165" fontId="11" fillId="3" borderId="108" xfId="16" applyNumberFormat="1" applyFont="1" applyFill="1" applyBorder="1" applyAlignment="1">
      <alignment horizontal="center"/>
    </xf>
    <xf numFmtId="165" fontId="11" fillId="3" borderId="130" xfId="16" applyNumberFormat="1" applyFont="1" applyFill="1" applyBorder="1" applyAlignment="1">
      <alignment horizontal="center"/>
    </xf>
    <xf numFmtId="165" fontId="0" fillId="3" borderId="56" xfId="0" applyNumberFormat="1" applyFill="1" applyBorder="1" applyAlignment="1">
      <alignment horizontal="center"/>
    </xf>
    <xf numFmtId="165" fontId="11" fillId="3" borderId="120" xfId="16" applyNumberFormat="1" applyFont="1" applyFill="1" applyBorder="1" applyAlignment="1">
      <alignment horizontal="center"/>
    </xf>
    <xf numFmtId="11" fontId="11" fillId="3" borderId="120" xfId="16" applyNumberFormat="1" applyFont="1" applyFill="1" applyBorder="1" applyAlignment="1">
      <alignment horizontal="center"/>
    </xf>
    <xf numFmtId="165" fontId="11" fillId="3" borderId="111" xfId="16" applyNumberFormat="1" applyFont="1" applyFill="1" applyBorder="1" applyAlignment="1">
      <alignment horizontal="center"/>
    </xf>
    <xf numFmtId="11" fontId="11" fillId="3" borderId="0" xfId="16" applyNumberFormat="1" applyFont="1" applyFill="1"/>
    <xf numFmtId="11" fontId="11" fillId="3" borderId="7" xfId="16" applyNumberFormat="1" applyFont="1" applyFill="1" applyBorder="1"/>
    <xf numFmtId="11" fontId="11" fillId="3" borderId="90" xfId="16" applyNumberFormat="1" applyFont="1" applyFill="1" applyBorder="1"/>
    <xf numFmtId="11" fontId="11" fillId="3" borderId="110" xfId="16" applyNumberFormat="1" applyFont="1" applyFill="1" applyBorder="1"/>
    <xf numFmtId="165" fontId="11" fillId="3" borderId="0" xfId="16" applyNumberFormat="1" applyFont="1" applyFill="1" applyAlignment="1">
      <alignment horizontal="center" wrapText="1"/>
    </xf>
    <xf numFmtId="165" fontId="3" fillId="3" borderId="0" xfId="16" applyNumberFormat="1" applyFont="1" applyFill="1" applyAlignment="1">
      <alignment horizontal="center" wrapText="1"/>
    </xf>
    <xf numFmtId="173" fontId="17" fillId="0" borderId="24" xfId="16" applyFont="1" applyBorder="1"/>
    <xf numFmtId="173" fontId="11" fillId="0" borderId="65" xfId="16" applyFont="1" applyBorder="1"/>
    <xf numFmtId="0" fontId="3" fillId="0" borderId="65" xfId="0" applyFont="1" applyBorder="1"/>
    <xf numFmtId="0" fontId="3" fillId="0" borderId="66" xfId="0" applyFont="1" applyBorder="1"/>
    <xf numFmtId="0" fontId="0" fillId="0" borderId="7" xfId="0" applyBorder="1"/>
    <xf numFmtId="2" fontId="11" fillId="3" borderId="113" xfId="16" applyNumberFormat="1" applyFont="1" applyFill="1" applyBorder="1" applyAlignment="1">
      <alignment vertical="center" wrapText="1"/>
    </xf>
    <xf numFmtId="3" fontId="11" fillId="3" borderId="98" xfId="16" applyNumberFormat="1" applyFont="1" applyFill="1" applyBorder="1" applyAlignment="1">
      <alignment vertical="center" wrapText="1"/>
    </xf>
    <xf numFmtId="2" fontId="11" fillId="3" borderId="98" xfId="16" applyNumberFormat="1" applyFont="1" applyFill="1" applyBorder="1" applyAlignment="1">
      <alignment vertical="center" wrapText="1"/>
    </xf>
    <xf numFmtId="3" fontId="11" fillId="3" borderId="120" xfId="16" applyNumberFormat="1" applyFont="1" applyFill="1" applyBorder="1" applyAlignment="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3" fillId="0" borderId="75" xfId="16" applyFont="1" applyBorder="1" applyAlignment="1">
      <alignment wrapText="1"/>
    </xf>
    <xf numFmtId="173" fontId="5" fillId="0" borderId="76" xfId="16" applyFont="1" applyBorder="1" applyAlignment="1">
      <alignment horizontal="center" wrapText="1"/>
    </xf>
    <xf numFmtId="173" fontId="5" fillId="0" borderId="76" xfId="16" applyFont="1" applyBorder="1" applyAlignment="1">
      <alignment horizontal="center" vertical="center" wrapText="1"/>
    </xf>
    <xf numFmtId="165" fontId="5" fillId="0" borderId="76" xfId="16" applyNumberFormat="1" applyFont="1" applyBorder="1" applyAlignment="1">
      <alignment horizontal="center" vertical="center" wrapText="1"/>
    </xf>
    <xf numFmtId="165" fontId="5" fillId="0" borderId="77" xfId="16" applyNumberFormat="1" applyFont="1" applyBorder="1" applyAlignment="1">
      <alignment horizontal="center" vertical="center" wrapText="1"/>
    </xf>
    <xf numFmtId="173" fontId="11" fillId="0" borderId="127" xfId="16" applyFont="1" applyBorder="1" applyAlignment="1">
      <alignment wrapText="1"/>
    </xf>
    <xf numFmtId="165" fontId="11" fillId="3" borderId="113" xfId="16" applyNumberFormat="1" applyFont="1" applyFill="1" applyBorder="1" applyAlignment="1">
      <alignment horizontal="center" wrapText="1"/>
    </xf>
    <xf numFmtId="165" fontId="11" fillId="3" borderId="113" xfId="16" applyNumberFormat="1" applyFont="1" applyFill="1" applyBorder="1" applyAlignment="1">
      <alignment horizontal="center"/>
    </xf>
    <xf numFmtId="173" fontId="11" fillId="3" borderId="113" xfId="16" applyFont="1" applyFill="1" applyBorder="1" applyAlignment="1">
      <alignment horizontal="center"/>
    </xf>
    <xf numFmtId="165" fontId="11" fillId="3" borderId="98" xfId="16" applyNumberFormat="1" applyFont="1" applyFill="1" applyBorder="1" applyAlignment="1">
      <alignment horizontal="center" wrapText="1"/>
    </xf>
    <xf numFmtId="173" fontId="11" fillId="3" borderId="98" xfId="16" applyFont="1" applyFill="1" applyBorder="1" applyAlignment="1">
      <alignment horizontal="center"/>
    </xf>
    <xf numFmtId="173" fontId="11" fillId="3" borderId="108" xfId="16" applyFont="1" applyFill="1" applyBorder="1" applyAlignment="1">
      <alignment horizontal="center"/>
    </xf>
    <xf numFmtId="173" fontId="11" fillId="0" borderId="131" xfId="16" applyFont="1" applyBorder="1" applyAlignment="1">
      <alignment wrapText="1"/>
    </xf>
    <xf numFmtId="165" fontId="11" fillId="3" borderId="118" xfId="16" applyNumberFormat="1" applyFont="1" applyFill="1" applyBorder="1" applyAlignment="1">
      <alignment horizontal="center" wrapText="1"/>
    </xf>
    <xf numFmtId="165" fontId="11" fillId="3" borderId="118" xfId="16" applyNumberFormat="1" applyFont="1" applyFill="1" applyBorder="1" applyAlignment="1">
      <alignment horizontal="center"/>
    </xf>
    <xf numFmtId="173" fontId="11" fillId="3" borderId="118" xfId="16" applyFont="1" applyFill="1" applyBorder="1" applyAlignment="1">
      <alignment horizontal="center"/>
    </xf>
    <xf numFmtId="173" fontId="5" fillId="0" borderId="81" xfId="16" applyFont="1" applyBorder="1" applyAlignment="1">
      <alignment wrapText="1"/>
    </xf>
    <xf numFmtId="165" fontId="3" fillId="0" borderId="2" xfId="16" applyNumberFormat="1" applyFont="1" applyBorder="1" applyAlignment="1">
      <alignment horizontal="center" wrapText="1"/>
    </xf>
    <xf numFmtId="165" fontId="11" fillId="3" borderId="120" xfId="16" applyNumberFormat="1" applyFont="1" applyFill="1" applyBorder="1" applyAlignment="1">
      <alignment horizontal="center" wrapText="1"/>
    </xf>
    <xf numFmtId="173" fontId="11" fillId="3" borderId="120" xfId="16" applyFont="1" applyFill="1" applyBorder="1" applyAlignment="1">
      <alignment horizontal="center"/>
    </xf>
    <xf numFmtId="173" fontId="11" fillId="3" borderId="111" xfId="16" applyFont="1" applyFill="1" applyBorder="1" applyAlignment="1">
      <alignment horizontal="center"/>
    </xf>
    <xf numFmtId="11" fontId="11" fillId="0" borderId="0" xfId="16" applyNumberFormat="1" applyFont="1"/>
    <xf numFmtId="11" fontId="11" fillId="0" borderId="7" xfId="16" applyNumberFormat="1" applyFont="1" applyBorder="1"/>
    <xf numFmtId="173" fontId="3" fillId="0" borderId="63" xfId="16" applyFont="1" applyBorder="1" applyAlignment="1">
      <alignment wrapText="1"/>
    </xf>
    <xf numFmtId="165" fontId="11" fillId="0" borderId="98" xfId="16" applyNumberFormat="1" applyFont="1" applyBorder="1" applyAlignment="1">
      <alignment horizontal="center"/>
    </xf>
    <xf numFmtId="11" fontId="11" fillId="0" borderId="98" xfId="16" applyNumberFormat="1" applyFont="1" applyBorder="1" applyAlignment="1">
      <alignment horizontal="center"/>
    </xf>
    <xf numFmtId="165" fontId="11" fillId="0" borderId="108" xfId="16" applyNumberFormat="1" applyFont="1" applyBorder="1" applyAlignment="1">
      <alignment horizontal="center"/>
    </xf>
    <xf numFmtId="0" fontId="17" fillId="0" borderId="24" xfId="0" applyFont="1" applyBorder="1"/>
    <xf numFmtId="0" fontId="0" fillId="0" borderId="66" xfId="0" applyBorder="1"/>
    <xf numFmtId="0" fontId="4" fillId="0" borderId="6" xfId="5" applyBorder="1" applyAlignment="1" applyProtection="1"/>
    <xf numFmtId="0" fontId="4" fillId="0" borderId="67" xfId="5" applyBorder="1" applyAlignment="1" applyProtection="1"/>
    <xf numFmtId="0" fontId="0" fillId="0" borderId="110" xfId="0" applyBorder="1"/>
    <xf numFmtId="42" fontId="11" fillId="3" borderId="69" xfId="1" applyNumberFormat="1" applyFont="1" applyFill="1" applyBorder="1" applyAlignment="1" applyProtection="1">
      <alignment wrapText="1"/>
      <protection locked="0"/>
    </xf>
    <xf numFmtId="42" fontId="11" fillId="3" borderId="135" xfId="0" applyNumberFormat="1" applyFont="1" applyFill="1" applyBorder="1" applyAlignment="1" applyProtection="1">
      <alignment wrapText="1"/>
      <protection locked="0"/>
    </xf>
    <xf numFmtId="42" fontId="11" fillId="3" borderId="135" xfId="1" applyNumberFormat="1" applyFont="1" applyFill="1" applyBorder="1" applyAlignment="1" applyProtection="1">
      <alignment wrapText="1"/>
      <protection locked="0"/>
    </xf>
    <xf numFmtId="42" fontId="11" fillId="3" borderId="8" xfId="0" applyNumberFormat="1" applyFont="1" applyFill="1" applyBorder="1" applyAlignment="1" applyProtection="1">
      <alignment wrapText="1"/>
      <protection locked="0"/>
    </xf>
    <xf numFmtId="42" fontId="11" fillId="3" borderId="8" xfId="1" applyNumberFormat="1" applyFont="1" applyFill="1" applyBorder="1" applyAlignment="1" applyProtection="1">
      <alignment wrapText="1"/>
      <protection locked="0"/>
    </xf>
    <xf numFmtId="0" fontId="11" fillId="6" borderId="8" xfId="0" applyFont="1" applyFill="1" applyBorder="1" applyAlignment="1" applyProtection="1">
      <alignment wrapText="1"/>
      <protection locked="0"/>
    </xf>
    <xf numFmtId="2" fontId="3" fillId="5" borderId="136" xfId="0" applyNumberFormat="1" applyFont="1" applyFill="1" applyBorder="1" applyAlignment="1" applyProtection="1">
      <alignment wrapText="1"/>
      <protection locked="0"/>
    </xf>
    <xf numFmtId="42" fontId="11" fillId="3" borderId="136" xfId="0" applyNumberFormat="1" applyFont="1" applyFill="1" applyBorder="1" applyAlignment="1" applyProtection="1">
      <alignment wrapText="1"/>
      <protection locked="0"/>
    </xf>
    <xf numFmtId="42" fontId="11" fillId="3" borderId="136" xfId="1" applyNumberFormat="1" applyFont="1" applyFill="1" applyBorder="1" applyAlignment="1" applyProtection="1">
      <alignment wrapText="1"/>
      <protection locked="0"/>
    </xf>
    <xf numFmtId="0" fontId="11" fillId="6" borderId="136" xfId="0" applyFont="1" applyFill="1" applyBorder="1" applyAlignment="1" applyProtection="1">
      <alignment wrapText="1"/>
      <protection locked="0"/>
    </xf>
    <xf numFmtId="0" fontId="11" fillId="3" borderId="137" xfId="0" applyFont="1" applyFill="1" applyBorder="1" applyAlignment="1" applyProtection="1">
      <alignment horizontal="left" wrapText="1"/>
      <protection locked="0"/>
    </xf>
    <xf numFmtId="0" fontId="11" fillId="3" borderId="138" xfId="0" applyFont="1" applyFill="1" applyBorder="1" applyAlignment="1" applyProtection="1">
      <alignment horizontal="left" wrapText="1"/>
      <protection locked="0"/>
    </xf>
    <xf numFmtId="2" fontId="11" fillId="3" borderId="135" xfId="0" applyNumberFormat="1" applyFont="1" applyFill="1" applyBorder="1" applyAlignment="1" applyProtection="1">
      <alignment wrapText="1"/>
      <protection locked="0"/>
    </xf>
    <xf numFmtId="2" fontId="11" fillId="3" borderId="8" xfId="0" applyNumberFormat="1" applyFont="1" applyFill="1" applyBorder="1" applyAlignment="1" applyProtection="1">
      <alignment wrapText="1"/>
      <protection locked="0"/>
    </xf>
    <xf numFmtId="41" fontId="3" fillId="3" borderId="69" xfId="0" applyNumberFormat="1" applyFont="1" applyFill="1" applyBorder="1" applyAlignment="1" applyProtection="1">
      <alignment wrapText="1"/>
      <protection locked="0"/>
    </xf>
    <xf numFmtId="0" fontId="37" fillId="2" borderId="24" xfId="0" applyFont="1" applyFill="1" applyBorder="1" applyProtection="1">
      <protection locked="0"/>
    </xf>
    <xf numFmtId="0" fontId="36" fillId="2" borderId="65" xfId="0" applyFont="1" applyFill="1" applyBorder="1" applyProtection="1">
      <protection locked="0"/>
    </xf>
    <xf numFmtId="0" fontId="30" fillId="0" borderId="0" xfId="0" applyFont="1" applyProtection="1">
      <protection locked="0"/>
    </xf>
    <xf numFmtId="0" fontId="12" fillId="2" borderId="6" xfId="0" applyFont="1" applyFill="1" applyBorder="1" applyAlignment="1" applyProtection="1">
      <alignment horizontal="left" vertical="top"/>
      <protection locked="0"/>
    </xf>
    <xf numFmtId="3" fontId="12" fillId="3" borderId="57" xfId="0" applyNumberFormat="1" applyFont="1" applyFill="1" applyBorder="1" applyAlignment="1" applyProtection="1">
      <alignment horizontal="left" vertical="top"/>
      <protection locked="0"/>
    </xf>
    <xf numFmtId="0" fontId="0" fillId="2" borderId="0" xfId="0" applyFill="1" applyProtection="1">
      <protection locked="0"/>
    </xf>
    <xf numFmtId="2" fontId="12" fillId="3" borderId="57" xfId="0" applyNumberFormat="1" applyFont="1" applyFill="1" applyBorder="1" applyAlignment="1" applyProtection="1">
      <alignment horizontal="left" vertical="top"/>
      <protection locked="0"/>
    </xf>
    <xf numFmtId="2" fontId="11" fillId="2" borderId="0" xfId="0" applyNumberFormat="1" applyFont="1" applyFill="1" applyAlignment="1" applyProtection="1">
      <alignment horizontal="left" vertical="top" wrapText="1"/>
      <protection locked="0"/>
    </xf>
    <xf numFmtId="2" fontId="12" fillId="5" borderId="57" xfId="0" applyNumberFormat="1" applyFont="1" applyFill="1" applyBorder="1" applyAlignment="1" applyProtection="1">
      <alignment horizontal="left" vertical="top"/>
      <protection locked="0"/>
    </xf>
    <xf numFmtId="3" fontId="12" fillId="5" borderId="57" xfId="0" applyNumberFormat="1" applyFont="1" applyFill="1" applyBorder="1" applyAlignment="1" applyProtection="1">
      <alignment horizontal="left" vertical="top"/>
      <protection locked="0"/>
    </xf>
    <xf numFmtId="2" fontId="12" fillId="0" borderId="0" xfId="0" applyNumberFormat="1" applyFont="1" applyAlignment="1" applyProtection="1">
      <alignment horizontal="left" vertical="top"/>
      <protection locked="0"/>
    </xf>
    <xf numFmtId="0" fontId="0" fillId="2" borderId="6" xfId="0" applyFill="1" applyBorder="1" applyProtection="1">
      <protection locked="0"/>
    </xf>
    <xf numFmtId="0" fontId="36" fillId="2" borderId="110" xfId="0" applyFont="1" applyFill="1" applyBorder="1" applyProtection="1">
      <protection locked="0"/>
    </xf>
    <xf numFmtId="0" fontId="41" fillId="2" borderId="0" xfId="0" applyFont="1" applyFill="1" applyAlignment="1">
      <alignment horizontal="right" vertical="center" wrapText="1"/>
    </xf>
    <xf numFmtId="173" fontId="11" fillId="0" borderId="63" xfId="16" applyFont="1" applyBorder="1" applyAlignment="1">
      <alignment horizontal="left" vertical="center" wrapText="1"/>
    </xf>
    <xf numFmtId="173" fontId="11" fillId="0" borderId="98" xfId="16" applyFont="1" applyBorder="1" applyAlignment="1">
      <alignment horizontal="left" vertical="center" wrapText="1"/>
    </xf>
    <xf numFmtId="0" fontId="45" fillId="2" borderId="94" xfId="0" applyFont="1" applyFill="1" applyBorder="1" applyAlignment="1">
      <alignment horizontal="left" vertical="center" wrapText="1"/>
    </xf>
    <xf numFmtId="0" fontId="41" fillId="2" borderId="95" xfId="0" applyFont="1" applyFill="1" applyBorder="1" applyAlignment="1">
      <alignment horizontal="center" vertical="top" wrapText="1"/>
    </xf>
    <xf numFmtId="0" fontId="41" fillId="2" borderId="95" xfId="0" applyFont="1" applyFill="1" applyBorder="1" applyAlignment="1">
      <alignment horizontal="right" vertical="center" wrapText="1"/>
    </xf>
    <xf numFmtId="0" fontId="0" fillId="5" borderId="0" xfId="0" applyFill="1"/>
    <xf numFmtId="0" fontId="0" fillId="3" borderId="0" xfId="0" applyFill="1"/>
    <xf numFmtId="0" fontId="0" fillId="4" borderId="0" xfId="0" applyFill="1"/>
    <xf numFmtId="173" fontId="45" fillId="0" borderId="0" xfId="16" applyFont="1" applyAlignment="1">
      <alignment horizontal="left"/>
    </xf>
    <xf numFmtId="0" fontId="3" fillId="0" borderId="13" xfId="0" applyFont="1" applyBorder="1" applyAlignment="1" applyProtection="1">
      <alignment horizontal="right"/>
      <protection locked="0"/>
    </xf>
    <xf numFmtId="0" fontId="3" fillId="0" borderId="17" xfId="0" applyFont="1" applyBorder="1" applyAlignment="1" applyProtection="1">
      <alignment horizontal="right"/>
      <protection locked="0"/>
    </xf>
    <xf numFmtId="0" fontId="4" fillId="0" borderId="0" xfId="5" applyFill="1" applyBorder="1" applyAlignment="1" applyProtection="1">
      <alignment wrapText="1"/>
      <protection locked="0"/>
    </xf>
    <xf numFmtId="0" fontId="3" fillId="0" borderId="20" xfId="0" applyFont="1" applyBorder="1" applyAlignment="1" applyProtection="1">
      <alignment horizontal="right"/>
      <protection locked="0"/>
    </xf>
    <xf numFmtId="0" fontId="3" fillId="0" borderId="0" xfId="0" applyFont="1" applyAlignment="1" applyProtection="1">
      <alignment horizontal="right"/>
      <protection locked="0"/>
    </xf>
    <xf numFmtId="0" fontId="19" fillId="0" borderId="0" xfId="0" applyFont="1" applyProtection="1">
      <protection locked="0"/>
    </xf>
    <xf numFmtId="0" fontId="3" fillId="0" borderId="17" xfId="0" applyFont="1" applyBorder="1" applyAlignment="1" applyProtection="1">
      <alignment horizontal="right" wrapText="1"/>
      <protection locked="0"/>
    </xf>
    <xf numFmtId="0" fontId="3" fillId="0" borderId="8" xfId="0" applyFont="1" applyBorder="1" applyProtection="1">
      <protection locked="0"/>
    </xf>
    <xf numFmtId="0" fontId="45" fillId="0" borderId="0" xfId="0" applyFont="1"/>
    <xf numFmtId="0" fontId="3" fillId="0" borderId="0" xfId="0" applyFont="1" applyAlignment="1">
      <alignment horizontal="left" vertical="center"/>
    </xf>
    <xf numFmtId="0" fontId="39" fillId="0" borderId="0" xfId="0" applyFont="1" applyAlignment="1">
      <alignment horizontal="right"/>
    </xf>
    <xf numFmtId="0" fontId="46" fillId="0" borderId="0" xfId="0" applyFont="1" applyAlignment="1">
      <alignment vertical="top" wrapText="1"/>
    </xf>
    <xf numFmtId="0" fontId="46" fillId="0" borderId="0" xfId="0" applyFont="1" applyAlignment="1">
      <alignment horizontal="left" vertical="top" wrapText="1"/>
    </xf>
    <xf numFmtId="0" fontId="39" fillId="0" borderId="0" xfId="0" applyFont="1" applyAlignment="1">
      <alignment horizontal="right" vertical="top" wrapText="1"/>
    </xf>
    <xf numFmtId="0" fontId="12" fillId="0" borderId="0" xfId="0" applyFont="1" applyAlignment="1">
      <alignment vertical="top" wrapText="1"/>
    </xf>
    <xf numFmtId="0" fontId="47" fillId="0" borderId="0" xfId="5" applyFont="1" applyAlignment="1" applyProtection="1">
      <alignment horizontal="left" vertical="top" wrapText="1"/>
    </xf>
    <xf numFmtId="4" fontId="11" fillId="3" borderId="98" xfId="16" applyNumberFormat="1" applyFont="1" applyFill="1" applyBorder="1" applyAlignment="1">
      <alignment horizontal="center" vertical="center" wrapText="1"/>
    </xf>
    <xf numFmtId="4" fontId="11" fillId="3" borderId="108" xfId="16" applyNumberFormat="1" applyFont="1" applyFill="1" applyBorder="1" applyAlignment="1">
      <alignment horizontal="center" vertical="center" wrapText="1"/>
    </xf>
    <xf numFmtId="0" fontId="40" fillId="2" borderId="4" xfId="0" applyFont="1" applyFill="1" applyBorder="1" applyAlignment="1">
      <alignment horizontal="left" vertical="center" wrapText="1"/>
    </xf>
    <xf numFmtId="0" fontId="47" fillId="2" borderId="4" xfId="5" applyFont="1" applyFill="1" applyBorder="1" applyAlignment="1" applyProtection="1">
      <alignment horizontal="left" vertical="center" wrapText="1"/>
    </xf>
    <xf numFmtId="0" fontId="0" fillId="15" borderId="0" xfId="0" applyFill="1"/>
    <xf numFmtId="0" fontId="3" fillId="0" borderId="4" xfId="0" applyFont="1" applyBorder="1" applyAlignment="1">
      <alignment vertical="center" wrapText="1"/>
    </xf>
    <xf numFmtId="169" fontId="11" fillId="3" borderId="142" xfId="16" applyNumberFormat="1" applyFont="1" applyFill="1" applyBorder="1"/>
    <xf numFmtId="169" fontId="3" fillId="3" borderId="22" xfId="16" applyNumberFormat="1" applyFont="1" applyFill="1" applyBorder="1"/>
    <xf numFmtId="0" fontId="0" fillId="0" borderId="47" xfId="0" quotePrefix="1" applyBorder="1" applyAlignment="1">
      <alignment wrapText="1"/>
    </xf>
    <xf numFmtId="173" fontId="11" fillId="0" borderId="0" xfId="16" quotePrefix="1" applyFont="1"/>
    <xf numFmtId="165" fontId="17" fillId="3" borderId="8" xfId="0" applyNumberFormat="1" applyFont="1" applyFill="1" applyBorder="1" applyAlignment="1">
      <alignment wrapText="1"/>
    </xf>
    <xf numFmtId="165" fontId="17" fillId="3" borderId="19" xfId="0" applyNumberFormat="1" applyFont="1" applyFill="1" applyBorder="1" applyAlignment="1">
      <alignment wrapText="1"/>
    </xf>
    <xf numFmtId="167" fontId="0" fillId="0" borderId="98" xfId="0" applyNumberFormat="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0" fontId="11" fillId="6" borderId="6" xfId="7" applyFill="1" applyBorder="1" applyAlignment="1">
      <alignment horizontal="center"/>
    </xf>
    <xf numFmtId="0" fontId="48" fillId="0" borderId="0" xfId="0" applyFont="1"/>
    <xf numFmtId="0" fontId="3" fillId="0" borderId="24" xfId="0" applyFont="1" applyBorder="1"/>
    <xf numFmtId="0" fontId="0" fillId="0" borderId="65" xfId="0" applyBorder="1"/>
    <xf numFmtId="0" fontId="0" fillId="0" borderId="78" xfId="0" applyBorder="1"/>
    <xf numFmtId="0" fontId="0" fillId="0" borderId="79" xfId="0" applyBorder="1"/>
    <xf numFmtId="0" fontId="0" fillId="0" borderId="80" xfId="0" applyBorder="1"/>
    <xf numFmtId="0" fontId="0" fillId="0" borderId="6" xfId="0" applyBorder="1"/>
    <xf numFmtId="167" fontId="0" fillId="0" borderId="0" xfId="0" applyNumberFormat="1"/>
    <xf numFmtId="0" fontId="0" fillId="0" borderId="4" xfId="0" applyBorder="1"/>
    <xf numFmtId="0" fontId="11" fillId="0" borderId="6" xfId="0" applyFont="1" applyBorder="1"/>
    <xf numFmtId="167" fontId="0" fillId="0" borderId="4" xfId="0" applyNumberFormat="1" applyBorder="1"/>
    <xf numFmtId="0" fontId="11" fillId="0" borderId="67" xfId="0" applyFont="1" applyBorder="1"/>
    <xf numFmtId="167" fontId="0" fillId="0" borderId="90" xfId="0" applyNumberFormat="1" applyBorder="1"/>
    <xf numFmtId="0" fontId="11" fillId="16" borderId="65" xfId="0" applyFont="1" applyFill="1" applyBorder="1"/>
    <xf numFmtId="0" fontId="0" fillId="16" borderId="65" xfId="0" applyFill="1" applyBorder="1"/>
    <xf numFmtId="0" fontId="0" fillId="16" borderId="66" xfId="0" applyFill="1" applyBorder="1"/>
    <xf numFmtId="0" fontId="0" fillId="0" borderId="144" xfId="0" applyBorder="1"/>
    <xf numFmtId="0" fontId="3" fillId="0" borderId="6" xfId="0" applyFont="1" applyBorder="1"/>
    <xf numFmtId="0" fontId="3" fillId="0" borderId="0" xfId="0" applyFont="1" applyAlignment="1">
      <alignment wrapText="1"/>
    </xf>
    <xf numFmtId="0" fontId="3" fillId="0" borderId="7" xfId="0" applyFont="1" applyBorder="1"/>
    <xf numFmtId="7" fontId="0" fillId="0" borderId="0" xfId="0" applyNumberFormat="1"/>
    <xf numFmtId="7" fontId="0" fillId="0" borderId="143" xfId="0" applyNumberFormat="1" applyBorder="1" applyAlignment="1">
      <alignment vertical="top" wrapText="1"/>
    </xf>
    <xf numFmtId="0" fontId="11" fillId="0" borderId="63" xfId="0" applyFont="1" applyBorder="1" applyAlignment="1">
      <alignment horizontal="left" vertical="top" wrapText="1"/>
    </xf>
    <xf numFmtId="0" fontId="11" fillId="6" borderId="98" xfId="0" applyFont="1" applyFill="1" applyBorder="1" applyAlignment="1">
      <alignment horizontal="left" vertical="top" wrapText="1"/>
    </xf>
    <xf numFmtId="0" fontId="11" fillId="0" borderId="98" xfId="0" applyFont="1" applyBorder="1" applyAlignment="1">
      <alignment horizontal="left" vertical="top" wrapText="1"/>
    </xf>
    <xf numFmtId="167" fontId="11" fillId="0" borderId="0" xfId="0" applyNumberFormat="1" applyFont="1"/>
    <xf numFmtId="0" fontId="26" fillId="0" borderId="90" xfId="0" applyFont="1" applyBorder="1" applyAlignment="1">
      <alignment horizontal="center" wrapText="1"/>
    </xf>
    <xf numFmtId="3" fontId="11" fillId="2" borderId="8" xfId="0" applyNumberFormat="1" applyFont="1" applyFill="1" applyBorder="1" applyAlignment="1" applyProtection="1">
      <alignment horizontal="left" vertical="center" wrapText="1"/>
      <protection locked="0"/>
    </xf>
    <xf numFmtId="3" fontId="11" fillId="2" borderId="19" xfId="0" applyNumberFormat="1" applyFont="1" applyFill="1" applyBorder="1" applyAlignment="1" applyProtection="1">
      <alignment horizontal="left" vertical="center" wrapText="1"/>
      <protection locked="0"/>
    </xf>
    <xf numFmtId="0" fontId="5" fillId="0" borderId="0" xfId="0" applyFont="1" applyAlignment="1">
      <alignment horizontal="right" vertical="center" wrapText="1"/>
    </xf>
    <xf numFmtId="170" fontId="14" fillId="0" borderId="0" xfId="0" applyNumberFormat="1" applyFont="1" applyAlignment="1">
      <alignment horizontal="center" vertical="center" wrapText="1"/>
    </xf>
    <xf numFmtId="0" fontId="56" fillId="0" borderId="58" xfId="0" applyFont="1" applyBorder="1"/>
    <xf numFmtId="0" fontId="11" fillId="0" borderId="6" xfId="0" applyFont="1" applyBorder="1" applyAlignment="1">
      <alignment horizontal="left"/>
    </xf>
    <xf numFmtId="0" fontId="14" fillId="5" borderId="89" xfId="0" applyFont="1" applyFill="1" applyBorder="1"/>
    <xf numFmtId="0" fontId="0" fillId="0" borderId="0" xfId="0" applyAlignment="1">
      <alignment horizontal="left"/>
    </xf>
    <xf numFmtId="0" fontId="0" fillId="0" borderId="0" xfId="0" applyAlignment="1">
      <alignment horizontal="right"/>
    </xf>
    <xf numFmtId="179" fontId="0" fillId="0" borderId="0" xfId="0" applyNumberFormat="1"/>
    <xf numFmtId="0" fontId="51" fillId="0" borderId="1" xfId="0" applyFont="1" applyBorder="1" applyAlignment="1">
      <alignment wrapText="1"/>
    </xf>
    <xf numFmtId="0" fontId="51" fillId="0" borderId="2" xfId="0" applyFont="1" applyBorder="1" applyAlignment="1">
      <alignment horizontal="center"/>
    </xf>
    <xf numFmtId="0" fontId="51" fillId="0" borderId="2" xfId="0" applyFont="1" applyBorder="1" applyAlignment="1">
      <alignment horizontal="center" wrapText="1"/>
    </xf>
    <xf numFmtId="0" fontId="51" fillId="0" borderId="3" xfId="0" applyFont="1" applyBorder="1" applyAlignment="1">
      <alignment horizontal="center" wrapText="1"/>
    </xf>
    <xf numFmtId="0" fontId="52" fillId="0" borderId="4" xfId="0" applyFont="1" applyBorder="1" applyAlignment="1">
      <alignment wrapText="1"/>
    </xf>
    <xf numFmtId="2" fontId="52" fillId="0" borderId="0" xfId="0" applyNumberFormat="1" applyFont="1" applyAlignment="1">
      <alignment horizontal="center"/>
    </xf>
    <xf numFmtId="2" fontId="53" fillId="0" borderId="0" xfId="0" applyNumberFormat="1" applyFont="1" applyAlignment="1">
      <alignment wrapText="1"/>
    </xf>
    <xf numFmtId="2" fontId="53" fillId="0" borderId="0" xfId="0" applyNumberFormat="1" applyFont="1"/>
    <xf numFmtId="2" fontId="53" fillId="0" borderId="5" xfId="0" applyNumberFormat="1" applyFont="1" applyBorder="1"/>
    <xf numFmtId="0" fontId="52" fillId="0" borderId="4" xfId="0" applyFont="1" applyBorder="1"/>
    <xf numFmtId="0" fontId="51" fillId="0" borderId="4" xfId="0" applyFont="1" applyBorder="1"/>
    <xf numFmtId="2" fontId="52" fillId="0" borderId="5" xfId="0" applyNumberFormat="1" applyFont="1" applyBorder="1" applyAlignment="1">
      <alignment horizontal="center"/>
    </xf>
    <xf numFmtId="2" fontId="53" fillId="0" borderId="5" xfId="0" applyNumberFormat="1" applyFont="1" applyBorder="1" applyAlignment="1">
      <alignment wrapText="1"/>
    </xf>
    <xf numFmtId="0" fontId="52" fillId="0" borderId="58" xfId="0" applyFont="1" applyBorder="1" applyAlignment="1">
      <alignment wrapText="1"/>
    </xf>
    <xf numFmtId="2" fontId="52" fillId="0" borderId="59" xfId="0" applyNumberFormat="1" applyFont="1" applyBorder="1" applyAlignment="1">
      <alignment horizontal="center"/>
    </xf>
    <xf numFmtId="2" fontId="52" fillId="0" borderId="59" xfId="0" applyNumberFormat="1" applyFont="1" applyBorder="1" applyAlignment="1">
      <alignment horizontal="center" wrapText="1"/>
    </xf>
    <xf numFmtId="2" fontId="52" fillId="0" borderId="87" xfId="0" applyNumberFormat="1" applyFont="1" applyBorder="1" applyAlignment="1">
      <alignment horizontal="center" wrapText="1"/>
    </xf>
    <xf numFmtId="0" fontId="54" fillId="0" borderId="0" xfId="0" applyFont="1"/>
    <xf numFmtId="0" fontId="53" fillId="0" borderId="0" xfId="0" applyFont="1"/>
    <xf numFmtId="0" fontId="3" fillId="0" borderId="1" xfId="0" applyFont="1" applyBorder="1" applyAlignment="1">
      <alignment vertical="center"/>
    </xf>
    <xf numFmtId="0" fontId="3" fillId="0" borderId="2" xfId="0" applyFont="1" applyBorder="1" applyAlignment="1">
      <alignment horizontal="center" vertical="center" wrapText="1"/>
    </xf>
    <xf numFmtId="0" fontId="53" fillId="3" borderId="4" xfId="0" applyFont="1" applyFill="1" applyBorder="1"/>
    <xf numFmtId="165" fontId="53" fillId="3" borderId="0" xfId="0" applyNumberFormat="1" applyFont="1" applyFill="1" applyAlignment="1">
      <alignment horizontal="center"/>
    </xf>
    <xf numFmtId="0" fontId="53" fillId="0" borderId="4" xfId="0" applyFont="1" applyBorder="1"/>
    <xf numFmtId="165" fontId="53" fillId="0" borderId="0" xfId="0" applyNumberFormat="1" applyFont="1" applyAlignment="1">
      <alignment horizontal="center"/>
    </xf>
    <xf numFmtId="0" fontId="53" fillId="3" borderId="0" xfId="0" applyFont="1" applyFill="1" applyAlignment="1">
      <alignment horizontal="center"/>
    </xf>
    <xf numFmtId="0" fontId="53" fillId="3" borderId="5" xfId="0" applyFont="1" applyFill="1" applyBorder="1" applyAlignment="1">
      <alignment horizontal="center"/>
    </xf>
    <xf numFmtId="0" fontId="53" fillId="0" borderId="0" xfId="0" applyFont="1" applyAlignment="1">
      <alignment horizontal="center"/>
    </xf>
    <xf numFmtId="0" fontId="53" fillId="0" borderId="5" xfId="0" applyFont="1" applyBorder="1" applyAlignment="1">
      <alignment horizontal="center"/>
    </xf>
    <xf numFmtId="0" fontId="3" fillId="3" borderId="0" xfId="0" applyFont="1" applyFill="1" applyAlignment="1">
      <alignment horizontal="center"/>
    </xf>
    <xf numFmtId="0" fontId="53" fillId="3" borderId="0" xfId="0" applyFont="1" applyFill="1"/>
    <xf numFmtId="0" fontId="18" fillId="0" borderId="5" xfId="0" applyFont="1" applyBorder="1" applyAlignment="1">
      <alignment horizontal="center"/>
    </xf>
    <xf numFmtId="0" fontId="18" fillId="3" borderId="5" xfId="0" applyFont="1" applyFill="1" applyBorder="1" applyAlignment="1">
      <alignment horizontal="center"/>
    </xf>
    <xf numFmtId="0" fontId="53" fillId="0" borderId="4" xfId="0" applyFont="1" applyBorder="1" applyAlignment="1">
      <alignment wrapText="1"/>
    </xf>
    <xf numFmtId="0" fontId="53" fillId="0" borderId="0" xfId="0" applyFont="1" applyAlignment="1">
      <alignment wrapText="1"/>
    </xf>
    <xf numFmtId="0" fontId="53" fillId="0" borderId="5" xfId="0" applyFont="1" applyBorder="1" applyAlignment="1">
      <alignment wrapText="1"/>
    </xf>
    <xf numFmtId="0" fontId="0" fillId="0" borderId="0" xfId="0" applyAlignment="1">
      <alignment wrapText="1"/>
    </xf>
    <xf numFmtId="0" fontId="0" fillId="3" borderId="4" xfId="0" applyFill="1" applyBorder="1" applyAlignment="1">
      <alignment wrapText="1"/>
    </xf>
    <xf numFmtId="0" fontId="0" fillId="0" borderId="81" xfId="0" applyBorder="1"/>
    <xf numFmtId="0" fontId="0" fillId="0" borderId="2" xfId="0" applyBorder="1"/>
    <xf numFmtId="167" fontId="0" fillId="0" borderId="2" xfId="0" applyNumberFormat="1" applyBorder="1"/>
    <xf numFmtId="165" fontId="53" fillId="3" borderId="2" xfId="0" applyNumberFormat="1" applyFont="1" applyFill="1" applyBorder="1" applyAlignment="1">
      <alignment horizontal="center"/>
    </xf>
    <xf numFmtId="165" fontId="53" fillId="3" borderId="82" xfId="0" applyNumberFormat="1" applyFont="1" applyFill="1" applyBorder="1" applyAlignment="1">
      <alignment horizontal="center"/>
    </xf>
    <xf numFmtId="165" fontId="53" fillId="3" borderId="7" xfId="0" applyNumberFormat="1" applyFont="1" applyFill="1" applyBorder="1" applyAlignment="1">
      <alignment horizontal="center"/>
    </xf>
    <xf numFmtId="0" fontId="11" fillId="0" borderId="4" xfId="0" applyFont="1" applyBorder="1"/>
    <xf numFmtId="2" fontId="52" fillId="0" borderId="0" xfId="0" applyNumberFormat="1" applyFont="1" applyAlignment="1">
      <alignment horizontal="center" wrapText="1"/>
    </xf>
    <xf numFmtId="2" fontId="52" fillId="0" borderId="7" xfId="0" applyNumberFormat="1" applyFont="1" applyBorder="1" applyAlignment="1">
      <alignment horizontal="center" wrapText="1"/>
    </xf>
    <xf numFmtId="0" fontId="11" fillId="0" borderId="144" xfId="0" applyFont="1" applyBorder="1"/>
    <xf numFmtId="165" fontId="53" fillId="3" borderId="90" xfId="0" applyNumberFormat="1" applyFont="1" applyFill="1" applyBorder="1" applyAlignment="1">
      <alignment horizontal="center"/>
    </xf>
    <xf numFmtId="165" fontId="53" fillId="3" borderId="110" xfId="0" applyNumberFormat="1" applyFont="1" applyFill="1" applyBorder="1" applyAlignment="1">
      <alignment horizontal="center"/>
    </xf>
    <xf numFmtId="0" fontId="11" fillId="2" borderId="4" xfId="0" applyFont="1" applyFill="1" applyBorder="1"/>
    <xf numFmtId="10" fontId="54" fillId="0" borderId="0" xfId="0" applyNumberFormat="1" applyFont="1"/>
    <xf numFmtId="0" fontId="0" fillId="0" borderId="67" xfId="0" applyBorder="1"/>
    <xf numFmtId="0" fontId="11" fillId="0" borderId="1" xfId="0" applyFont="1" applyBorder="1"/>
    <xf numFmtId="0" fontId="4" fillId="6" borderId="100" xfId="5" applyFill="1" applyBorder="1" applyAlignment="1" applyProtection="1">
      <alignment wrapText="1"/>
      <protection locked="0"/>
    </xf>
    <xf numFmtId="0" fontId="4" fillId="6" borderId="101" xfId="5" applyFill="1" applyBorder="1" applyAlignment="1" applyProtection="1">
      <alignment wrapText="1"/>
      <protection locked="0"/>
    </xf>
    <xf numFmtId="0" fontId="43" fillId="6" borderId="8" xfId="0" applyFont="1" applyFill="1" applyBorder="1" applyAlignment="1" applyProtection="1">
      <alignment wrapText="1"/>
      <protection locked="0"/>
    </xf>
    <xf numFmtId="0" fontId="3" fillId="6" borderId="0" xfId="0" applyFont="1" applyFill="1" applyAlignment="1">
      <alignment vertical="top" wrapText="1"/>
    </xf>
    <xf numFmtId="0" fontId="3" fillId="6" borderId="5" xfId="0" applyFont="1" applyFill="1" applyBorder="1" applyAlignment="1">
      <alignment vertical="top" wrapText="1"/>
    </xf>
    <xf numFmtId="0" fontId="3" fillId="0" borderId="151" xfId="0" applyFont="1" applyBorder="1" applyAlignment="1">
      <alignment wrapText="1"/>
    </xf>
    <xf numFmtId="0" fontId="28" fillId="0" borderId="148" xfId="0" applyFont="1" applyBorder="1"/>
    <xf numFmtId="43" fontId="11" fillId="3" borderId="153"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0" borderId="154" xfId="0" applyBorder="1" applyAlignment="1">
      <alignment horizontal="centerContinuous" vertical="top" wrapText="1"/>
    </xf>
    <xf numFmtId="39" fontId="59" fillId="6" borderId="7" xfId="9" applyNumberFormat="1" applyFill="1" applyBorder="1"/>
    <xf numFmtId="0" fontId="3" fillId="0" borderId="1" xfId="7" applyFont="1" applyBorder="1"/>
    <xf numFmtId="0" fontId="11" fillId="0" borderId="2" xfId="7" applyBorder="1"/>
    <xf numFmtId="167" fontId="11" fillId="0" borderId="2" xfId="7" applyNumberFormat="1" applyBorder="1"/>
    <xf numFmtId="0" fontId="11" fillId="0" borderId="3" xfId="7" applyBorder="1"/>
    <xf numFmtId="0" fontId="11" fillId="0" borderId="0" xfId="7"/>
    <xf numFmtId="0" fontId="18" fillId="0" borderId="4" xfId="7" applyFont="1" applyBorder="1"/>
    <xf numFmtId="167" fontId="11" fillId="0" borderId="0" xfId="7" applyNumberFormat="1"/>
    <xf numFmtId="0" fontId="11" fillId="0" borderId="5" xfId="7" applyBorder="1"/>
    <xf numFmtId="0" fontId="11" fillId="0" borderId="4" xfId="7" applyBorder="1"/>
    <xf numFmtId="0" fontId="60" fillId="0" borderId="0" xfId="7" applyFont="1"/>
    <xf numFmtId="0" fontId="61" fillId="0" borderId="5" xfId="7" applyFont="1" applyBorder="1"/>
    <xf numFmtId="0" fontId="11" fillId="0" borderId="58" xfId="7" applyBorder="1"/>
    <xf numFmtId="0" fontId="11" fillId="0" borderId="59" xfId="7" applyBorder="1"/>
    <xf numFmtId="167" fontId="11" fillId="0" borderId="59" xfId="7" applyNumberFormat="1" applyBorder="1"/>
    <xf numFmtId="0" fontId="60" fillId="0" borderId="59" xfId="7" applyFont="1" applyBorder="1"/>
    <xf numFmtId="0" fontId="11" fillId="0" borderId="87" xfId="7" applyBorder="1"/>
    <xf numFmtId="0" fontId="3" fillId="0" borderId="0" xfId="7" applyFont="1"/>
    <xf numFmtId="0" fontId="18" fillId="0" borderId="2" xfId="0" applyFont="1" applyBorder="1"/>
    <xf numFmtId="0" fontId="18" fillId="0" borderId="0" xfId="0" applyFont="1"/>
    <xf numFmtId="2" fontId="57" fillId="0" borderId="0" xfId="0" applyNumberFormat="1" applyFont="1" applyAlignment="1">
      <alignment horizontal="center" wrapText="1"/>
    </xf>
    <xf numFmtId="0" fontId="18" fillId="0" borderId="90" xfId="0" applyFont="1" applyBorder="1"/>
    <xf numFmtId="167" fontId="62" fillId="0" borderId="0" xfId="7" applyNumberFormat="1" applyFont="1"/>
    <xf numFmtId="0" fontId="11" fillId="0" borderId="6" xfId="7" applyBorder="1" applyAlignment="1">
      <alignment horizontal="left"/>
    </xf>
    <xf numFmtId="165" fontId="11" fillId="3" borderId="0" xfId="0" applyNumberFormat="1" applyFont="1" applyFill="1" applyAlignment="1">
      <alignment horizontal="center"/>
    </xf>
    <xf numFmtId="165" fontId="11" fillId="3" borderId="2" xfId="0" applyNumberFormat="1" applyFont="1" applyFill="1" applyBorder="1" applyAlignment="1">
      <alignment horizontal="center"/>
    </xf>
    <xf numFmtId="165" fontId="11" fillId="3" borderId="82" xfId="0" applyNumberFormat="1" applyFont="1" applyFill="1" applyBorder="1" applyAlignment="1">
      <alignment horizontal="center"/>
    </xf>
    <xf numFmtId="165" fontId="11" fillId="3" borderId="7" xfId="0" applyNumberFormat="1" applyFont="1" applyFill="1" applyBorder="1" applyAlignment="1">
      <alignment horizontal="center"/>
    </xf>
    <xf numFmtId="165" fontId="11" fillId="3" borderId="90" xfId="0" applyNumberFormat="1" applyFont="1" applyFill="1" applyBorder="1" applyAlignment="1">
      <alignment horizontal="center"/>
    </xf>
    <xf numFmtId="165" fontId="11" fillId="3" borderId="110" xfId="0" applyNumberFormat="1" applyFont="1" applyFill="1" applyBorder="1" applyAlignment="1">
      <alignment horizontal="center"/>
    </xf>
    <xf numFmtId="173" fontId="1" fillId="0" borderId="0" xfId="16" applyFont="1"/>
    <xf numFmtId="182" fontId="11" fillId="3" borderId="23" xfId="16" applyNumberFormat="1" applyFont="1" applyFill="1" applyBorder="1" applyAlignment="1">
      <alignment horizontal="center"/>
    </xf>
    <xf numFmtId="181" fontId="11" fillId="3" borderId="19" xfId="16" applyNumberFormat="1" applyFont="1" applyFill="1" applyBorder="1" applyAlignment="1" applyProtection="1">
      <alignment horizontal="center"/>
      <protection locked="0"/>
    </xf>
    <xf numFmtId="173" fontId="3" fillId="0" borderId="0" xfId="16" applyFont="1"/>
    <xf numFmtId="170" fontId="0" fillId="17" borderId="34" xfId="0" applyNumberFormat="1" applyFill="1" applyBorder="1"/>
    <xf numFmtId="170" fontId="0" fillId="17" borderId="32" xfId="0" applyNumberFormat="1" applyFill="1" applyBorder="1"/>
    <xf numFmtId="173" fontId="3" fillId="0" borderId="60" xfId="16" applyFont="1" applyBorder="1" applyAlignment="1">
      <alignment horizontal="center"/>
    </xf>
    <xf numFmtId="173" fontId="1" fillId="3" borderId="17" xfId="16" applyFont="1" applyFill="1" applyBorder="1"/>
    <xf numFmtId="173" fontId="1" fillId="3" borderId="8" xfId="16" applyFont="1" applyFill="1" applyBorder="1"/>
    <xf numFmtId="165" fontId="1" fillId="3" borderId="8" xfId="16" applyNumberFormat="1" applyFont="1" applyFill="1" applyBorder="1"/>
    <xf numFmtId="170" fontId="1" fillId="3" borderId="8" xfId="16" applyNumberFormat="1" applyFont="1" applyFill="1" applyBorder="1"/>
    <xf numFmtId="6" fontId="1" fillId="3" borderId="8" xfId="16" applyNumberFormat="1" applyFont="1" applyFill="1" applyBorder="1"/>
    <xf numFmtId="164" fontId="1" fillId="3" borderId="8" xfId="17" applyNumberFormat="1" applyFont="1" applyFill="1" applyBorder="1" applyProtection="1"/>
    <xf numFmtId="0" fontId="0" fillId="20" borderId="0" xfId="0" applyFill="1"/>
    <xf numFmtId="0" fontId="1" fillId="20" borderId="0" xfId="0" applyFont="1" applyFill="1"/>
    <xf numFmtId="0" fontId="3" fillId="20" borderId="0" xfId="0" applyFont="1" applyFill="1"/>
    <xf numFmtId="0" fontId="1" fillId="19" borderId="8" xfId="0" applyFont="1" applyFill="1" applyBorder="1"/>
    <xf numFmtId="0" fontId="0" fillId="19" borderId="8" xfId="0" applyFill="1" applyBorder="1"/>
    <xf numFmtId="9" fontId="0" fillId="19" borderId="8" xfId="17" applyFont="1" applyFill="1" applyBorder="1"/>
    <xf numFmtId="9" fontId="0" fillId="5" borderId="8" xfId="17" applyFont="1" applyFill="1" applyBorder="1" applyAlignment="1">
      <alignment vertical="top" wrapText="1"/>
    </xf>
    <xf numFmtId="9" fontId="0" fillId="19" borderId="55" xfId="17" applyFont="1" applyFill="1" applyBorder="1"/>
    <xf numFmtId="172" fontId="0" fillId="19" borderId="55" xfId="1" applyNumberFormat="1" applyFont="1" applyFill="1" applyBorder="1"/>
    <xf numFmtId="0" fontId="0" fillId="19" borderId="55" xfId="0" applyFill="1" applyBorder="1"/>
    <xf numFmtId="172" fontId="0" fillId="19" borderId="8" xfId="1" applyNumberFormat="1" applyFont="1" applyFill="1" applyBorder="1"/>
    <xf numFmtId="0" fontId="3" fillId="20" borderId="0" xfId="0" applyFont="1" applyFill="1" applyAlignment="1">
      <alignment wrapText="1"/>
    </xf>
    <xf numFmtId="0" fontId="0" fillId="19" borderId="8" xfId="0" applyFill="1" applyBorder="1" applyAlignment="1">
      <alignment horizontal="center"/>
    </xf>
    <xf numFmtId="9" fontId="0" fillId="19" borderId="8" xfId="0" applyNumberFormat="1" applyFill="1" applyBorder="1"/>
    <xf numFmtId="183" fontId="0" fillId="19" borderId="8" xfId="1" applyNumberFormat="1" applyFont="1" applyFill="1" applyBorder="1"/>
    <xf numFmtId="9" fontId="1" fillId="19" borderId="8" xfId="0" applyNumberFormat="1" applyFont="1" applyFill="1" applyBorder="1"/>
    <xf numFmtId="44" fontId="0" fillId="19" borderId="8" xfId="0" applyNumberFormat="1" applyFill="1" applyBorder="1"/>
    <xf numFmtId="44" fontId="1" fillId="19" borderId="8" xfId="3" applyFont="1" applyFill="1" applyBorder="1"/>
    <xf numFmtId="44" fontId="0" fillId="19" borderId="8" xfId="3" applyFont="1" applyFill="1" applyBorder="1"/>
    <xf numFmtId="0" fontId="0" fillId="18" borderId="8" xfId="0" applyFill="1" applyBorder="1" applyAlignment="1">
      <alignment horizontal="center"/>
    </xf>
    <xf numFmtId="9" fontId="0" fillId="18" borderId="8" xfId="17" applyFont="1" applyFill="1" applyBorder="1"/>
    <xf numFmtId="172" fontId="0" fillId="19" borderId="8" xfId="0" applyNumberFormat="1" applyFill="1" applyBorder="1"/>
    <xf numFmtId="0" fontId="3" fillId="20" borderId="0" xfId="0" applyFont="1" applyFill="1" applyAlignment="1">
      <alignment horizontal="center" wrapText="1"/>
    </xf>
    <xf numFmtId="0" fontId="0" fillId="19" borderId="8" xfId="0" applyFill="1" applyBorder="1" applyAlignment="1">
      <alignment horizontal="center" vertical="top"/>
    </xf>
    <xf numFmtId="44" fontId="1" fillId="19" borderId="8" xfId="0" applyNumberFormat="1" applyFont="1" applyFill="1" applyBorder="1"/>
    <xf numFmtId="0" fontId="3" fillId="0" borderId="126" xfId="0" applyFont="1" applyBorder="1"/>
    <xf numFmtId="0" fontId="3" fillId="0" borderId="59" xfId="0" applyFont="1" applyBorder="1" applyAlignment="1">
      <alignment wrapText="1"/>
    </xf>
    <xf numFmtId="0" fontId="3" fillId="0" borderId="154" xfId="0" applyFont="1" applyBorder="1"/>
    <xf numFmtId="44" fontId="3" fillId="20" borderId="0" xfId="3" applyFont="1" applyFill="1"/>
    <xf numFmtId="173" fontId="3" fillId="20" borderId="8" xfId="16" applyFont="1" applyFill="1" applyBorder="1" applyAlignment="1">
      <alignment horizontal="center" wrapText="1"/>
    </xf>
    <xf numFmtId="173" fontId="3" fillId="20" borderId="8" xfId="16" applyFont="1" applyFill="1" applyBorder="1"/>
    <xf numFmtId="3" fontId="11" fillId="3" borderId="8" xfId="16" applyNumberFormat="1" applyFont="1" applyFill="1" applyBorder="1"/>
    <xf numFmtId="2" fontId="11" fillId="3" borderId="8" xfId="16" applyNumberFormat="1" applyFont="1" applyFill="1" applyBorder="1" applyAlignment="1">
      <alignment horizontal="center"/>
    </xf>
    <xf numFmtId="178" fontId="11" fillId="3" borderId="8" xfId="3" applyNumberFormat="1" applyFont="1" applyFill="1" applyBorder="1" applyAlignment="1" applyProtection="1">
      <alignment horizontal="center"/>
      <protection locked="0"/>
    </xf>
    <xf numFmtId="173" fontId="1" fillId="20" borderId="2" xfId="16" applyFont="1" applyFill="1" applyBorder="1"/>
    <xf numFmtId="173" fontId="1" fillId="20" borderId="3" xfId="16" applyFont="1" applyFill="1" applyBorder="1"/>
    <xf numFmtId="173" fontId="1" fillId="20" borderId="4" xfId="16" applyFont="1" applyFill="1" applyBorder="1"/>
    <xf numFmtId="173" fontId="3" fillId="20" borderId="100" xfId="16" applyFont="1" applyFill="1" applyBorder="1"/>
    <xf numFmtId="173" fontId="1" fillId="20" borderId="138" xfId="16" applyFont="1" applyFill="1" applyBorder="1"/>
    <xf numFmtId="3" fontId="11" fillId="3" borderId="100" xfId="16" applyNumberFormat="1" applyFont="1" applyFill="1" applyBorder="1"/>
    <xf numFmtId="2" fontId="11" fillId="3" borderId="100" xfId="16" applyNumberFormat="1" applyFont="1" applyFill="1" applyBorder="1" applyAlignment="1">
      <alignment horizontal="center"/>
    </xf>
    <xf numFmtId="178" fontId="11" fillId="3" borderId="100" xfId="3" applyNumberFormat="1" applyFont="1" applyFill="1" applyBorder="1" applyAlignment="1" applyProtection="1">
      <alignment horizontal="center"/>
      <protection locked="0"/>
    </xf>
    <xf numFmtId="9" fontId="1" fillId="20" borderId="4" xfId="16" applyNumberFormat="1" applyFont="1" applyFill="1" applyBorder="1"/>
    <xf numFmtId="173" fontId="1" fillId="20" borderId="0" xfId="16" applyFont="1" applyFill="1"/>
    <xf numFmtId="173" fontId="1" fillId="20" borderId="5" xfId="16" applyFont="1" applyFill="1" applyBorder="1"/>
    <xf numFmtId="0" fontId="1" fillId="20" borderId="138" xfId="0" applyFont="1" applyFill="1" applyBorder="1"/>
    <xf numFmtId="173" fontId="1" fillId="20" borderId="145" xfId="16" applyFont="1" applyFill="1" applyBorder="1"/>
    <xf numFmtId="181" fontId="11" fillId="3" borderId="134" xfId="16" applyNumberFormat="1" applyFont="1" applyFill="1" applyBorder="1" applyAlignment="1" applyProtection="1">
      <alignment horizontal="center"/>
      <protection locked="0"/>
    </xf>
    <xf numFmtId="173" fontId="1" fillId="20" borderId="59" xfId="16" applyFont="1" applyFill="1" applyBorder="1"/>
    <xf numFmtId="173" fontId="1" fillId="20" borderId="87" xfId="16" applyFont="1" applyFill="1" applyBorder="1"/>
    <xf numFmtId="173" fontId="3" fillId="20" borderId="41" xfId="16" applyFont="1" applyFill="1" applyBorder="1" applyAlignment="1">
      <alignment horizontal="center" wrapText="1"/>
    </xf>
    <xf numFmtId="173" fontId="3" fillId="20" borderId="42" xfId="16" applyFont="1" applyFill="1" applyBorder="1" applyAlignment="1">
      <alignment horizontal="center"/>
    </xf>
    <xf numFmtId="173" fontId="3" fillId="20" borderId="42" xfId="16" applyFont="1" applyFill="1" applyBorder="1" applyAlignment="1">
      <alignment horizontal="center" wrapText="1"/>
    </xf>
    <xf numFmtId="173" fontId="3" fillId="20" borderId="43" xfId="16" applyFont="1" applyFill="1" applyBorder="1" applyAlignment="1">
      <alignment horizontal="center" wrapText="1"/>
    </xf>
    <xf numFmtId="173" fontId="3" fillId="20" borderId="85" xfId="16" applyFont="1" applyFill="1" applyBorder="1" applyAlignment="1">
      <alignment horizontal="center" wrapText="1"/>
    </xf>
    <xf numFmtId="173" fontId="3" fillId="20" borderId="150" xfId="16" applyFont="1" applyFill="1" applyBorder="1" applyAlignment="1">
      <alignment horizontal="center" wrapText="1"/>
    </xf>
    <xf numFmtId="6" fontId="11" fillId="3" borderId="159" xfId="16" applyNumberFormat="1" applyFont="1" applyFill="1" applyBorder="1"/>
    <xf numFmtId="6" fontId="11" fillId="3" borderId="100" xfId="16" applyNumberFormat="1" applyFont="1" applyFill="1" applyBorder="1"/>
    <xf numFmtId="6" fontId="1" fillId="3" borderId="100" xfId="16" applyNumberFormat="1" applyFont="1" applyFill="1" applyBorder="1"/>
    <xf numFmtId="6" fontId="11" fillId="3" borderId="101" xfId="16" applyNumberFormat="1" applyFont="1" applyFill="1" applyBorder="1"/>
    <xf numFmtId="172" fontId="11" fillId="3" borderId="48" xfId="1" applyNumberFormat="1" applyFont="1" applyFill="1" applyBorder="1" applyProtection="1"/>
    <xf numFmtId="172" fontId="11" fillId="3" borderId="49" xfId="1" applyNumberFormat="1" applyFont="1" applyFill="1" applyBorder="1" applyProtection="1"/>
    <xf numFmtId="172" fontId="1" fillId="3" borderId="49" xfId="1" applyNumberFormat="1" applyFont="1" applyFill="1" applyBorder="1" applyProtection="1"/>
    <xf numFmtId="172" fontId="11" fillId="3" borderId="50" xfId="1" applyNumberFormat="1" applyFont="1" applyFill="1" applyBorder="1" applyProtection="1"/>
    <xf numFmtId="165" fontId="11" fillId="3" borderId="37" xfId="16" applyNumberFormat="1" applyFont="1" applyFill="1" applyBorder="1"/>
    <xf numFmtId="170" fontId="11" fillId="3" borderId="37" xfId="16" applyNumberFormat="1" applyFont="1" applyFill="1" applyBorder="1"/>
    <xf numFmtId="6" fontId="11" fillId="3" borderId="37" xfId="16" applyNumberFormat="1" applyFont="1" applyFill="1" applyBorder="1"/>
    <xf numFmtId="164" fontId="1" fillId="3" borderId="37" xfId="17" applyNumberFormat="1" applyFill="1" applyBorder="1" applyProtection="1"/>
    <xf numFmtId="6" fontId="11" fillId="3" borderId="160" xfId="16" applyNumberFormat="1" applyFont="1" applyFill="1" applyBorder="1"/>
    <xf numFmtId="6" fontId="11" fillId="3" borderId="60" xfId="16" applyNumberFormat="1" applyFont="1" applyFill="1" applyBorder="1"/>
    <xf numFmtId="6" fontId="11" fillId="3" borderId="55" xfId="16" applyNumberFormat="1" applyFont="1" applyFill="1" applyBorder="1"/>
    <xf numFmtId="6" fontId="1" fillId="3" borderId="55" xfId="16" applyNumberFormat="1" applyFont="1" applyFill="1" applyBorder="1"/>
    <xf numFmtId="6" fontId="11" fillId="3" borderId="161" xfId="16" applyNumberFormat="1" applyFont="1" applyFill="1" applyBorder="1"/>
    <xf numFmtId="0" fontId="0" fillId="0" borderId="65" xfId="0" applyBorder="1" applyAlignment="1">
      <alignment wrapText="1"/>
    </xf>
    <xf numFmtId="0" fontId="0" fillId="0" borderId="66" xfId="0" applyBorder="1" applyAlignment="1">
      <alignment wrapText="1"/>
    </xf>
    <xf numFmtId="173" fontId="3" fillId="20" borderId="162" xfId="16" applyFont="1" applyFill="1" applyBorder="1" applyAlignment="1">
      <alignment horizontal="center" wrapText="1"/>
    </xf>
    <xf numFmtId="173" fontId="3" fillId="20" borderId="163" xfId="16" applyFont="1" applyFill="1" applyBorder="1" applyAlignment="1">
      <alignment horizontal="center" wrapText="1"/>
    </xf>
    <xf numFmtId="173" fontId="3" fillId="20" borderId="158" xfId="16" applyFont="1" applyFill="1" applyBorder="1" applyAlignment="1">
      <alignment horizontal="center" wrapText="1"/>
    </xf>
    <xf numFmtId="6" fontId="11" fillId="3" borderId="164" xfId="16" applyNumberFormat="1" applyFont="1" applyFill="1" applyBorder="1"/>
    <xf numFmtId="6" fontId="11" fillId="3" borderId="138" xfId="16" applyNumberFormat="1" applyFont="1" applyFill="1" applyBorder="1"/>
    <xf numFmtId="6" fontId="1" fillId="3" borderId="138" xfId="16" applyNumberFormat="1" applyFont="1" applyFill="1" applyBorder="1"/>
    <xf numFmtId="6" fontId="11" fillId="3" borderId="165" xfId="16" applyNumberFormat="1" applyFont="1" applyFill="1" applyBorder="1"/>
    <xf numFmtId="165" fontId="11" fillId="0" borderId="137" xfId="16" applyNumberFormat="1" applyFont="1" applyBorder="1"/>
    <xf numFmtId="170" fontId="11" fillId="3" borderId="135" xfId="16" applyNumberFormat="1" applyFont="1" applyFill="1" applyBorder="1"/>
    <xf numFmtId="170" fontId="11" fillId="3" borderId="99" xfId="16" applyNumberFormat="1" applyFont="1" applyFill="1" applyBorder="1"/>
    <xf numFmtId="173" fontId="11" fillId="0" borderId="165" xfId="16" applyFont="1" applyBorder="1"/>
    <xf numFmtId="173" fontId="11" fillId="0" borderId="148" xfId="16" applyFont="1" applyBorder="1"/>
    <xf numFmtId="6" fontId="11" fillId="3" borderId="149" xfId="16" applyNumberFormat="1" applyFont="1" applyFill="1" applyBorder="1"/>
    <xf numFmtId="6" fontId="11" fillId="3" borderId="153" xfId="16" applyNumberFormat="1" applyFont="1" applyFill="1" applyBorder="1"/>
    <xf numFmtId="173" fontId="11" fillId="0" borderId="123" xfId="16" applyFont="1" applyBorder="1"/>
    <xf numFmtId="43" fontId="11" fillId="3" borderId="149" xfId="1" applyFont="1" applyFill="1" applyBorder="1" applyProtection="1"/>
    <xf numFmtId="184" fontId="11" fillId="3" borderId="149" xfId="16" applyNumberFormat="1" applyFont="1" applyFill="1" applyBorder="1"/>
    <xf numFmtId="173" fontId="11" fillId="0" borderId="64" xfId="16" applyFont="1" applyBorder="1"/>
    <xf numFmtId="173" fontId="1" fillId="0" borderId="166" xfId="16" applyFont="1" applyBorder="1"/>
    <xf numFmtId="173" fontId="1" fillId="0" borderId="145" xfId="16" applyFont="1" applyBorder="1"/>
    <xf numFmtId="0" fontId="3" fillId="20" borderId="169" xfId="0" applyFont="1" applyFill="1" applyBorder="1"/>
    <xf numFmtId="165" fontId="0" fillId="19" borderId="8" xfId="0" applyNumberFormat="1" applyFill="1" applyBorder="1"/>
    <xf numFmtId="7" fontId="1" fillId="5" borderId="57" xfId="0" applyNumberFormat="1" applyFont="1" applyFill="1" applyBorder="1" applyAlignment="1">
      <alignment vertical="top" wrapText="1"/>
    </xf>
    <xf numFmtId="9" fontId="0" fillId="19" borderId="55" xfId="0" applyNumberFormat="1" applyFill="1" applyBorder="1"/>
    <xf numFmtId="0" fontId="39" fillId="2" borderId="0" xfId="0" applyFont="1" applyFill="1" applyAlignment="1">
      <alignment vertical="center" wrapText="1"/>
    </xf>
    <xf numFmtId="0" fontId="3" fillId="19" borderId="8" xfId="0" applyFont="1" applyFill="1" applyBorder="1" applyAlignment="1">
      <alignment horizontal="center" wrapText="1"/>
    </xf>
    <xf numFmtId="0" fontId="1" fillId="19" borderId="8" xfId="0" applyFont="1" applyFill="1" applyBorder="1" applyAlignment="1">
      <alignment wrapText="1"/>
    </xf>
    <xf numFmtId="0" fontId="3" fillId="19" borderId="8" xfId="0" applyFont="1" applyFill="1" applyBorder="1" applyAlignment="1">
      <alignment wrapText="1"/>
    </xf>
    <xf numFmtId="14" fontId="1" fillId="6" borderId="8" xfId="0" applyNumberFormat="1" applyFont="1" applyFill="1" applyBorder="1" applyAlignment="1" applyProtection="1">
      <alignment wrapText="1"/>
      <protection locked="0"/>
    </xf>
    <xf numFmtId="185" fontId="11" fillId="3" borderId="30" xfId="16" applyNumberFormat="1" applyFont="1" applyFill="1" applyBorder="1"/>
    <xf numFmtId="185" fontId="11" fillId="3" borderId="167" xfId="16" applyNumberFormat="1" applyFont="1" applyFill="1" applyBorder="1"/>
    <xf numFmtId="185" fontId="11" fillId="0" borderId="29" xfId="16" applyNumberFormat="1" applyFont="1" applyBorder="1"/>
    <xf numFmtId="185" fontId="11" fillId="0" borderId="30" xfId="16" applyNumberFormat="1" applyFont="1" applyBorder="1"/>
    <xf numFmtId="185" fontId="11" fillId="3" borderId="136" xfId="16" applyNumberFormat="1" applyFont="1" applyFill="1" applyBorder="1"/>
    <xf numFmtId="185" fontId="11" fillId="3" borderId="101" xfId="16" applyNumberFormat="1" applyFont="1" applyFill="1" applyBorder="1"/>
    <xf numFmtId="185" fontId="11" fillId="0" borderId="103" xfId="16" applyNumberFormat="1" applyFont="1" applyBorder="1"/>
    <xf numFmtId="185" fontId="11" fillId="0" borderId="136" xfId="16" applyNumberFormat="1" applyFont="1" applyBorder="1"/>
    <xf numFmtId="174" fontId="3" fillId="3" borderId="19" xfId="16" applyNumberFormat="1" applyFont="1" applyFill="1" applyBorder="1" applyAlignment="1">
      <alignment horizontal="center"/>
    </xf>
    <xf numFmtId="0" fontId="0" fillId="19" borderId="30" xfId="0" applyFill="1" applyBorder="1" applyAlignment="1">
      <alignment horizontal="center"/>
    </xf>
    <xf numFmtId="9" fontId="0" fillId="19" borderId="30" xfId="17" applyFont="1" applyFill="1" applyBorder="1"/>
    <xf numFmtId="44" fontId="1" fillId="19" borderId="30" xfId="3" applyFont="1" applyFill="1" applyBorder="1"/>
    <xf numFmtId="44" fontId="0" fillId="19" borderId="30" xfId="3" applyFont="1" applyFill="1" applyBorder="1"/>
    <xf numFmtId="0" fontId="0" fillId="18" borderId="170" xfId="0" applyFill="1" applyBorder="1" applyAlignment="1">
      <alignment horizontal="center"/>
    </xf>
    <xf numFmtId="9" fontId="0" fillId="19" borderId="170" xfId="17" applyFont="1" applyFill="1" applyBorder="1"/>
    <xf numFmtId="0" fontId="0" fillId="20" borderId="169" xfId="0" applyFill="1" applyBorder="1"/>
    <xf numFmtId="44" fontId="1" fillId="19" borderId="170" xfId="3" applyFont="1" applyFill="1" applyBorder="1"/>
    <xf numFmtId="44" fontId="0" fillId="19" borderId="170" xfId="3" applyFont="1" applyFill="1" applyBorder="1"/>
    <xf numFmtId="0" fontId="1" fillId="20" borderId="8" xfId="0" applyFont="1" applyFill="1" applyBorder="1"/>
    <xf numFmtId="0" fontId="0" fillId="20" borderId="8" xfId="0" applyFill="1" applyBorder="1"/>
    <xf numFmtId="44" fontId="11" fillId="3" borderId="128" xfId="3" applyFont="1" applyFill="1" applyBorder="1" applyAlignment="1" applyProtection="1">
      <alignment horizontal="center"/>
    </xf>
    <xf numFmtId="44" fontId="11" fillId="3" borderId="108" xfId="3" applyFont="1" applyFill="1" applyBorder="1" applyAlignment="1" applyProtection="1">
      <alignment horizontal="center"/>
    </xf>
    <xf numFmtId="44" fontId="11" fillId="3" borderId="132" xfId="3" applyFont="1" applyFill="1" applyBorder="1" applyAlignment="1" applyProtection="1">
      <alignment horizontal="center"/>
    </xf>
    <xf numFmtId="44" fontId="11" fillId="0" borderId="82" xfId="3" applyFont="1" applyFill="1" applyBorder="1" applyAlignment="1" applyProtection="1">
      <alignment horizontal="center"/>
    </xf>
    <xf numFmtId="44" fontId="0" fillId="20" borderId="0" xfId="0" applyNumberFormat="1" applyFill="1"/>
    <xf numFmtId="0" fontId="66" fillId="20" borderId="0" xfId="0" applyFont="1" applyFill="1"/>
    <xf numFmtId="0" fontId="1" fillId="0" borderId="126" xfId="0" applyFont="1" applyBorder="1" applyAlignment="1">
      <alignment horizontal="centerContinuous" vertical="top" wrapText="1"/>
    </xf>
    <xf numFmtId="0" fontId="1" fillId="6" borderId="6" xfId="7" applyFont="1" applyFill="1" applyBorder="1" applyAlignment="1">
      <alignment horizontal="center"/>
    </xf>
    <xf numFmtId="4" fontId="1" fillId="6" borderId="7" xfId="14" applyNumberFormat="1" applyFont="1" applyFill="1" applyBorder="1"/>
    <xf numFmtId="39" fontId="1" fillId="6" borderId="7" xfId="0" applyNumberFormat="1" applyFont="1" applyFill="1" applyBorder="1"/>
    <xf numFmtId="166" fontId="1" fillId="6" borderId="7" xfId="0" applyNumberFormat="1" applyFont="1" applyFill="1" applyBorder="1" applyAlignment="1">
      <alignment horizontal="right"/>
    </xf>
    <xf numFmtId="166" fontId="7" fillId="6" borderId="7" xfId="9" applyNumberFormat="1" applyFont="1" applyFill="1" applyBorder="1"/>
    <xf numFmtId="0" fontId="39" fillId="2" borderId="4" xfId="0" applyFont="1" applyFill="1" applyBorder="1" applyAlignment="1">
      <alignment horizontal="left" vertical="center" wrapText="1"/>
    </xf>
    <xf numFmtId="0" fontId="41" fillId="2" borderId="4" xfId="0" applyFont="1" applyFill="1" applyBorder="1" applyAlignment="1">
      <alignment horizontal="left" vertical="center" wrapText="1"/>
    </xf>
    <xf numFmtId="0" fontId="11" fillId="20" borderId="1" xfId="0" applyFont="1" applyFill="1" applyBorder="1"/>
    <xf numFmtId="0" fontId="0" fillId="20" borderId="4" xfId="0" applyFill="1" applyBorder="1"/>
    <xf numFmtId="0" fontId="11" fillId="20" borderId="4" xfId="0" applyFont="1" applyFill="1" applyBorder="1"/>
    <xf numFmtId="0" fontId="11" fillId="20" borderId="144" xfId="0" applyFont="1" applyFill="1" applyBorder="1"/>
    <xf numFmtId="167" fontId="11" fillId="20" borderId="0" xfId="0" applyNumberFormat="1" applyFont="1" applyFill="1"/>
    <xf numFmtId="167" fontId="0" fillId="20" borderId="0" xfId="0" applyNumberFormat="1" applyFill="1"/>
    <xf numFmtId="167" fontId="11" fillId="20" borderId="2" xfId="7" applyNumberFormat="1" applyFill="1" applyBorder="1"/>
    <xf numFmtId="167" fontId="11" fillId="20" borderId="0" xfId="7" applyNumberFormat="1" applyFill="1"/>
    <xf numFmtId="167" fontId="11" fillId="20" borderId="59" xfId="7" applyNumberFormat="1" applyFill="1" applyBorder="1"/>
    <xf numFmtId="0" fontId="3" fillId="20" borderId="65" xfId="0" applyFont="1" applyFill="1" applyBorder="1"/>
    <xf numFmtId="0" fontId="3" fillId="20" borderId="59" xfId="0" applyFont="1" applyFill="1" applyBorder="1" applyAlignment="1">
      <alignment wrapText="1"/>
    </xf>
    <xf numFmtId="0" fontId="0" fillId="20" borderId="79" xfId="0" applyFill="1" applyBorder="1"/>
    <xf numFmtId="0" fontId="0" fillId="20" borderId="6" xfId="0" applyFill="1" applyBorder="1"/>
    <xf numFmtId="0" fontId="11" fillId="20" borderId="6" xfId="0" applyFont="1" applyFill="1" applyBorder="1" applyAlignment="1">
      <alignment horizontal="left"/>
    </xf>
    <xf numFmtId="0" fontId="1" fillId="20" borderId="4" xfId="0" applyFont="1" applyFill="1" applyBorder="1"/>
    <xf numFmtId="0" fontId="1" fillId="20" borderId="6" xfId="0" applyFont="1" applyFill="1" applyBorder="1"/>
    <xf numFmtId="0" fontId="1" fillId="6" borderId="100" xfId="0" applyFont="1" applyFill="1" applyBorder="1" applyAlignment="1" applyProtection="1">
      <alignment wrapText="1"/>
      <protection locked="0"/>
    </xf>
    <xf numFmtId="0" fontId="1" fillId="0" borderId="0" xfId="0" applyFont="1" applyAlignment="1" applyProtection="1">
      <alignment wrapText="1"/>
      <protection locked="0"/>
    </xf>
    <xf numFmtId="0" fontId="1" fillId="6" borderId="8" xfId="0" applyFont="1" applyFill="1" applyBorder="1" applyAlignment="1" applyProtection="1">
      <alignment wrapText="1"/>
      <protection locked="0"/>
    </xf>
    <xf numFmtId="0" fontId="1" fillId="5" borderId="62" xfId="0" applyFont="1" applyFill="1" applyBorder="1" applyAlignment="1">
      <alignment vertical="top" wrapText="1"/>
    </xf>
    <xf numFmtId="169" fontId="14" fillId="3" borderId="57" xfId="0" applyNumberFormat="1" applyFont="1" applyFill="1" applyBorder="1" applyAlignment="1">
      <alignment vertical="center" wrapText="1"/>
    </xf>
    <xf numFmtId="0" fontId="1" fillId="5" borderId="138" xfId="0" applyFont="1" applyFill="1" applyBorder="1" applyAlignment="1" applyProtection="1">
      <alignment horizontal="left" wrapText="1"/>
      <protection locked="0"/>
    </xf>
    <xf numFmtId="2" fontId="1" fillId="5" borderId="141" xfId="0" applyNumberFormat="1" applyFont="1" applyFill="1" applyBorder="1" applyAlignment="1" applyProtection="1">
      <alignment wrapText="1"/>
      <protection locked="0"/>
    </xf>
    <xf numFmtId="173" fontId="5" fillId="2" borderId="63" xfId="16" applyFont="1" applyFill="1" applyBorder="1" applyAlignment="1">
      <alignment vertical="top" wrapText="1"/>
    </xf>
    <xf numFmtId="0" fontId="5" fillId="2" borderId="98" xfId="0" applyFont="1" applyFill="1" applyBorder="1" applyAlignment="1">
      <alignment vertical="top" wrapText="1"/>
    </xf>
    <xf numFmtId="0" fontId="5" fillId="2" borderId="108" xfId="0" applyFont="1" applyFill="1" applyBorder="1" applyAlignment="1">
      <alignment vertical="top" wrapText="1"/>
    </xf>
    <xf numFmtId="173" fontId="44" fillId="2" borderId="63" xfId="16" applyFont="1" applyFill="1" applyBorder="1" applyAlignment="1">
      <alignment horizontal="right"/>
    </xf>
    <xf numFmtId="169" fontId="44" fillId="2" borderId="98" xfId="0" applyNumberFormat="1" applyFont="1" applyFill="1" applyBorder="1" applyAlignment="1">
      <alignment vertical="top" wrapText="1"/>
    </xf>
    <xf numFmtId="169" fontId="44" fillId="2" borderId="108" xfId="0" applyNumberFormat="1" applyFont="1" applyFill="1" applyBorder="1" applyAlignment="1">
      <alignment vertical="top" wrapText="1"/>
    </xf>
    <xf numFmtId="173" fontId="5" fillId="2" borderId="109" xfId="16" applyFont="1" applyFill="1" applyBorder="1"/>
    <xf numFmtId="169" fontId="44" fillId="2" borderId="120" xfId="0" applyNumberFormat="1" applyFont="1" applyFill="1" applyBorder="1" applyAlignment="1">
      <alignment vertical="top" wrapText="1"/>
    </xf>
    <xf numFmtId="169" fontId="44" fillId="2" borderId="111" xfId="0" applyNumberFormat="1" applyFont="1" applyFill="1" applyBorder="1" applyAlignment="1">
      <alignment vertical="top" wrapText="1"/>
    </xf>
    <xf numFmtId="0" fontId="37" fillId="0" borderId="6" xfId="0" applyFont="1" applyBorder="1" applyAlignment="1">
      <alignment vertical="top" wrapText="1"/>
    </xf>
    <xf numFmtId="0" fontId="1" fillId="0" borderId="6" xfId="0" applyFont="1" applyBorder="1" applyAlignment="1">
      <alignment horizontal="left" vertical="top" wrapText="1" indent="1"/>
    </xf>
    <xf numFmtId="0" fontId="3" fillId="0" borderId="6" xfId="0" applyFont="1" applyBorder="1" applyAlignment="1">
      <alignment horizontal="left" vertical="top" wrapText="1" indent="1"/>
    </xf>
    <xf numFmtId="0" fontId="1" fillId="0" borderId="0" xfId="0" applyFont="1" applyAlignment="1">
      <alignment horizontal="left" vertical="top" wrapText="1" indent="1"/>
    </xf>
    <xf numFmtId="0" fontId="1" fillId="0" borderId="0" xfId="0" applyFont="1" applyAlignment="1">
      <alignment vertical="top" wrapText="1"/>
    </xf>
    <xf numFmtId="0" fontId="1" fillId="0" borderId="0" xfId="0" applyFont="1" applyAlignment="1">
      <alignment vertical="top"/>
    </xf>
    <xf numFmtId="1" fontId="67" fillId="0" borderId="0" xfId="0" applyNumberFormat="1" applyFont="1" applyAlignment="1">
      <alignment vertical="top" wrapText="1"/>
    </xf>
    <xf numFmtId="0" fontId="0" fillId="0" borderId="130" xfId="0" applyBorder="1" applyAlignment="1">
      <alignment vertical="top" wrapText="1"/>
    </xf>
    <xf numFmtId="0" fontId="1" fillId="0" borderId="67" xfId="0" applyFont="1" applyBorder="1" applyAlignment="1">
      <alignment horizontal="left" vertical="top" wrapText="1" indent="1"/>
    </xf>
    <xf numFmtId="172" fontId="0" fillId="0" borderId="0" xfId="1" applyNumberFormat="1" applyFont="1" applyAlignment="1">
      <alignment vertical="top" wrapText="1"/>
    </xf>
    <xf numFmtId="0" fontId="1" fillId="0" borderId="0" xfId="0" applyFont="1" applyAlignment="1">
      <alignment wrapText="1"/>
    </xf>
    <xf numFmtId="172" fontId="67" fillId="0" borderId="0" xfId="1" applyNumberFormat="1" applyFont="1" applyBorder="1" applyAlignment="1">
      <alignment vertical="top" wrapText="1"/>
    </xf>
    <xf numFmtId="186" fontId="7" fillId="0" borderId="0" xfId="20" applyNumberFormat="1" applyFont="1" applyAlignment="1">
      <alignment horizontal="right"/>
    </xf>
    <xf numFmtId="10" fontId="0" fillId="0" borderId="0" xfId="17" applyNumberFormat="1" applyFont="1"/>
    <xf numFmtId="2" fontId="14" fillId="3" borderId="37" xfId="0" applyNumberFormat="1" applyFont="1" applyFill="1" applyBorder="1" applyAlignment="1">
      <alignment vertical="top" wrapText="1"/>
    </xf>
    <xf numFmtId="0" fontId="0" fillId="0" borderId="129" xfId="0" applyBorder="1" applyAlignment="1">
      <alignment vertical="top" wrapText="1"/>
    </xf>
    <xf numFmtId="172" fontId="1" fillId="0" borderId="0" xfId="1" applyNumberFormat="1" applyFont="1" applyBorder="1" applyAlignment="1">
      <alignment vertical="top" wrapText="1"/>
    </xf>
    <xf numFmtId="43" fontId="0" fillId="0" borderId="0" xfId="0" applyNumberFormat="1" applyAlignment="1">
      <alignment vertical="top" wrapText="1"/>
    </xf>
    <xf numFmtId="1" fontId="14" fillId="3" borderId="8" xfId="0" applyNumberFormat="1" applyFont="1" applyFill="1" applyBorder="1" applyAlignment="1">
      <alignment vertical="top" wrapText="1"/>
    </xf>
    <xf numFmtId="0" fontId="0" fillId="4" borderId="8" xfId="0" applyFill="1" applyBorder="1" applyAlignment="1">
      <alignment vertical="top" wrapText="1"/>
    </xf>
    <xf numFmtId="3" fontId="14" fillId="5" borderId="8" xfId="0" applyNumberFormat="1" applyFont="1" applyFill="1" applyBorder="1" applyAlignment="1">
      <alignment vertical="top" wrapText="1"/>
    </xf>
    <xf numFmtId="9" fontId="14" fillId="5" borderId="8" xfId="0" applyNumberFormat="1" applyFont="1" applyFill="1" applyBorder="1" applyAlignment="1">
      <alignment vertical="top" wrapText="1"/>
    </xf>
    <xf numFmtId="3" fontId="14" fillId="5" borderId="8" xfId="0" applyNumberFormat="1" applyFont="1" applyFill="1" applyBorder="1" applyAlignment="1">
      <alignment horizontal="right" vertical="top" wrapText="1"/>
    </xf>
    <xf numFmtId="169" fontId="14" fillId="5" borderId="8" xfId="0" applyNumberFormat="1" applyFont="1" applyFill="1" applyBorder="1" applyAlignment="1">
      <alignment vertical="top" wrapText="1"/>
    </xf>
    <xf numFmtId="165" fontId="14" fillId="3" borderId="8" xfId="0" applyNumberFormat="1" applyFont="1" applyFill="1" applyBorder="1" applyAlignment="1">
      <alignment vertical="top" wrapText="1"/>
    </xf>
    <xf numFmtId="0" fontId="0" fillId="6" borderId="55" xfId="0" applyFill="1" applyBorder="1" applyAlignment="1">
      <alignment horizontal="left" vertical="top"/>
    </xf>
    <xf numFmtId="1" fontId="14" fillId="3" borderId="136" xfId="0" quotePrefix="1" applyNumberFormat="1" applyFont="1" applyFill="1" applyBorder="1" applyAlignment="1">
      <alignment vertical="top" wrapText="1"/>
    </xf>
    <xf numFmtId="0" fontId="0" fillId="4" borderId="136" xfId="0" applyFill="1" applyBorder="1" applyAlignment="1">
      <alignment vertical="top" wrapText="1"/>
    </xf>
    <xf numFmtId="1" fontId="14" fillId="3" borderId="136" xfId="0" applyNumberFormat="1" applyFont="1" applyFill="1" applyBorder="1" applyAlignment="1">
      <alignment vertical="top" wrapText="1"/>
    </xf>
    <xf numFmtId="165" fontId="14" fillId="5" borderId="136" xfId="0" applyNumberFormat="1" applyFont="1" applyFill="1" applyBorder="1" applyAlignment="1">
      <alignment vertical="top" wrapText="1"/>
    </xf>
    <xf numFmtId="0" fontId="36" fillId="21" borderId="2" xfId="0" applyFont="1" applyFill="1" applyBorder="1" applyAlignment="1">
      <alignment vertical="top" wrapText="1"/>
    </xf>
    <xf numFmtId="0" fontId="0" fillId="21" borderId="2" xfId="0" applyFill="1" applyBorder="1" applyAlignment="1">
      <alignment vertical="top" wrapText="1"/>
    </xf>
    <xf numFmtId="0" fontId="5" fillId="21" borderId="81" xfId="0" applyFont="1" applyFill="1" applyBorder="1" applyAlignment="1">
      <alignment vertical="top" wrapText="1"/>
    </xf>
    <xf numFmtId="0" fontId="0" fillId="21" borderId="82" xfId="0" applyFill="1" applyBorder="1" applyAlignment="1">
      <alignment vertical="top" wrapText="1"/>
    </xf>
    <xf numFmtId="0" fontId="14" fillId="0" borderId="17" xfId="0" applyFont="1" applyBorder="1" applyAlignment="1">
      <alignment horizontal="left" vertical="top" wrapText="1" indent="1"/>
    </xf>
    <xf numFmtId="0" fontId="14" fillId="0" borderId="173" xfId="0" applyFont="1" applyBorder="1" applyAlignment="1">
      <alignment horizontal="left" vertical="top" wrapText="1" indent="1"/>
    </xf>
    <xf numFmtId="0" fontId="0" fillId="6" borderId="108" xfId="0" applyFill="1" applyBorder="1" applyAlignment="1">
      <alignment horizontal="left" vertical="top"/>
    </xf>
    <xf numFmtId="0" fontId="14" fillId="0" borderId="20" xfId="0" applyFont="1" applyBorder="1" applyAlignment="1">
      <alignment horizontal="left" vertical="top" wrapText="1" indent="1"/>
    </xf>
    <xf numFmtId="0" fontId="0" fillId="4" borderId="22" xfId="0" applyFill="1" applyBorder="1" applyAlignment="1">
      <alignment vertical="top" wrapText="1"/>
    </xf>
    <xf numFmtId="0" fontId="3" fillId="0" borderId="0" xfId="0" applyFont="1" applyAlignment="1">
      <alignment vertical="top"/>
    </xf>
    <xf numFmtId="0" fontId="62" fillId="0" borderId="0" xfId="0" applyFont="1"/>
    <xf numFmtId="170" fontId="71" fillId="0" borderId="0" xfId="0" applyNumberFormat="1" applyFont="1" applyAlignment="1">
      <alignment vertical="top" wrapText="1"/>
    </xf>
    <xf numFmtId="187" fontId="7" fillId="0" borderId="0" xfId="20" applyNumberFormat="1" applyFont="1" applyAlignment="1">
      <alignment horizontal="right"/>
    </xf>
    <xf numFmtId="0" fontId="1" fillId="0" borderId="0" xfId="0" applyFont="1" applyAlignment="1">
      <alignment horizontal="right"/>
    </xf>
    <xf numFmtId="0" fontId="72" fillId="0" borderId="0" xfId="0" applyFont="1"/>
    <xf numFmtId="0" fontId="14" fillId="5" borderId="8" xfId="0" applyFont="1" applyFill="1" applyBorder="1" applyAlignment="1">
      <alignment vertical="top" wrapText="1"/>
    </xf>
    <xf numFmtId="165" fontId="14" fillId="3" borderId="22" xfId="0" applyNumberFormat="1" applyFont="1" applyFill="1" applyBorder="1" applyAlignment="1">
      <alignment vertical="top" wrapText="1"/>
    </xf>
    <xf numFmtId="0" fontId="37" fillId="20" borderId="24" xfId="0" applyFont="1" applyFill="1" applyBorder="1" applyAlignment="1">
      <alignment horizontal="left" vertical="center" wrapText="1"/>
    </xf>
    <xf numFmtId="0" fontId="36" fillId="20" borderId="76" xfId="0" applyFont="1" applyFill="1" applyBorder="1" applyAlignment="1">
      <alignment vertical="center" wrapText="1"/>
    </xf>
    <xf numFmtId="0" fontId="0" fillId="20" borderId="65" xfId="0" applyFill="1" applyBorder="1" applyAlignment="1">
      <alignment vertical="center" wrapText="1"/>
    </xf>
    <xf numFmtId="0" fontId="0" fillId="20" borderId="66" xfId="0" applyFill="1" applyBorder="1" applyAlignment="1">
      <alignment vertical="center" wrapText="1"/>
    </xf>
    <xf numFmtId="0" fontId="37" fillId="20" borderId="40" xfId="0" applyFont="1" applyFill="1" applyBorder="1" applyAlignment="1">
      <alignment vertical="center" wrapText="1"/>
    </xf>
    <xf numFmtId="0" fontId="36" fillId="20" borderId="106" xfId="0" applyFont="1" applyFill="1" applyBorder="1" applyAlignment="1">
      <alignment vertical="center" wrapText="1"/>
    </xf>
    <xf numFmtId="0" fontId="0" fillId="20" borderId="106" xfId="0" applyFill="1" applyBorder="1" applyAlignment="1">
      <alignment vertical="center" wrapText="1"/>
    </xf>
    <xf numFmtId="0" fontId="0" fillId="20" borderId="107" xfId="0" applyFill="1" applyBorder="1" applyAlignment="1">
      <alignment vertical="center" wrapText="1"/>
    </xf>
    <xf numFmtId="0" fontId="14" fillId="20" borderId="98" xfId="0" applyFont="1" applyFill="1" applyBorder="1" applyAlignment="1">
      <alignment vertical="top" wrapText="1"/>
    </xf>
    <xf numFmtId="0" fontId="14" fillId="20" borderId="108" xfId="0" applyFont="1" applyFill="1" applyBorder="1" applyAlignment="1">
      <alignment vertical="top" wrapText="1"/>
    </xf>
    <xf numFmtId="178" fontId="14" fillId="20" borderId="98" xfId="0" applyNumberFormat="1" applyFont="1" applyFill="1" applyBorder="1" applyAlignment="1">
      <alignment vertical="top" wrapText="1"/>
    </xf>
    <xf numFmtId="0" fontId="5" fillId="20" borderId="108" xfId="0" applyFont="1" applyFill="1" applyBorder="1" applyAlignment="1">
      <alignment vertical="top" wrapText="1"/>
    </xf>
    <xf numFmtId="0" fontId="14" fillId="20" borderId="63" xfId="0" applyFont="1" applyFill="1" applyBorder="1" applyAlignment="1">
      <alignment horizontal="left" vertical="top" wrapText="1"/>
    </xf>
    <xf numFmtId="0" fontId="14" fillId="20" borderId="98" xfId="0" applyFont="1" applyFill="1" applyBorder="1" applyAlignment="1">
      <alignment horizontal="left" vertical="top" wrapText="1"/>
    </xf>
    <xf numFmtId="0" fontId="14" fillId="20" borderId="139" xfId="0" applyFont="1" applyFill="1" applyBorder="1" applyAlignment="1">
      <alignment horizontal="left" vertical="top" wrapText="1"/>
    </xf>
    <xf numFmtId="0" fontId="14" fillId="20" borderId="140" xfId="0" applyFont="1" applyFill="1" applyBorder="1" applyAlignment="1">
      <alignment horizontal="left" vertical="top" wrapText="1"/>
    </xf>
    <xf numFmtId="178" fontId="14" fillId="20" borderId="140" xfId="0" applyNumberFormat="1" applyFont="1" applyFill="1" applyBorder="1" applyAlignment="1">
      <alignment vertical="top" wrapText="1"/>
    </xf>
    <xf numFmtId="0" fontId="14" fillId="20" borderId="125" xfId="0" applyFont="1" applyFill="1" applyBorder="1" applyAlignment="1">
      <alignment vertical="top" wrapText="1"/>
    </xf>
    <xf numFmtId="0" fontId="1" fillId="22" borderId="6" xfId="0" applyFont="1" applyFill="1" applyBorder="1" applyAlignment="1">
      <alignment horizontal="left" vertical="top" wrapText="1" indent="1"/>
    </xf>
    <xf numFmtId="2" fontId="0" fillId="22" borderId="0" xfId="0" applyNumberFormat="1" applyFill="1" applyAlignment="1">
      <alignment vertical="top" wrapText="1"/>
    </xf>
    <xf numFmtId="0" fontId="0" fillId="22" borderId="0" xfId="0" applyFill="1" applyAlignment="1">
      <alignment vertical="top" wrapText="1"/>
    </xf>
    <xf numFmtId="172" fontId="1" fillId="22" borderId="0" xfId="1" applyNumberFormat="1" applyFont="1" applyFill="1" applyBorder="1" applyAlignment="1">
      <alignment vertical="top" wrapText="1"/>
    </xf>
    <xf numFmtId="0" fontId="1" fillId="22" borderId="0" xfId="0" applyFont="1" applyFill="1" applyAlignment="1">
      <alignment vertical="top" wrapText="1"/>
    </xf>
    <xf numFmtId="1" fontId="0" fillId="22" borderId="0" xfId="0" applyNumberFormat="1" applyFill="1" applyAlignment="1">
      <alignment vertical="top" wrapText="1"/>
    </xf>
    <xf numFmtId="183" fontId="1" fillId="22" borderId="0" xfId="1" applyNumberFormat="1" applyFont="1" applyFill="1" applyBorder="1" applyAlignment="1">
      <alignment vertical="top" wrapText="1"/>
    </xf>
    <xf numFmtId="0" fontId="1" fillId="22" borderId="0" xfId="0" applyFont="1" applyFill="1" applyAlignment="1">
      <alignment vertical="top"/>
    </xf>
    <xf numFmtId="43" fontId="1" fillId="22" borderId="0" xfId="1" applyFont="1" applyFill="1" applyBorder="1" applyAlignment="1">
      <alignment vertical="top" wrapText="1"/>
    </xf>
    <xf numFmtId="178" fontId="14" fillId="22" borderId="98" xfId="0" applyNumberFormat="1" applyFont="1" applyFill="1" applyBorder="1" applyAlignment="1">
      <alignment vertical="top" wrapText="1"/>
    </xf>
    <xf numFmtId="0" fontId="14" fillId="22" borderId="63" xfId="0" applyFont="1" applyFill="1" applyBorder="1" applyAlignment="1">
      <alignment horizontal="left" vertical="top" wrapText="1"/>
    </xf>
    <xf numFmtId="0" fontId="14" fillId="22" borderId="98" xfId="0" applyFont="1" applyFill="1" applyBorder="1" applyAlignment="1">
      <alignment horizontal="left" vertical="top" wrapText="1"/>
    </xf>
    <xf numFmtId="178" fontId="5" fillId="22" borderId="98" xfId="0" applyNumberFormat="1" applyFont="1" applyFill="1" applyBorder="1" applyAlignment="1">
      <alignment vertical="top" wrapText="1"/>
    </xf>
    <xf numFmtId="172" fontId="14" fillId="22" borderId="0" xfId="0" applyNumberFormat="1" applyFont="1" applyFill="1" applyAlignment="1">
      <alignment vertical="top" wrapText="1"/>
    </xf>
    <xf numFmtId="169" fontId="14" fillId="22" borderId="128" xfId="0" applyNumberFormat="1" applyFont="1" applyFill="1" applyBorder="1" applyAlignment="1">
      <alignment vertical="top" wrapText="1"/>
    </xf>
    <xf numFmtId="169" fontId="14" fillId="22" borderId="108" xfId="0" applyNumberFormat="1" applyFont="1" applyFill="1" applyBorder="1" applyAlignment="1">
      <alignment vertical="top" wrapText="1"/>
    </xf>
    <xf numFmtId="10" fontId="5" fillId="5" borderId="8" xfId="0" applyNumberFormat="1" applyFont="1" applyFill="1" applyBorder="1" applyAlignment="1">
      <alignment vertical="top" wrapText="1"/>
    </xf>
    <xf numFmtId="169" fontId="14" fillId="22" borderId="110" xfId="0" applyNumberFormat="1" applyFont="1" applyFill="1" applyBorder="1" applyAlignment="1">
      <alignment vertical="top" wrapText="1"/>
    </xf>
    <xf numFmtId="169" fontId="14" fillId="22" borderId="176" xfId="0" applyNumberFormat="1" applyFont="1" applyFill="1" applyBorder="1" applyAlignment="1">
      <alignment vertical="top" wrapText="1"/>
    </xf>
    <xf numFmtId="172" fontId="3" fillId="22" borderId="0" xfId="1" applyNumberFormat="1" applyFont="1" applyFill="1" applyBorder="1" applyAlignment="1">
      <alignment vertical="top" wrapText="1"/>
    </xf>
    <xf numFmtId="0" fontId="3" fillId="0" borderId="1" xfId="0" applyFont="1" applyBorder="1"/>
    <xf numFmtId="0" fontId="3" fillId="0" borderId="2" xfId="0" applyFont="1" applyBorder="1"/>
    <xf numFmtId="0" fontId="3" fillId="20" borderId="2" xfId="0" applyFont="1" applyFill="1" applyBorder="1"/>
    <xf numFmtId="0" fontId="1" fillId="16" borderId="2" xfId="0" applyFont="1" applyFill="1" applyBorder="1"/>
    <xf numFmtId="0" fontId="0" fillId="16" borderId="2" xfId="0" applyFill="1" applyBorder="1"/>
    <xf numFmtId="0" fontId="0" fillId="16" borderId="3" xfId="0" applyFill="1" applyBorder="1"/>
    <xf numFmtId="0" fontId="3" fillId="0" borderId="5" xfId="0" applyFont="1" applyBorder="1"/>
    <xf numFmtId="0" fontId="0" fillId="0" borderId="143" xfId="0" applyBorder="1"/>
    <xf numFmtId="0" fontId="0" fillId="0" borderId="3" xfId="0" applyBorder="1"/>
    <xf numFmtId="0" fontId="3" fillId="0" borderId="4" xfId="0" applyFont="1" applyBorder="1"/>
    <xf numFmtId="0" fontId="11" fillId="0" borderId="4" xfId="0" applyFont="1" applyBorder="1" applyAlignment="1">
      <alignment horizontal="left"/>
    </xf>
    <xf numFmtId="0" fontId="11" fillId="0" borderId="58" xfId="0" applyFont="1" applyBorder="1"/>
    <xf numFmtId="167" fontId="0" fillId="0" borderId="59" xfId="0" applyNumberFormat="1" applyBorder="1"/>
    <xf numFmtId="0" fontId="11" fillId="20" borderId="58" xfId="0" applyFont="1" applyFill="1" applyBorder="1"/>
    <xf numFmtId="0" fontId="0" fillId="0" borderId="58" xfId="0" applyBorder="1"/>
    <xf numFmtId="0" fontId="18" fillId="0" borderId="59" xfId="0" applyFont="1" applyBorder="1"/>
    <xf numFmtId="39" fontId="3" fillId="6" borderId="7" xfId="0" applyNumberFormat="1" applyFont="1" applyFill="1" applyBorder="1"/>
    <xf numFmtId="0" fontId="0" fillId="23" borderId="0" xfId="0" applyFill="1"/>
    <xf numFmtId="0" fontId="3" fillId="23" borderId="0" xfId="0" applyFont="1" applyFill="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0" fillId="24" borderId="137" xfId="0" applyFill="1" applyBorder="1"/>
    <xf numFmtId="0" fontId="0" fillId="24" borderId="171" xfId="0" applyFill="1" applyBorder="1"/>
    <xf numFmtId="0" fontId="0" fillId="24" borderId="135" xfId="0" applyFill="1" applyBorder="1"/>
    <xf numFmtId="0" fontId="0" fillId="24" borderId="99" xfId="0" applyFill="1" applyBorder="1"/>
    <xf numFmtId="0" fontId="0" fillId="24" borderId="138" xfId="0" applyFill="1" applyBorder="1"/>
    <xf numFmtId="0" fontId="0" fillId="24" borderId="55" xfId="0" applyFill="1" applyBorder="1"/>
    <xf numFmtId="0" fontId="0" fillId="24" borderId="8" xfId="0" applyFill="1" applyBorder="1"/>
    <xf numFmtId="0" fontId="0" fillId="24" borderId="100" xfId="0" applyFill="1" applyBorder="1"/>
    <xf numFmtId="0" fontId="0" fillId="24" borderId="145" xfId="0" applyFill="1" applyBorder="1"/>
    <xf numFmtId="0" fontId="0" fillId="24" borderId="172" xfId="0" applyFill="1" applyBorder="1"/>
    <xf numFmtId="0" fontId="0" fillId="24" borderId="136" xfId="0" applyFill="1" applyBorder="1"/>
    <xf numFmtId="0" fontId="0" fillId="24" borderId="101" xfId="0" applyFill="1" applyBorder="1"/>
    <xf numFmtId="0" fontId="1" fillId="0" borderId="98" xfId="0" applyFont="1" applyBorder="1"/>
    <xf numFmtId="3" fontId="1" fillId="0" borderId="115" xfId="0" applyNumberFormat="1" applyFont="1" applyBorder="1"/>
    <xf numFmtId="3" fontId="1" fillId="0" borderId="98" xfId="0" applyNumberFormat="1" applyFont="1" applyBorder="1"/>
    <xf numFmtId="3" fontId="1" fillId="0" borderId="116" xfId="0" applyNumberFormat="1" applyFont="1" applyBorder="1"/>
    <xf numFmtId="165" fontId="1" fillId="0" borderId="98" xfId="0" applyNumberFormat="1" applyFont="1" applyBorder="1"/>
    <xf numFmtId="0" fontId="3" fillId="0" borderId="1" xfId="0" applyFont="1" applyBorder="1" applyAlignment="1">
      <alignment wrapText="1"/>
    </xf>
    <xf numFmtId="0" fontId="3" fillId="0" borderId="62" xfId="0" applyFont="1" applyBorder="1" applyAlignment="1">
      <alignment horizontal="center" vertical="center" wrapText="1"/>
    </xf>
    <xf numFmtId="0" fontId="3" fillId="0" borderId="89" xfId="0" applyFont="1" applyBorder="1"/>
    <xf numFmtId="0" fontId="0" fillId="3" borderId="112" xfId="0" applyFill="1" applyBorder="1"/>
    <xf numFmtId="165" fontId="0" fillId="3" borderId="146" xfId="0" applyNumberFormat="1" applyFill="1" applyBorder="1"/>
    <xf numFmtId="0" fontId="0" fillId="3" borderId="115" xfId="0" applyFill="1" applyBorder="1"/>
    <xf numFmtId="165" fontId="0" fillId="3" borderId="141" xfId="0" applyNumberFormat="1" applyFill="1" applyBorder="1"/>
    <xf numFmtId="0" fontId="1" fillId="3" borderId="115" xfId="0" applyFont="1" applyFill="1" applyBorder="1"/>
    <xf numFmtId="165" fontId="1" fillId="3" borderId="141"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7" xfId="0" applyNumberFormat="1" applyFill="1" applyBorder="1"/>
    <xf numFmtId="0" fontId="5" fillId="0" borderId="143" xfId="0" applyFont="1" applyBorder="1" applyAlignment="1">
      <alignment horizontal="centerContinuous" wrapText="1"/>
    </xf>
    <xf numFmtId="0" fontId="5" fillId="0" borderId="79" xfId="0" applyFont="1" applyBorder="1" applyAlignment="1">
      <alignment horizontal="centerContinuous" wrapText="1"/>
    </xf>
    <xf numFmtId="0" fontId="5" fillId="0" borderId="64" xfId="0" applyFont="1" applyBorder="1" applyAlignment="1">
      <alignment horizontal="centerContinuous" wrapText="1"/>
    </xf>
    <xf numFmtId="15" fontId="1" fillId="0" borderId="0" xfId="0" applyNumberFormat="1" applyFont="1" applyAlignment="1" applyProtection="1">
      <alignment horizontal="left" wrapText="1"/>
      <protection locked="0"/>
    </xf>
    <xf numFmtId="0" fontId="1" fillId="0" borderId="0" xfId="0" applyFont="1" applyProtection="1">
      <protection locked="0"/>
    </xf>
    <xf numFmtId="3" fontId="1" fillId="6" borderId="16" xfId="0" applyNumberFormat="1" applyFont="1" applyFill="1" applyBorder="1" applyAlignment="1" applyProtection="1">
      <alignment horizontal="left" wrapText="1"/>
      <protection locked="0"/>
    </xf>
    <xf numFmtId="0" fontId="1" fillId="6" borderId="8" xfId="0" applyFont="1" applyFill="1" applyBorder="1" applyProtection="1">
      <protection locked="0"/>
    </xf>
    <xf numFmtId="0" fontId="3" fillId="0" borderId="138" xfId="0" applyFont="1" applyBorder="1" applyProtection="1">
      <protection locked="0"/>
    </xf>
    <xf numFmtId="0" fontId="3" fillId="0" borderId="100" xfId="0" applyFont="1" applyBorder="1" applyAlignment="1" applyProtection="1">
      <alignment wrapText="1"/>
      <protection locked="0"/>
    </xf>
    <xf numFmtId="15" fontId="1" fillId="6" borderId="138" xfId="0" applyNumberFormat="1" applyFont="1" applyFill="1" applyBorder="1" applyAlignment="1" applyProtection="1">
      <alignment horizontal="right" wrapText="1"/>
      <protection locked="0"/>
    </xf>
    <xf numFmtId="9" fontId="0" fillId="20" borderId="0" xfId="0" applyNumberFormat="1" applyFill="1"/>
    <xf numFmtId="9" fontId="0" fillId="20" borderId="0" xfId="0" quotePrefix="1" applyNumberFormat="1" applyFill="1"/>
    <xf numFmtId="0" fontId="1" fillId="21" borderId="8" xfId="0" applyFont="1" applyFill="1" applyBorder="1"/>
    <xf numFmtId="9" fontId="0" fillId="21" borderId="8" xfId="0" applyNumberFormat="1" applyFill="1" applyBorder="1"/>
    <xf numFmtId="0" fontId="0" fillId="21" borderId="8" xfId="0" applyFill="1" applyBorder="1"/>
    <xf numFmtId="9" fontId="1" fillId="19" borderId="8" xfId="17" applyFont="1" applyFill="1" applyBorder="1"/>
    <xf numFmtId="0" fontId="0" fillId="18" borderId="55" xfId="0" applyFill="1" applyBorder="1" applyAlignment="1">
      <alignment horizontal="center"/>
    </xf>
    <xf numFmtId="172" fontId="0" fillId="20" borderId="0" xfId="0" applyNumberFormat="1" applyFill="1"/>
    <xf numFmtId="172" fontId="0" fillId="20" borderId="0" xfId="1" applyNumberFormat="1" applyFont="1" applyFill="1"/>
    <xf numFmtId="10" fontId="0" fillId="20" borderId="0" xfId="0" applyNumberFormat="1" applyFill="1"/>
    <xf numFmtId="9" fontId="1" fillId="25" borderId="8" xfId="17" applyFont="1" applyFill="1" applyBorder="1"/>
    <xf numFmtId="183" fontId="1" fillId="25" borderId="8" xfId="1" applyNumberFormat="1" applyFont="1" applyFill="1" applyBorder="1"/>
    <xf numFmtId="0" fontId="76" fillId="20" borderId="0" xfId="0" applyFont="1" applyFill="1"/>
    <xf numFmtId="14" fontId="1" fillId="6" borderId="136" xfId="0" applyNumberFormat="1" applyFont="1" applyFill="1" applyBorder="1" applyAlignment="1" applyProtection="1">
      <alignment wrapText="1"/>
      <protection locked="0"/>
    </xf>
    <xf numFmtId="173" fontId="17" fillId="0" borderId="12" xfId="16" applyFont="1" applyBorder="1"/>
    <xf numFmtId="173" fontId="1" fillId="3" borderId="18" xfId="16" applyFont="1" applyFill="1" applyBorder="1"/>
    <xf numFmtId="170" fontId="1" fillId="3" borderId="19" xfId="16" applyNumberFormat="1" applyFont="1" applyFill="1" applyBorder="1"/>
    <xf numFmtId="173" fontId="1" fillId="3" borderId="20" xfId="16" applyFont="1" applyFill="1" applyBorder="1"/>
    <xf numFmtId="173" fontId="1" fillId="3" borderId="21" xfId="16" applyFont="1" applyFill="1" applyBorder="1"/>
    <xf numFmtId="170" fontId="1" fillId="3" borderId="22" xfId="16" applyNumberFormat="1" applyFont="1" applyFill="1" applyBorder="1"/>
    <xf numFmtId="170" fontId="1" fillId="3" borderId="23" xfId="16" applyNumberFormat="1" applyFont="1" applyFill="1" applyBorder="1"/>
    <xf numFmtId="0" fontId="0" fillId="17" borderId="0" xfId="0" applyFill="1"/>
    <xf numFmtId="0" fontId="18" fillId="4" borderId="0" xfId="0" applyFont="1" applyFill="1" applyAlignment="1">
      <alignment horizontal="center" vertical="top" wrapText="1"/>
    </xf>
    <xf numFmtId="0" fontId="77" fillId="2" borderId="4" xfId="0" applyFont="1" applyFill="1" applyBorder="1" applyAlignment="1">
      <alignment vertical="top" wrapText="1"/>
    </xf>
    <xf numFmtId="0" fontId="3" fillId="0" borderId="0" xfId="0" applyFont="1" applyAlignment="1" applyProtection="1">
      <alignment horizontal="left" vertical="center" wrapText="1"/>
      <protection locked="0"/>
    </xf>
    <xf numFmtId="14" fontId="3" fillId="6" borderId="138" xfId="0" applyNumberFormat="1" applyFont="1" applyFill="1" applyBorder="1" applyAlignment="1" applyProtection="1">
      <alignment wrapText="1"/>
      <protection locked="0"/>
    </xf>
    <xf numFmtId="14" fontId="1" fillId="6" borderId="100" xfId="0" applyNumberFormat="1" applyFont="1" applyFill="1" applyBorder="1" applyAlignment="1" applyProtection="1">
      <alignment wrapText="1"/>
      <protection locked="0"/>
    </xf>
    <xf numFmtId="14" fontId="1" fillId="6" borderId="138" xfId="0" applyNumberFormat="1" applyFont="1" applyFill="1" applyBorder="1" applyAlignment="1" applyProtection="1">
      <alignment wrapText="1"/>
      <protection locked="0"/>
    </xf>
    <xf numFmtId="14" fontId="1" fillId="6" borderId="145" xfId="0" applyNumberFormat="1" applyFont="1" applyFill="1" applyBorder="1" applyAlignment="1" applyProtection="1">
      <alignment wrapText="1"/>
      <protection locked="0"/>
    </xf>
    <xf numFmtId="14" fontId="1" fillId="6" borderId="101" xfId="0" applyNumberFormat="1" applyFont="1" applyFill="1" applyBorder="1" applyAlignment="1" applyProtection="1">
      <alignment wrapText="1"/>
      <protection locked="0"/>
    </xf>
    <xf numFmtId="0" fontId="0" fillId="20" borderId="0" xfId="0" applyFill="1" applyProtection="1">
      <protection locked="0"/>
    </xf>
    <xf numFmtId="0" fontId="3" fillId="20" borderId="0" xfId="0" applyFont="1" applyFill="1" applyProtection="1">
      <protection locked="0"/>
    </xf>
    <xf numFmtId="173" fontId="45" fillId="20" borderId="0" xfId="16" applyFont="1" applyFill="1" applyAlignment="1">
      <alignment horizontal="left"/>
    </xf>
    <xf numFmtId="0" fontId="1" fillId="0" borderId="8" xfId="0" applyFont="1" applyBorder="1"/>
    <xf numFmtId="166" fontId="0" fillId="20" borderId="8" xfId="0" applyNumberFormat="1" applyFill="1" applyBorder="1"/>
    <xf numFmtId="166" fontId="1" fillId="20" borderId="8" xfId="0" applyNumberFormat="1" applyFont="1" applyFill="1" applyBorder="1"/>
    <xf numFmtId="166" fontId="1" fillId="22" borderId="8" xfId="0" applyNumberFormat="1" applyFont="1" applyFill="1" applyBorder="1"/>
    <xf numFmtId="0" fontId="1" fillId="22" borderId="55" xfId="0" applyFont="1" applyFill="1" applyBorder="1" applyAlignment="1">
      <alignment horizontal="left" indent="1"/>
    </xf>
    <xf numFmtId="0" fontId="1" fillId="22" borderId="98" xfId="0" applyFont="1" applyFill="1" applyBorder="1" applyAlignment="1">
      <alignment horizontal="left" indent="1"/>
    </xf>
    <xf numFmtId="0" fontId="1" fillId="22" borderId="18" xfId="0" applyFont="1" applyFill="1" applyBorder="1" applyAlignment="1">
      <alignment horizontal="left" indent="1"/>
    </xf>
    <xf numFmtId="0" fontId="0" fillId="28" borderId="8" xfId="0" applyFill="1" applyBorder="1"/>
    <xf numFmtId="0" fontId="81" fillId="6" borderId="67" xfId="7" applyFont="1" applyFill="1" applyBorder="1" applyAlignment="1">
      <alignment horizontal="center"/>
    </xf>
    <xf numFmtId="4" fontId="81" fillId="6" borderId="110" xfId="14" applyNumberFormat="1" applyFont="1" applyFill="1" applyBorder="1"/>
    <xf numFmtId="0" fontId="81" fillId="6" borderId="6" xfId="7" applyFont="1" applyFill="1" applyBorder="1" applyAlignment="1">
      <alignment horizontal="center"/>
    </xf>
    <xf numFmtId="4" fontId="82" fillId="6" borderId="7" xfId="14" applyNumberFormat="1" applyFont="1" applyFill="1" applyBorder="1"/>
    <xf numFmtId="0" fontId="4" fillId="0" borderId="0" xfId="5" applyAlignment="1" applyProtection="1"/>
    <xf numFmtId="39" fontId="83" fillId="6" borderId="7" xfId="9" applyNumberFormat="1" applyFont="1" applyFill="1" applyBorder="1"/>
    <xf numFmtId="39" fontId="83" fillId="6" borderId="110" xfId="9" applyNumberFormat="1" applyFont="1" applyFill="1" applyBorder="1"/>
    <xf numFmtId="0" fontId="81" fillId="6" borderId="6" xfId="0" applyFont="1" applyFill="1" applyBorder="1" applyAlignment="1">
      <alignment horizontal="center"/>
    </xf>
    <xf numFmtId="180" fontId="81" fillId="6" borderId="7" xfId="0" applyNumberFormat="1" applyFont="1" applyFill="1" applyBorder="1" applyAlignment="1">
      <alignment horizontal="center"/>
    </xf>
    <xf numFmtId="0" fontId="81" fillId="6" borderId="67" xfId="0" applyFont="1" applyFill="1" applyBorder="1" applyAlignment="1">
      <alignment horizontal="center"/>
    </xf>
    <xf numFmtId="180" fontId="81" fillId="6" borderId="110" xfId="0" applyNumberFormat="1" applyFont="1" applyFill="1" applyBorder="1" applyAlignment="1">
      <alignment horizontal="center"/>
    </xf>
    <xf numFmtId="0" fontId="4" fillId="0" borderId="0" xfId="5" applyFill="1" applyBorder="1" applyAlignment="1" applyProtection="1"/>
    <xf numFmtId="166" fontId="81" fillId="6" borderId="7" xfId="9" applyNumberFormat="1" applyFont="1" applyFill="1" applyBorder="1"/>
    <xf numFmtId="166" fontId="81" fillId="6" borderId="110" xfId="9" applyNumberFormat="1" applyFont="1" applyFill="1" applyBorder="1"/>
    <xf numFmtId="0" fontId="1" fillId="6" borderId="18" xfId="0" applyFont="1" applyFill="1" applyBorder="1" applyAlignment="1" applyProtection="1">
      <alignment wrapText="1"/>
      <protection locked="0"/>
    </xf>
    <xf numFmtId="178" fontId="1" fillId="5" borderId="100" xfId="3" applyNumberFormat="1" applyFont="1" applyFill="1" applyBorder="1" applyAlignment="1" applyProtection="1">
      <alignment wrapText="1"/>
      <protection locked="0"/>
    </xf>
    <xf numFmtId="0" fontId="1" fillId="22" borderId="8" xfId="0" applyFont="1" applyFill="1" applyBorder="1"/>
    <xf numFmtId="0" fontId="0" fillId="22" borderId="8" xfId="0" applyFill="1" applyBorder="1"/>
    <xf numFmtId="0" fontId="1" fillId="6" borderId="0" xfId="0" applyFont="1" applyFill="1" applyAlignment="1">
      <alignment vertical="top" wrapText="1"/>
    </xf>
    <xf numFmtId="0" fontId="1" fillId="6" borderId="135" xfId="0" applyFont="1" applyFill="1" applyBorder="1" applyAlignment="1" applyProtection="1">
      <alignment wrapText="1"/>
      <protection locked="0"/>
    </xf>
    <xf numFmtId="44" fontId="0" fillId="0" borderId="0" xfId="0" applyNumberFormat="1" applyProtection="1">
      <protection locked="0"/>
    </xf>
    <xf numFmtId="170" fontId="1" fillId="5" borderId="137" xfId="0" applyNumberFormat="1" applyFont="1" applyFill="1" applyBorder="1" applyAlignment="1">
      <alignment vertical="top" wrapText="1"/>
    </xf>
    <xf numFmtId="9" fontId="1" fillId="5" borderId="89" xfId="17" applyFont="1" applyFill="1" applyBorder="1" applyAlignment="1">
      <alignment vertical="top" wrapText="1"/>
    </xf>
    <xf numFmtId="9" fontId="1" fillId="5" borderId="57" xfId="17" applyFont="1" applyFill="1" applyBorder="1" applyAlignment="1">
      <alignment vertical="top" wrapText="1"/>
    </xf>
    <xf numFmtId="0" fontId="1" fillId="6" borderId="99" xfId="0" applyFont="1" applyFill="1" applyBorder="1" applyAlignment="1" applyProtection="1">
      <alignment horizontal="left" wrapText="1"/>
      <protection locked="0"/>
    </xf>
    <xf numFmtId="15" fontId="1" fillId="6" borderId="100" xfId="0" applyNumberFormat="1" applyFont="1" applyFill="1" applyBorder="1" applyAlignment="1" applyProtection="1">
      <alignment horizontal="left" wrapText="1"/>
      <protection locked="0"/>
    </xf>
    <xf numFmtId="0" fontId="1" fillId="6" borderId="19" xfId="0" applyFont="1" applyFill="1" applyBorder="1" applyAlignment="1" applyProtection="1">
      <alignment horizontal="left" wrapText="1"/>
      <protection locked="0"/>
    </xf>
    <xf numFmtId="0" fontId="1" fillId="6" borderId="19" xfId="0" applyFont="1" applyFill="1" applyBorder="1" applyAlignment="1" applyProtection="1">
      <alignment wrapText="1"/>
      <protection locked="0"/>
    </xf>
    <xf numFmtId="0" fontId="1" fillId="6" borderId="23" xfId="0" applyFont="1" applyFill="1" applyBorder="1" applyAlignment="1" applyProtection="1">
      <alignment wrapText="1"/>
      <protection locked="0"/>
    </xf>
    <xf numFmtId="3" fontId="0" fillId="22" borderId="8" xfId="0" applyNumberFormat="1" applyFill="1" applyBorder="1"/>
    <xf numFmtId="172" fontId="1" fillId="20" borderId="0" xfId="1" applyNumberFormat="1" applyFont="1" applyFill="1"/>
    <xf numFmtId="0" fontId="1" fillId="6" borderId="5" xfId="0" applyFont="1" applyFill="1" applyBorder="1" applyAlignment="1">
      <alignment horizontal="left" vertical="top" wrapText="1"/>
    </xf>
    <xf numFmtId="0" fontId="3" fillId="6" borderId="0" xfId="0" applyFont="1" applyFill="1" applyAlignment="1">
      <alignment horizontal="left" vertical="top" wrapText="1"/>
    </xf>
    <xf numFmtId="0" fontId="1" fillId="6" borderId="5" xfId="0" quotePrefix="1" applyFont="1" applyFill="1" applyBorder="1" applyAlignment="1">
      <alignment horizontal="left" vertical="top" wrapText="1"/>
    </xf>
    <xf numFmtId="0" fontId="1" fillId="6" borderId="0" xfId="0" applyFont="1" applyFill="1" applyAlignment="1">
      <alignment horizontal="left" vertical="top" wrapText="1"/>
    </xf>
    <xf numFmtId="164" fontId="1" fillId="5" borderId="62" xfId="0" applyNumberFormat="1" applyFont="1" applyFill="1" applyBorder="1" applyAlignment="1">
      <alignment vertical="top" wrapText="1"/>
    </xf>
    <xf numFmtId="9" fontId="1" fillId="5" borderId="62" xfId="17" applyFont="1" applyFill="1" applyBorder="1" applyAlignment="1">
      <alignment vertical="top" wrapText="1"/>
    </xf>
    <xf numFmtId="0" fontId="1" fillId="5" borderId="62" xfId="0" applyFont="1" applyFill="1" applyBorder="1" applyAlignment="1">
      <alignment horizontal="right" vertical="top" wrapText="1"/>
    </xf>
    <xf numFmtId="9" fontId="1" fillId="5" borderId="62" xfId="0" applyNumberFormat="1" applyFont="1" applyFill="1" applyBorder="1" applyAlignment="1">
      <alignment vertical="top" wrapText="1"/>
    </xf>
    <xf numFmtId="10" fontId="1" fillId="5" borderId="62" xfId="0" applyNumberFormat="1" applyFont="1" applyFill="1" applyBorder="1" applyAlignment="1">
      <alignment vertical="top" wrapText="1"/>
    </xf>
    <xf numFmtId="188" fontId="1" fillId="5" borderId="62" xfId="0" applyNumberFormat="1" applyFont="1" applyFill="1" applyBorder="1" applyAlignment="1">
      <alignment vertical="top" wrapText="1"/>
    </xf>
    <xf numFmtId="164" fontId="1" fillId="5" borderId="57" xfId="0" applyNumberFormat="1" applyFont="1" applyFill="1" applyBorder="1" applyAlignment="1">
      <alignment vertical="top" wrapText="1"/>
    </xf>
    <xf numFmtId="10" fontId="1" fillId="3" borderId="88" xfId="0" applyNumberFormat="1" applyFont="1" applyFill="1" applyBorder="1" applyAlignment="1">
      <alignment vertical="top" wrapText="1"/>
    </xf>
    <xf numFmtId="165" fontId="3" fillId="3" borderId="0" xfId="0" applyNumberFormat="1" applyFont="1" applyFill="1" applyAlignment="1">
      <alignment horizontal="center" vertical="top" wrapText="1"/>
    </xf>
    <xf numFmtId="167" fontId="3" fillId="3" borderId="0" xfId="0" applyNumberFormat="1" applyFont="1" applyFill="1" applyAlignment="1">
      <alignment horizontal="center" vertical="top" wrapText="1"/>
    </xf>
    <xf numFmtId="0" fontId="84" fillId="26" borderId="177" xfId="0" applyFont="1" applyFill="1" applyBorder="1" applyAlignment="1">
      <alignment horizontal="center" vertical="center" wrapText="1"/>
    </xf>
    <xf numFmtId="0" fontId="84" fillId="26" borderId="178" xfId="0" applyFont="1" applyFill="1" applyBorder="1" applyAlignment="1">
      <alignment horizontal="center" vertical="center" wrapText="1"/>
    </xf>
    <xf numFmtId="0" fontId="78" fillId="0" borderId="179" xfId="0" applyFont="1" applyBorder="1" applyAlignment="1">
      <alignment horizontal="left" vertical="center" wrapText="1"/>
    </xf>
    <xf numFmtId="0" fontId="78" fillId="0" borderId="180" xfId="0" applyFont="1" applyBorder="1" applyAlignment="1">
      <alignment horizontal="center" vertical="center" wrapText="1"/>
    </xf>
    <xf numFmtId="3" fontId="78" fillId="0" borderId="180" xfId="0" applyNumberFormat="1" applyFont="1" applyBorder="1" applyAlignment="1">
      <alignment horizontal="center" vertical="center" wrapText="1"/>
    </xf>
    <xf numFmtId="4" fontId="78" fillId="0" borderId="180" xfId="0" applyNumberFormat="1" applyFont="1" applyBorder="1" applyAlignment="1">
      <alignment horizontal="center" vertical="center" wrapText="1"/>
    </xf>
    <xf numFmtId="0" fontId="78" fillId="0" borderId="179" xfId="0" applyFont="1" applyBorder="1" applyAlignment="1">
      <alignment horizontal="center" vertical="center" wrapText="1"/>
    </xf>
    <xf numFmtId="3" fontId="78" fillId="0" borderId="179" xfId="0" applyNumberFormat="1" applyFont="1" applyBorder="1" applyAlignment="1">
      <alignment horizontal="center" vertical="center" wrapText="1"/>
    </xf>
    <xf numFmtId="4" fontId="78" fillId="0" borderId="179" xfId="0" applyNumberFormat="1" applyFont="1" applyBorder="1" applyAlignment="1">
      <alignment horizontal="center" vertical="center" wrapText="1"/>
    </xf>
    <xf numFmtId="0" fontId="86" fillId="0" borderId="8" xfId="0" applyFont="1" applyBorder="1" applyAlignment="1">
      <alignment horizontal="left" vertical="center" wrapText="1"/>
    </xf>
    <xf numFmtId="3" fontId="86" fillId="0" borderId="8" xfId="0" applyNumberFormat="1" applyFont="1" applyBorder="1" applyAlignment="1">
      <alignment horizontal="center" vertical="center" wrapText="1"/>
    </xf>
    <xf numFmtId="0" fontId="86" fillId="0" borderId="8" xfId="0" applyFont="1" applyBorder="1" applyAlignment="1">
      <alignment horizontal="center" vertical="center" wrapText="1"/>
    </xf>
    <xf numFmtId="0" fontId="86" fillId="20" borderId="30" xfId="0" applyFont="1" applyFill="1" applyBorder="1" applyAlignment="1">
      <alignment horizontal="left" vertical="center" wrapText="1"/>
    </xf>
    <xf numFmtId="0" fontId="0" fillId="20" borderId="30" xfId="0" applyFill="1" applyBorder="1"/>
    <xf numFmtId="3" fontId="0" fillId="20" borderId="30" xfId="0" applyNumberFormat="1" applyFill="1" applyBorder="1"/>
    <xf numFmtId="0" fontId="86" fillId="0" borderId="170" xfId="0" applyFont="1" applyBorder="1" applyAlignment="1">
      <alignment horizontal="left" vertical="center" wrapText="1"/>
    </xf>
    <xf numFmtId="0" fontId="86" fillId="0" borderId="170" xfId="0" applyFont="1" applyBorder="1" applyAlignment="1">
      <alignment horizontal="center" vertical="center" wrapText="1"/>
    </xf>
    <xf numFmtId="0" fontId="0" fillId="22" borderId="170" xfId="0" applyFill="1" applyBorder="1"/>
    <xf numFmtId="3" fontId="1" fillId="3" borderId="88" xfId="0" applyNumberFormat="1" applyFont="1" applyFill="1" applyBorder="1" applyAlignment="1">
      <alignment vertical="top" wrapText="1"/>
    </xf>
    <xf numFmtId="0" fontId="1" fillId="4" borderId="0" xfId="0" applyFont="1" applyFill="1" applyAlignment="1">
      <alignment vertical="top" wrapText="1"/>
    </xf>
    <xf numFmtId="3" fontId="1" fillId="3" borderId="62" xfId="0" applyNumberFormat="1" applyFont="1" applyFill="1" applyBorder="1" applyAlignment="1">
      <alignment vertical="top" wrapText="1"/>
    </xf>
    <xf numFmtId="0" fontId="12" fillId="2" borderId="95" xfId="0" applyFont="1" applyFill="1" applyBorder="1" applyAlignment="1">
      <alignment vertical="top" wrapText="1"/>
    </xf>
    <xf numFmtId="0" fontId="28" fillId="2" borderId="95" xfId="0" applyFont="1" applyFill="1" applyBorder="1" applyAlignment="1">
      <alignment vertical="top" wrapText="1"/>
    </xf>
    <xf numFmtId="9" fontId="1" fillId="4" borderId="0" xfId="0" applyNumberFormat="1" applyFont="1" applyFill="1" applyAlignment="1">
      <alignment vertical="top" wrapText="1"/>
    </xf>
    <xf numFmtId="0" fontId="3" fillId="2" borderId="0" xfId="0" applyFont="1" applyFill="1" applyAlignment="1">
      <alignment vertical="top" wrapText="1"/>
    </xf>
    <xf numFmtId="0" fontId="1" fillId="2" borderId="95" xfId="0" applyFont="1" applyFill="1" applyBorder="1" applyAlignment="1">
      <alignment vertical="top" wrapText="1"/>
    </xf>
    <xf numFmtId="0" fontId="1" fillId="2" borderId="96" xfId="0" applyFont="1" applyFill="1" applyBorder="1" applyAlignment="1">
      <alignment vertical="top" wrapText="1"/>
    </xf>
    <xf numFmtId="0" fontId="1" fillId="0" borderId="5" xfId="0" applyFont="1" applyBorder="1" applyAlignment="1">
      <alignment vertical="top" wrapText="1"/>
    </xf>
    <xf numFmtId="0" fontId="1" fillId="0" borderId="0" xfId="0" applyFont="1" applyAlignment="1">
      <alignment vertical="center" wrapText="1"/>
    </xf>
    <xf numFmtId="0" fontId="1" fillId="0" borderId="0" xfId="0" applyFont="1" applyAlignment="1">
      <alignment horizontal="center" vertical="center" wrapText="1"/>
    </xf>
    <xf numFmtId="0" fontId="1" fillId="0" borderId="59" xfId="0" applyFont="1" applyBorder="1"/>
    <xf numFmtId="0" fontId="1" fillId="0" borderId="87" xfId="0" applyFont="1" applyBorder="1"/>
    <xf numFmtId="0" fontId="1" fillId="2" borderId="0" xfId="0" applyFont="1" applyFill="1" applyAlignment="1">
      <alignment vertical="top" wrapText="1"/>
    </xf>
    <xf numFmtId="0" fontId="1" fillId="2" borderId="0" xfId="0" applyFont="1" applyFill="1"/>
    <xf numFmtId="0" fontId="1" fillId="2" borderId="0" xfId="0" applyFont="1" applyFill="1" applyAlignment="1">
      <alignment horizontal="center" vertical="top" wrapText="1"/>
    </xf>
    <xf numFmtId="0" fontId="1" fillId="2" borderId="5" xfId="0" applyFont="1" applyFill="1" applyBorder="1" applyAlignment="1">
      <alignment vertical="top"/>
    </xf>
    <xf numFmtId="170" fontId="1" fillId="3" borderId="57" xfId="0" applyNumberFormat="1" applyFont="1" applyFill="1" applyBorder="1" applyAlignment="1">
      <alignment horizontal="right" vertical="top" wrapText="1"/>
    </xf>
    <xf numFmtId="0" fontId="12" fillId="20" borderId="0" xfId="0" applyFont="1" applyFill="1" applyAlignment="1">
      <alignment vertical="top" wrapText="1"/>
    </xf>
    <xf numFmtId="170" fontId="1" fillId="3" borderId="57" xfId="0" applyNumberFormat="1" applyFont="1" applyFill="1" applyBorder="1" applyAlignment="1">
      <alignment vertical="top" wrapText="1"/>
    </xf>
    <xf numFmtId="0" fontId="1" fillId="0" borderId="5" xfId="0" applyFont="1" applyBorder="1"/>
    <xf numFmtId="2" fontId="1" fillId="3" borderId="135" xfId="0" applyNumberFormat="1" applyFont="1" applyFill="1" applyBorder="1" applyAlignment="1">
      <alignment vertical="top" wrapText="1"/>
    </xf>
    <xf numFmtId="170" fontId="1" fillId="3" borderId="99" xfId="0" applyNumberFormat="1" applyFont="1" applyFill="1" applyBorder="1" applyAlignment="1">
      <alignment vertical="top" wrapText="1"/>
    </xf>
    <xf numFmtId="2" fontId="1" fillId="3" borderId="8" xfId="0" applyNumberFormat="1" applyFont="1" applyFill="1" applyBorder="1" applyAlignment="1">
      <alignment vertical="top" wrapText="1"/>
    </xf>
    <xf numFmtId="170" fontId="1" fillId="3" borderId="100" xfId="0" applyNumberFormat="1" applyFont="1" applyFill="1" applyBorder="1" applyAlignment="1">
      <alignment vertical="top" wrapText="1"/>
    </xf>
    <xf numFmtId="170" fontId="1" fillId="5" borderId="138" xfId="0" applyNumberFormat="1" applyFont="1" applyFill="1" applyBorder="1" applyAlignment="1">
      <alignment vertical="top" wrapText="1"/>
    </xf>
    <xf numFmtId="0" fontId="1" fillId="6" borderId="0" xfId="0" quotePrefix="1" applyFont="1" applyFill="1" applyAlignment="1">
      <alignment horizontal="left" vertical="top" wrapText="1"/>
    </xf>
    <xf numFmtId="2" fontId="1" fillId="3" borderId="136" xfId="0" applyNumberFormat="1" applyFont="1" applyFill="1" applyBorder="1" applyAlignment="1">
      <alignment vertical="top" wrapText="1"/>
    </xf>
    <xf numFmtId="170" fontId="1" fillId="3" borderId="101" xfId="0" applyNumberFormat="1" applyFont="1" applyFill="1" applyBorder="1" applyAlignment="1">
      <alignment vertical="top" wrapText="1"/>
    </xf>
    <xf numFmtId="170" fontId="1" fillId="3" borderId="89" xfId="0" applyNumberFormat="1" applyFont="1" applyFill="1" applyBorder="1" applyAlignment="1">
      <alignment vertical="top" wrapText="1"/>
    </xf>
    <xf numFmtId="170" fontId="1" fillId="6" borderId="0" xfId="0" applyNumberFormat="1" applyFont="1" applyFill="1" applyAlignment="1">
      <alignment horizontal="left" vertical="top" wrapText="1"/>
    </xf>
    <xf numFmtId="170" fontId="1" fillId="6" borderId="5" xfId="0" applyNumberFormat="1" applyFont="1" applyFill="1" applyBorder="1" applyAlignment="1">
      <alignment horizontal="left" vertical="top" wrapText="1"/>
    </xf>
    <xf numFmtId="0" fontId="1" fillId="6" borderId="5" xfId="0" applyFont="1" applyFill="1" applyBorder="1" applyAlignment="1">
      <alignment vertical="top" wrapText="1"/>
    </xf>
    <xf numFmtId="7" fontId="1" fillId="3" borderId="62" xfId="0" applyNumberFormat="1" applyFont="1" applyFill="1" applyBorder="1" applyAlignment="1">
      <alignment vertical="top" wrapText="1"/>
    </xf>
    <xf numFmtId="0" fontId="1" fillId="3" borderId="8" xfId="0" applyFont="1" applyFill="1" applyBorder="1" applyAlignment="1">
      <alignment vertical="top" wrapText="1"/>
    </xf>
    <xf numFmtId="0" fontId="1" fillId="3" borderId="57" xfId="0" applyFont="1" applyFill="1" applyBorder="1" applyAlignment="1">
      <alignment vertical="top" wrapText="1"/>
    </xf>
    <xf numFmtId="0" fontId="1" fillId="0" borderId="0" xfId="14" applyFont="1"/>
    <xf numFmtId="7" fontId="1" fillId="3" borderId="57" xfId="0" applyNumberFormat="1" applyFont="1" applyFill="1" applyBorder="1" applyAlignment="1">
      <alignment vertical="top" wrapText="1"/>
    </xf>
    <xf numFmtId="0" fontId="1" fillId="6" borderId="0" xfId="0" quotePrefix="1" applyFont="1" applyFill="1" applyAlignment="1">
      <alignment vertical="top" wrapText="1"/>
    </xf>
    <xf numFmtId="0" fontId="1" fillId="5" borderId="137" xfId="0" applyFont="1" applyFill="1" applyBorder="1" applyAlignment="1">
      <alignment vertical="top" wrapText="1"/>
    </xf>
    <xf numFmtId="0" fontId="1" fillId="3" borderId="135" xfId="0" applyFont="1" applyFill="1" applyBorder="1" applyAlignment="1">
      <alignment vertical="top" wrapText="1"/>
    </xf>
    <xf numFmtId="0" fontId="1" fillId="3" borderId="62" xfId="0" applyFont="1" applyFill="1" applyBorder="1" applyAlignment="1">
      <alignment vertical="top" wrapText="1"/>
    </xf>
    <xf numFmtId="169" fontId="1" fillId="3" borderId="57" xfId="0" applyNumberFormat="1" applyFont="1" applyFill="1" applyBorder="1" applyAlignment="1">
      <alignment vertical="top" wrapText="1"/>
    </xf>
    <xf numFmtId="170" fontId="1" fillId="3" borderId="88" xfId="0" quotePrefix="1" applyNumberFormat="1" applyFont="1" applyFill="1" applyBorder="1" applyAlignment="1">
      <alignment vertical="top" wrapText="1"/>
    </xf>
    <xf numFmtId="170" fontId="1" fillId="3" borderId="88" xfId="0" applyNumberFormat="1" applyFont="1" applyFill="1" applyBorder="1" applyAlignment="1">
      <alignment vertical="top" wrapText="1"/>
    </xf>
    <xf numFmtId="2" fontId="1" fillId="0" borderId="0" xfId="14" applyNumberFormat="1" applyFont="1"/>
    <xf numFmtId="178" fontId="1" fillId="3" borderId="88" xfId="3" applyNumberFormat="1" applyFont="1" applyFill="1" applyBorder="1" applyAlignment="1">
      <alignment vertical="top" wrapText="1"/>
    </xf>
    <xf numFmtId="170" fontId="1" fillId="3" borderId="62" xfId="0" applyNumberFormat="1" applyFont="1" applyFill="1" applyBorder="1" applyAlignment="1">
      <alignment vertical="top" wrapText="1"/>
    </xf>
    <xf numFmtId="44" fontId="1" fillId="0" borderId="0" xfId="0" applyNumberFormat="1" applyFont="1" applyAlignment="1">
      <alignment vertical="top" wrapText="1"/>
    </xf>
    <xf numFmtId="0" fontId="1" fillId="6" borderId="5" xfId="0" quotePrefix="1" applyFont="1" applyFill="1" applyBorder="1" applyAlignment="1">
      <alignment vertical="top" wrapText="1"/>
    </xf>
    <xf numFmtId="170" fontId="1" fillId="2" borderId="0" xfId="0" applyNumberFormat="1" applyFont="1" applyFill="1" applyAlignment="1">
      <alignment vertical="top" wrapText="1"/>
    </xf>
    <xf numFmtId="0" fontId="1" fillId="2" borderId="5" xfId="0" applyFont="1" applyFill="1" applyBorder="1" applyAlignment="1">
      <alignment vertical="top" wrapText="1"/>
    </xf>
    <xf numFmtId="0" fontId="3" fillId="2" borderId="92" xfId="0" applyFont="1" applyFill="1" applyBorder="1" applyAlignment="1">
      <alignment vertical="top" wrapText="1"/>
    </xf>
    <xf numFmtId="0" fontId="1" fillId="2" borderId="92" xfId="0" applyFont="1" applyFill="1" applyBorder="1" applyAlignment="1">
      <alignment vertical="top" wrapText="1"/>
    </xf>
    <xf numFmtId="0" fontId="12" fillId="2" borderId="92" xfId="0" applyFont="1" applyFill="1" applyBorder="1" applyAlignment="1">
      <alignment vertical="top" wrapText="1"/>
    </xf>
    <xf numFmtId="0" fontId="1" fillId="2" borderId="93" xfId="0" applyFont="1" applyFill="1" applyBorder="1" applyAlignment="1">
      <alignment vertical="top" wrapText="1"/>
    </xf>
    <xf numFmtId="0" fontId="1" fillId="2" borderId="95" xfId="0" applyFont="1" applyFill="1" applyBorder="1" applyAlignment="1">
      <alignment horizontal="center" vertical="top" wrapText="1"/>
    </xf>
    <xf numFmtId="0" fontId="1" fillId="2" borderId="96" xfId="0" applyFont="1" applyFill="1" applyBorder="1" applyAlignment="1">
      <alignment vertical="top"/>
    </xf>
    <xf numFmtId="0" fontId="1" fillId="0" borderId="0" xfId="0" applyFont="1" applyAlignment="1">
      <alignment horizontal="center" vertical="top" wrapText="1"/>
    </xf>
    <xf numFmtId="0" fontId="1" fillId="0" borderId="59" xfId="0" applyFont="1" applyBorder="1" applyAlignment="1">
      <alignment horizontal="center" vertical="top" wrapText="1"/>
    </xf>
    <xf numFmtId="170" fontId="1" fillId="2" borderId="0" xfId="0" applyNumberFormat="1" applyFont="1" applyFill="1" applyAlignment="1">
      <alignment horizontal="center" vertical="top" wrapText="1"/>
    </xf>
    <xf numFmtId="0" fontId="1" fillId="2" borderId="0" xfId="0" applyFont="1" applyFill="1" applyAlignment="1">
      <alignment horizontal="center" vertical="top"/>
    </xf>
    <xf numFmtId="3" fontId="1" fillId="2" borderId="0" xfId="0" applyNumberFormat="1" applyFont="1" applyFill="1" applyAlignment="1">
      <alignment horizontal="center" vertical="top"/>
    </xf>
    <xf numFmtId="170" fontId="1" fillId="4" borderId="0" xfId="0" applyNumberFormat="1" applyFont="1" applyFill="1" applyAlignment="1">
      <alignment horizontal="right" vertical="top" wrapText="1"/>
    </xf>
    <xf numFmtId="0" fontId="1" fillId="2" borderId="96" xfId="0" applyFont="1" applyFill="1" applyBorder="1"/>
    <xf numFmtId="164" fontId="1" fillId="5" borderId="137" xfId="17" applyNumberFormat="1" applyFont="1" applyFill="1" applyBorder="1" applyAlignment="1">
      <alignment vertical="top" wrapText="1"/>
    </xf>
    <xf numFmtId="2" fontId="1" fillId="0" borderId="0" xfId="0" applyNumberFormat="1" applyFont="1"/>
    <xf numFmtId="5" fontId="1" fillId="3" borderId="57" xfId="0" applyNumberFormat="1" applyFont="1" applyFill="1" applyBorder="1" applyAlignment="1">
      <alignment vertical="top" wrapText="1"/>
    </xf>
    <xf numFmtId="0" fontId="1" fillId="0" borderId="129" xfId="0" applyFont="1" applyBorder="1"/>
    <xf numFmtId="0" fontId="1" fillId="0" borderId="152" xfId="0" applyFont="1" applyBorder="1"/>
    <xf numFmtId="5" fontId="1" fillId="3" borderId="57" xfId="0" applyNumberFormat="1" applyFont="1" applyFill="1" applyBorder="1"/>
    <xf numFmtId="0" fontId="1" fillId="6" borderId="59" xfId="0" applyFont="1" applyFill="1" applyBorder="1" applyAlignment="1">
      <alignment vertical="top" wrapText="1"/>
    </xf>
    <xf numFmtId="0" fontId="1" fillId="20" borderId="8" xfId="0" applyFont="1" applyFill="1" applyBorder="1" applyAlignment="1">
      <alignment vertical="center" wrapText="1"/>
    </xf>
    <xf numFmtId="44" fontId="1" fillId="20" borderId="8" xfId="3" applyFont="1" applyFill="1" applyBorder="1" applyAlignment="1">
      <alignment vertical="center" wrapText="1"/>
    </xf>
    <xf numFmtId="0" fontId="25" fillId="2" borderId="0" xfId="0" applyFont="1" applyFill="1" applyAlignment="1">
      <alignment horizontal="right" vertical="center" wrapText="1"/>
    </xf>
    <xf numFmtId="3" fontId="1" fillId="5" borderId="57" xfId="0" applyNumberFormat="1" applyFont="1" applyFill="1" applyBorder="1" applyAlignment="1">
      <alignment vertical="top" wrapText="1"/>
    </xf>
    <xf numFmtId="170" fontId="1" fillId="5" borderId="145" xfId="0" applyNumberFormat="1" applyFont="1" applyFill="1" applyBorder="1" applyAlignment="1">
      <alignment vertical="top" wrapText="1"/>
    </xf>
    <xf numFmtId="0" fontId="1" fillId="5" borderId="138" xfId="1" applyNumberFormat="1" applyFont="1" applyFill="1" applyBorder="1" applyAlignment="1">
      <alignment vertical="top" wrapText="1"/>
    </xf>
    <xf numFmtId="0" fontId="12" fillId="0" borderId="0" xfId="0" applyFont="1" applyAlignment="1">
      <alignment horizontal="right"/>
    </xf>
    <xf numFmtId="0" fontId="1" fillId="3" borderId="138" xfId="0" applyFont="1" applyFill="1" applyBorder="1" applyAlignment="1" applyProtection="1">
      <alignment wrapText="1"/>
      <protection locked="0"/>
    </xf>
    <xf numFmtId="0" fontId="1" fillId="5" borderId="105" xfId="0" applyFont="1" applyFill="1" applyBorder="1" applyAlignment="1" applyProtection="1">
      <alignment wrapText="1"/>
      <protection locked="0"/>
    </xf>
    <xf numFmtId="165" fontId="1" fillId="3" borderId="138" xfId="0" applyNumberFormat="1" applyFont="1" applyFill="1" applyBorder="1" applyAlignment="1" applyProtection="1">
      <alignment wrapText="1"/>
      <protection locked="0"/>
    </xf>
    <xf numFmtId="165" fontId="1" fillId="3" borderId="145" xfId="0" applyNumberFormat="1" applyFont="1" applyFill="1" applyBorder="1" applyAlignment="1" applyProtection="1">
      <alignment wrapText="1"/>
      <protection locked="0"/>
    </xf>
    <xf numFmtId="0" fontId="12" fillId="2" borderId="9" xfId="0" applyFont="1" applyFill="1" applyBorder="1" applyProtection="1">
      <protection locked="0"/>
    </xf>
    <xf numFmtId="0" fontId="12" fillId="2" borderId="10" xfId="0" applyFont="1" applyFill="1" applyBorder="1" applyProtection="1">
      <protection locked="0"/>
    </xf>
    <xf numFmtId="0" fontId="12" fillId="2" borderId="11" xfId="0" applyFont="1" applyFill="1" applyBorder="1" applyProtection="1">
      <protection locked="0"/>
    </xf>
    <xf numFmtId="0" fontId="12" fillId="2" borderId="41" xfId="0" applyFont="1" applyFill="1" applyBorder="1" applyAlignment="1" applyProtection="1">
      <alignment horizontal="right" wrapText="1"/>
      <protection locked="0"/>
    </xf>
    <xf numFmtId="0" fontId="3" fillId="2" borderId="42" xfId="0" applyFont="1" applyFill="1" applyBorder="1" applyAlignment="1" applyProtection="1">
      <alignment horizontal="center" wrapText="1"/>
      <protection locked="0"/>
    </xf>
    <xf numFmtId="0" fontId="3" fillId="2" borderId="15" xfId="0" applyFont="1" applyFill="1" applyBorder="1" applyAlignment="1" applyProtection="1">
      <alignment horizontal="center" wrapText="1"/>
      <protection locked="0"/>
    </xf>
    <xf numFmtId="0" fontId="3" fillId="2" borderId="71" xfId="0" applyFont="1" applyFill="1" applyBorder="1" applyAlignment="1" applyProtection="1">
      <alignment horizontal="center" wrapText="1"/>
      <protection locked="0"/>
    </xf>
    <xf numFmtId="0" fontId="1" fillId="5" borderId="137" xfId="0" applyFont="1" applyFill="1" applyBorder="1" applyAlignment="1" applyProtection="1">
      <alignment horizontal="left" wrapText="1"/>
      <protection locked="0"/>
    </xf>
    <xf numFmtId="178" fontId="1" fillId="5" borderId="99" xfId="3" applyNumberFormat="1" applyFont="1" applyFill="1" applyBorder="1" applyAlignment="1" applyProtection="1">
      <alignment wrapText="1"/>
      <protection locked="0"/>
    </xf>
    <xf numFmtId="42" fontId="1" fillId="3" borderId="98" xfId="0" applyNumberFormat="1" applyFont="1" applyFill="1" applyBorder="1" applyAlignment="1" applyProtection="1">
      <alignment wrapText="1"/>
      <protection locked="0"/>
    </xf>
    <xf numFmtId="2" fontId="1" fillId="5" borderId="146" xfId="0" applyNumberFormat="1" applyFont="1" applyFill="1" applyBorder="1" applyAlignment="1" applyProtection="1">
      <alignment wrapText="1"/>
      <protection locked="0"/>
    </xf>
    <xf numFmtId="0" fontId="1" fillId="6" borderId="102" xfId="0" applyFont="1" applyFill="1" applyBorder="1" applyAlignment="1" applyProtection="1">
      <alignment wrapText="1"/>
      <protection locked="0"/>
    </xf>
    <xf numFmtId="0" fontId="1" fillId="6" borderId="133" xfId="0" applyFont="1" applyFill="1" applyBorder="1" applyAlignment="1" applyProtection="1">
      <alignment wrapText="1"/>
      <protection locked="0"/>
    </xf>
    <xf numFmtId="0" fontId="1" fillId="5" borderId="141" xfId="0" applyFont="1" applyFill="1" applyBorder="1" applyAlignment="1" applyProtection="1">
      <alignment wrapText="1"/>
      <protection locked="0"/>
    </xf>
    <xf numFmtId="0" fontId="1" fillId="5" borderId="145" xfId="0" applyFont="1" applyFill="1" applyBorder="1" applyAlignment="1" applyProtection="1">
      <alignment horizontal="left" wrapText="1"/>
      <protection locked="0"/>
    </xf>
    <xf numFmtId="2" fontId="1" fillId="5" borderId="147" xfId="0" applyNumberFormat="1" applyFont="1" applyFill="1" applyBorder="1" applyAlignment="1" applyProtection="1">
      <alignment wrapText="1"/>
      <protection locked="0"/>
    </xf>
    <xf numFmtId="0" fontId="1" fillId="6" borderId="103" xfId="0" applyFont="1" applyFill="1" applyBorder="1" applyAlignment="1" applyProtection="1">
      <alignment wrapText="1"/>
      <protection locked="0"/>
    </xf>
    <xf numFmtId="0" fontId="1" fillId="6" borderId="134" xfId="0" applyFont="1" applyFill="1" applyBorder="1" applyAlignment="1" applyProtection="1">
      <alignment wrapText="1"/>
      <protection locked="0"/>
    </xf>
    <xf numFmtId="0" fontId="1" fillId="2" borderId="97" xfId="0" applyFont="1" applyFill="1" applyBorder="1" applyAlignment="1" applyProtection="1">
      <alignment horizontal="left" wrapText="1"/>
      <protection locked="0"/>
    </xf>
    <xf numFmtId="172" fontId="1" fillId="3" borderId="69" xfId="0" applyNumberFormat="1" applyFont="1" applyFill="1" applyBorder="1" applyAlignment="1" applyProtection="1">
      <alignment wrapText="1"/>
      <protection locked="0"/>
    </xf>
    <xf numFmtId="42" fontId="1" fillId="3" borderId="22" xfId="0" applyNumberFormat="1" applyFont="1" applyFill="1" applyBorder="1" applyAlignment="1" applyProtection="1">
      <alignment wrapText="1"/>
      <protection locked="0"/>
    </xf>
    <xf numFmtId="2" fontId="1" fillId="2" borderId="69" xfId="0" applyNumberFormat="1" applyFont="1" applyFill="1" applyBorder="1" applyAlignment="1" applyProtection="1">
      <alignment wrapText="1"/>
      <protection locked="0"/>
    </xf>
    <xf numFmtId="0" fontId="1" fillId="2" borderId="69" xfId="0" applyFont="1" applyFill="1" applyBorder="1" applyAlignment="1" applyProtection="1">
      <alignment wrapText="1"/>
      <protection locked="0"/>
    </xf>
    <xf numFmtId="0" fontId="1" fillId="2" borderId="70" xfId="0" applyFont="1" applyFill="1" applyBorder="1" applyAlignment="1" applyProtection="1">
      <alignment wrapText="1"/>
      <protection locked="0"/>
    </xf>
    <xf numFmtId="172" fontId="1" fillId="0" borderId="0" xfId="0" applyNumberFormat="1" applyFont="1"/>
    <xf numFmtId="43" fontId="1" fillId="0" borderId="0" xfId="0" applyNumberFormat="1" applyFont="1"/>
    <xf numFmtId="172" fontId="1" fillId="5" borderId="148" xfId="1" applyNumberFormat="1" applyFont="1" applyFill="1" applyBorder="1" applyAlignment="1" applyProtection="1">
      <alignment wrapText="1"/>
      <protection locked="0"/>
    </xf>
    <xf numFmtId="2" fontId="1" fillId="5" borderId="8" xfId="1" applyNumberFormat="1" applyFont="1" applyFill="1" applyBorder="1" applyAlignment="1" applyProtection="1">
      <alignment wrapText="1"/>
      <protection locked="0"/>
    </xf>
    <xf numFmtId="2" fontId="1" fillId="5" borderId="135" xfId="0" applyNumberFormat="1" applyFont="1" applyFill="1" applyBorder="1" applyAlignment="1" applyProtection="1">
      <alignment wrapText="1"/>
      <protection locked="0"/>
    </xf>
    <xf numFmtId="2" fontId="1" fillId="5" borderId="8" xfId="0" applyNumberFormat="1" applyFont="1" applyFill="1" applyBorder="1" applyAlignment="1" applyProtection="1">
      <alignment wrapText="1"/>
      <protection locked="0"/>
    </xf>
    <xf numFmtId="165" fontId="1" fillId="22" borderId="8" xfId="0" applyNumberFormat="1" applyFont="1" applyFill="1" applyBorder="1"/>
    <xf numFmtId="172" fontId="1" fillId="22" borderId="8" xfId="1" applyNumberFormat="1" applyFont="1" applyFill="1" applyBorder="1"/>
    <xf numFmtId="164" fontId="1" fillId="22" borderId="8" xfId="17" applyNumberFormat="1" applyFont="1" applyFill="1" applyBorder="1"/>
    <xf numFmtId="189" fontId="1" fillId="22" borderId="8" xfId="1" applyNumberFormat="1" applyFont="1" applyFill="1" applyBorder="1"/>
    <xf numFmtId="7" fontId="89" fillId="20" borderId="57" xfId="0" applyNumberFormat="1" applyFont="1" applyFill="1" applyBorder="1" applyAlignment="1">
      <alignment vertical="top" wrapText="1"/>
    </xf>
    <xf numFmtId="0" fontId="89" fillId="20" borderId="0" xfId="0" applyFont="1" applyFill="1" applyAlignment="1">
      <alignment vertical="top" wrapText="1"/>
    </xf>
    <xf numFmtId="0" fontId="89" fillId="20" borderId="0" xfId="0" applyFont="1" applyFill="1"/>
    <xf numFmtId="0" fontId="89" fillId="20" borderId="5" xfId="0" applyFont="1" applyFill="1" applyBorder="1" applyAlignment="1">
      <alignment vertical="top" wrapText="1"/>
    </xf>
    <xf numFmtId="0" fontId="89" fillId="20" borderId="0" xfId="0" applyFont="1" applyFill="1" applyAlignment="1">
      <alignment vertical="top"/>
    </xf>
    <xf numFmtId="0" fontId="80" fillId="26" borderId="177" xfId="0" applyFont="1" applyFill="1" applyBorder="1" applyAlignment="1">
      <alignment horizontal="center" vertical="center" wrapText="1"/>
    </xf>
    <xf numFmtId="0" fontId="80" fillId="26" borderId="178" xfId="0" applyFont="1" applyFill="1" applyBorder="1" applyAlignment="1">
      <alignment horizontal="center" vertical="center" wrapText="1"/>
    </xf>
    <xf numFmtId="0" fontId="90" fillId="0" borderId="179" xfId="0" applyFont="1" applyBorder="1" applyAlignment="1">
      <alignment horizontal="right" vertical="center" wrapText="1"/>
    </xf>
    <xf numFmtId="6" fontId="90" fillId="0" borderId="180" xfId="0" applyNumberFormat="1" applyFont="1" applyBorder="1" applyAlignment="1">
      <alignment horizontal="right" vertical="center" wrapText="1"/>
    </xf>
    <xf numFmtId="0" fontId="92" fillId="0" borderId="179" xfId="0" applyFont="1" applyBorder="1" applyAlignment="1">
      <alignment horizontal="right" vertical="center" wrapText="1"/>
    </xf>
    <xf numFmtId="6" fontId="92" fillId="0" borderId="180" xfId="0" applyNumberFormat="1" applyFont="1" applyBorder="1" applyAlignment="1">
      <alignment horizontal="right" vertical="center" wrapText="1"/>
    </xf>
    <xf numFmtId="0" fontId="90" fillId="0" borderId="180" xfId="0" applyFont="1" applyBorder="1" applyAlignment="1">
      <alignment horizontal="right" vertical="center" wrapText="1"/>
    </xf>
    <xf numFmtId="14" fontId="4" fillId="6" borderId="100" xfId="5" applyNumberFormat="1" applyFill="1" applyBorder="1" applyAlignment="1" applyProtection="1">
      <alignment wrapText="1"/>
      <protection locked="0"/>
    </xf>
    <xf numFmtId="0" fontId="4" fillId="6" borderId="8" xfId="5" applyFill="1" applyBorder="1" applyAlignment="1" applyProtection="1">
      <alignment wrapText="1"/>
      <protection locked="0"/>
    </xf>
    <xf numFmtId="0" fontId="13" fillId="0" borderId="137" xfId="0" applyFont="1" applyBorder="1" applyAlignment="1" applyProtection="1">
      <alignment horizontal="left"/>
      <protection locked="0"/>
    </xf>
    <xf numFmtId="0" fontId="0" fillId="0" borderId="135" xfId="0" applyBorder="1" applyProtection="1">
      <protection locked="0"/>
    </xf>
    <xf numFmtId="0" fontId="0" fillId="0" borderId="99" xfId="0" applyBorder="1" applyProtection="1">
      <protection locked="0"/>
    </xf>
    <xf numFmtId="0" fontId="80" fillId="27" borderId="183" xfId="0" applyFont="1" applyFill="1" applyBorder="1" applyAlignment="1">
      <alignment horizontal="center" vertical="center" wrapText="1"/>
    </xf>
    <xf numFmtId="0" fontId="80" fillId="27" borderId="184" xfId="0" applyFont="1" applyFill="1" applyBorder="1" applyAlignment="1">
      <alignment horizontal="center" vertical="center" wrapText="1"/>
    </xf>
    <xf numFmtId="0" fontId="80" fillId="27" borderId="178" xfId="0" applyFont="1" applyFill="1" applyBorder="1" applyAlignment="1">
      <alignment horizontal="center" vertical="center" wrapText="1"/>
    </xf>
    <xf numFmtId="0" fontId="80" fillId="27" borderId="8" xfId="0" applyFont="1" applyFill="1" applyBorder="1" applyAlignment="1">
      <alignment horizontal="center" vertical="center" wrapText="1"/>
    </xf>
    <xf numFmtId="0" fontId="1" fillId="22" borderId="55" xfId="0" applyFont="1" applyFill="1" applyBorder="1" applyAlignment="1">
      <alignment horizontal="left" indent="1"/>
    </xf>
    <xf numFmtId="0" fontId="1" fillId="22" borderId="98" xfId="0" applyFont="1" applyFill="1" applyBorder="1" applyAlignment="1">
      <alignment horizontal="left" indent="1"/>
    </xf>
    <xf numFmtId="0" fontId="1" fillId="22" borderId="18" xfId="0" applyFont="1" applyFill="1" applyBorder="1" applyAlignment="1">
      <alignment horizontal="left" indent="1"/>
    </xf>
    <xf numFmtId="0" fontId="80" fillId="26" borderId="181" xfId="0" applyFont="1" applyFill="1" applyBorder="1" applyAlignment="1">
      <alignment horizontal="center" vertical="center" wrapText="1"/>
    </xf>
    <xf numFmtId="0" fontId="80" fillId="26" borderId="182" xfId="0" applyFont="1" applyFill="1" applyBorder="1" applyAlignment="1">
      <alignment horizontal="center" vertical="center" wrapText="1"/>
    </xf>
    <xf numFmtId="0" fontId="1" fillId="6" borderId="5" xfId="0" applyFont="1" applyFill="1" applyBorder="1" applyAlignment="1">
      <alignment horizontal="left" vertical="top" wrapText="1"/>
    </xf>
    <xf numFmtId="0" fontId="1" fillId="6" borderId="87" xfId="0" applyFont="1" applyFill="1" applyBorder="1" applyAlignment="1">
      <alignment horizontal="left" vertical="top" wrapText="1"/>
    </xf>
    <xf numFmtId="7" fontId="5" fillId="3" borderId="62" xfId="0" applyNumberFormat="1" applyFont="1" applyFill="1" applyBorder="1" applyAlignment="1">
      <alignment horizontal="left" vertical="top" wrapText="1"/>
    </xf>
    <xf numFmtId="0" fontId="5" fillId="3" borderId="57" xfId="0" applyFont="1" applyFill="1" applyBorder="1" applyAlignment="1">
      <alignment horizontal="left" vertical="top" wrapText="1"/>
    </xf>
    <xf numFmtId="0" fontId="1" fillId="6" borderId="0" xfId="0" quotePrefix="1" applyFont="1" applyFill="1" applyAlignment="1">
      <alignment horizontal="left"/>
    </xf>
    <xf numFmtId="0" fontId="1" fillId="6" borderId="5" xfId="0" quotePrefix="1" applyFont="1" applyFill="1" applyBorder="1" applyAlignment="1">
      <alignment horizontal="left"/>
    </xf>
    <xf numFmtId="0" fontId="3" fillId="0" borderId="0" xfId="0" applyFont="1" applyAlignment="1">
      <alignment horizontal="center" wrapText="1"/>
    </xf>
    <xf numFmtId="0" fontId="3" fillId="0" borderId="59" xfId="0" applyFont="1" applyBorder="1" applyAlignment="1">
      <alignment horizontal="center" wrapText="1"/>
    </xf>
    <xf numFmtId="0" fontId="3" fillId="6" borderId="0" xfId="0" applyFont="1" applyFill="1" applyAlignment="1">
      <alignment horizontal="left" vertical="top" wrapText="1"/>
    </xf>
    <xf numFmtId="0" fontId="3" fillId="6" borderId="5" xfId="0" applyFont="1" applyFill="1" applyBorder="1" applyAlignment="1">
      <alignment horizontal="left" vertical="top" wrapText="1"/>
    </xf>
    <xf numFmtId="0" fontId="1" fillId="6" borderId="0" xfId="0" applyFont="1" applyFill="1" applyAlignment="1">
      <alignment horizontal="left" vertical="top" wrapText="1"/>
    </xf>
    <xf numFmtId="0" fontId="3" fillId="6" borderId="0" xfId="0" applyFont="1" applyFill="1" applyAlignment="1">
      <alignment horizontal="right" vertical="top" wrapText="1"/>
    </xf>
    <xf numFmtId="0" fontId="3" fillId="6" borderId="5" xfId="0" applyFont="1" applyFill="1" applyBorder="1" applyAlignment="1">
      <alignment horizontal="right" vertical="top" wrapText="1"/>
    </xf>
    <xf numFmtId="0" fontId="1" fillId="6" borderId="4" xfId="0" applyFont="1" applyFill="1" applyBorder="1" applyAlignment="1">
      <alignment horizontal="left" vertical="top" wrapText="1"/>
    </xf>
    <xf numFmtId="0" fontId="1" fillId="6" borderId="0" xfId="0" quotePrefix="1" applyFont="1" applyFill="1" applyAlignment="1">
      <alignment horizontal="left" vertical="top" wrapText="1"/>
    </xf>
    <xf numFmtId="0" fontId="1" fillId="6" borderId="5" xfId="0" quotePrefix="1" applyFont="1" applyFill="1" applyBorder="1" applyAlignment="1">
      <alignment horizontal="left" vertical="top" wrapText="1"/>
    </xf>
    <xf numFmtId="0" fontId="1" fillId="6" borderId="4" xfId="0" quotePrefix="1" applyFont="1" applyFill="1" applyBorder="1" applyAlignment="1">
      <alignment horizontal="left" vertical="top" wrapText="1" indent="1"/>
    </xf>
    <xf numFmtId="0" fontId="1" fillId="6" borderId="5" xfId="0" quotePrefix="1" applyFont="1" applyFill="1" applyBorder="1" applyAlignment="1">
      <alignment horizontal="left" vertical="top" wrapText="1" indent="1"/>
    </xf>
    <xf numFmtId="0" fontId="1" fillId="6" borderId="4" xfId="0" quotePrefix="1" applyFont="1" applyFill="1" applyBorder="1" applyAlignment="1">
      <alignment horizontal="left" vertical="top" wrapText="1"/>
    </xf>
    <xf numFmtId="0" fontId="42" fillId="2" borderId="1" xfId="0" applyFont="1" applyFill="1" applyBorder="1" applyAlignment="1">
      <alignment horizontal="center" vertical="top" wrapText="1"/>
    </xf>
    <xf numFmtId="0" fontId="41" fillId="2" borderId="2" xfId="0" applyFont="1" applyFill="1" applyBorder="1" applyAlignment="1">
      <alignment horizontal="center" vertical="top" wrapText="1"/>
    </xf>
    <xf numFmtId="0" fontId="41" fillId="2" borderId="79" xfId="0" applyFont="1" applyFill="1" applyBorder="1" applyAlignment="1">
      <alignment horizontal="center" vertical="top" wrapText="1"/>
    </xf>
    <xf numFmtId="0" fontId="41" fillId="2" borderId="64" xfId="0" applyFont="1" applyFill="1" applyBorder="1" applyAlignment="1">
      <alignment horizontal="center" vertical="top" wrapText="1"/>
    </xf>
    <xf numFmtId="0" fontId="12" fillId="5" borderId="143" xfId="0" applyFont="1" applyFill="1" applyBorder="1" applyAlignment="1">
      <alignment horizontal="left" vertical="center" wrapText="1"/>
    </xf>
    <xf numFmtId="0" fontId="12" fillId="5" borderId="79" xfId="0" applyFont="1" applyFill="1" applyBorder="1" applyAlignment="1">
      <alignment horizontal="left" vertical="center" wrapText="1"/>
    </xf>
    <xf numFmtId="0" fontId="12" fillId="5" borderId="64" xfId="0" applyFont="1" applyFill="1" applyBorder="1" applyAlignment="1">
      <alignment horizontal="left" vertical="center" wrapText="1"/>
    </xf>
    <xf numFmtId="0" fontId="41" fillId="2" borderId="0" xfId="0" applyFont="1" applyFill="1" applyAlignment="1">
      <alignment horizontal="right" vertical="center" wrapText="1"/>
    </xf>
    <xf numFmtId="0" fontId="1" fillId="4" borderId="4" xfId="0" applyFont="1" applyFill="1" applyBorder="1" applyAlignment="1">
      <alignment horizontal="left" vertical="top" wrapText="1"/>
    </xf>
    <xf numFmtId="0" fontId="12" fillId="2" borderId="95" xfId="0" applyFont="1" applyFill="1" applyBorder="1" applyAlignment="1">
      <alignment horizontal="left" vertical="top" wrapText="1"/>
    </xf>
    <xf numFmtId="0" fontId="12" fillId="2" borderId="96" xfId="0" applyFont="1" applyFill="1" applyBorder="1" applyAlignment="1">
      <alignment horizontal="left" vertical="top" wrapText="1"/>
    </xf>
    <xf numFmtId="0" fontId="1" fillId="0" borderId="0" xfId="0" applyFont="1" applyAlignment="1">
      <alignment horizontal="left" vertical="center" wrapText="1"/>
    </xf>
    <xf numFmtId="0" fontId="1" fillId="6" borderId="155" xfId="0" applyFont="1" applyFill="1" applyBorder="1" applyAlignment="1">
      <alignment horizontal="left" vertical="top" wrapText="1"/>
    </xf>
    <xf numFmtId="0" fontId="1" fillId="6" borderId="156" xfId="0" applyFont="1" applyFill="1" applyBorder="1" applyAlignment="1">
      <alignment horizontal="left" vertical="top" wrapText="1"/>
    </xf>
    <xf numFmtId="0" fontId="1" fillId="6" borderId="44" xfId="0" applyFont="1" applyFill="1" applyBorder="1" applyAlignment="1" applyProtection="1">
      <alignment wrapText="1"/>
      <protection locked="0"/>
    </xf>
    <xf numFmtId="0" fontId="1" fillId="0" borderId="0" xfId="0" applyFont="1"/>
    <xf numFmtId="0" fontId="1" fillId="0" borderId="5" xfId="0" applyFont="1" applyBorder="1"/>
    <xf numFmtId="0" fontId="1" fillId="6" borderId="157" xfId="0" applyFont="1" applyFill="1" applyBorder="1" applyAlignment="1" applyProtection="1">
      <alignment wrapText="1"/>
      <protection locked="0"/>
    </xf>
    <xf numFmtId="0" fontId="1" fillId="0" borderId="59" xfId="0" applyFont="1" applyBorder="1"/>
    <xf numFmtId="0" fontId="1" fillId="0" borderId="87" xfId="0" applyFont="1" applyBorder="1"/>
    <xf numFmtId="0" fontId="3" fillId="2" borderId="59" xfId="0" applyFont="1" applyFill="1" applyBorder="1" applyAlignment="1" applyProtection="1">
      <alignment horizontal="center" wrapText="1"/>
      <protection locked="0"/>
    </xf>
    <xf numFmtId="0" fontId="1" fillId="0" borderId="0" xfId="0" applyFont="1" applyAlignment="1">
      <alignment horizontal="left" wrapText="1"/>
    </xf>
    <xf numFmtId="0" fontId="1" fillId="6" borderId="149" xfId="0" applyFont="1" applyFill="1" applyBorder="1" applyAlignment="1" applyProtection="1">
      <alignment wrapText="1"/>
      <protection locked="0"/>
    </xf>
    <xf numFmtId="0" fontId="1" fillId="0" borderId="149" xfId="0" applyFont="1" applyBorder="1"/>
    <xf numFmtId="0" fontId="1" fillId="0" borderId="153" xfId="0" applyFont="1" applyBorder="1"/>
    <xf numFmtId="0" fontId="1" fillId="6" borderId="158" xfId="0" applyFont="1" applyFill="1" applyBorder="1" applyAlignment="1" applyProtection="1">
      <alignment wrapText="1"/>
      <protection locked="0"/>
    </xf>
    <xf numFmtId="0" fontId="1" fillId="0" borderId="2" xfId="0" applyFont="1" applyBorder="1"/>
    <xf numFmtId="0" fontId="1" fillId="0" borderId="3" xfId="0" applyFont="1" applyBorder="1"/>
    <xf numFmtId="2" fontId="4" fillId="2" borderId="4" xfId="5" applyNumberFormat="1" applyFill="1" applyBorder="1" applyAlignment="1" applyProtection="1">
      <alignment horizontal="left" vertical="top" wrapText="1"/>
      <protection locked="0"/>
    </xf>
    <xf numFmtId="2" fontId="4" fillId="2" borderId="0" xfId="5" applyNumberFormat="1" applyFill="1" applyBorder="1" applyAlignment="1" applyProtection="1">
      <alignment horizontal="left" vertical="top" wrapText="1"/>
      <protection locked="0"/>
    </xf>
    <xf numFmtId="0" fontId="11" fillId="2" borderId="0" xfId="0" applyFont="1" applyFill="1" applyAlignment="1" applyProtection="1">
      <alignment horizontal="left" vertical="top" wrapText="1"/>
      <protection locked="0"/>
    </xf>
    <xf numFmtId="2" fontId="11" fillId="2" borderId="0" xfId="0" applyNumberFormat="1" applyFont="1" applyFill="1" applyAlignment="1" applyProtection="1">
      <alignment horizontal="left" vertical="top" wrapText="1"/>
      <protection locked="0"/>
    </xf>
    <xf numFmtId="2" fontId="4" fillId="0" borderId="4" xfId="5" applyNumberFormat="1" applyFill="1" applyBorder="1" applyAlignment="1" applyProtection="1">
      <alignment horizontal="left" vertical="top" wrapText="1"/>
      <protection locked="0"/>
    </xf>
    <xf numFmtId="2" fontId="11" fillId="0" borderId="0" xfId="0" applyNumberFormat="1" applyFont="1" applyAlignment="1" applyProtection="1">
      <alignment horizontal="left" vertical="top" wrapText="1"/>
      <protection locked="0"/>
    </xf>
    <xf numFmtId="0" fontId="14" fillId="22" borderId="63" xfId="0" applyFont="1" applyFill="1" applyBorder="1" applyAlignment="1">
      <alignment horizontal="left" vertical="top" wrapText="1"/>
    </xf>
    <xf numFmtId="0" fontId="14" fillId="22" borderId="98" xfId="0" applyFont="1" applyFill="1" applyBorder="1" applyAlignment="1">
      <alignment horizontal="left" vertical="top" wrapText="1"/>
    </xf>
    <xf numFmtId="0" fontId="1" fillId="6" borderId="55" xfId="0" applyFont="1" applyFill="1" applyBorder="1" applyAlignment="1">
      <alignment horizontal="left" vertical="top" wrapText="1"/>
    </xf>
    <xf numFmtId="0" fontId="0" fillId="6" borderId="108" xfId="0" applyFill="1" applyBorder="1" applyAlignment="1">
      <alignment horizontal="left" vertical="top" wrapText="1"/>
    </xf>
    <xf numFmtId="0" fontId="1" fillId="6" borderId="108" xfId="0" applyFont="1" applyFill="1" applyBorder="1" applyAlignment="1">
      <alignment horizontal="left" vertical="top" wrapText="1"/>
    </xf>
    <xf numFmtId="0" fontId="5" fillId="21" borderId="127" xfId="0" applyFont="1" applyFill="1" applyBorder="1" applyAlignment="1">
      <alignment horizontal="left" vertical="top" wrapText="1"/>
    </xf>
    <xf numFmtId="0" fontId="5" fillId="21" borderId="113" xfId="0" applyFont="1" applyFill="1" applyBorder="1" applyAlignment="1">
      <alignment horizontal="left" vertical="top" wrapText="1"/>
    </xf>
    <xf numFmtId="0" fontId="5" fillId="21" borderId="128" xfId="0" applyFont="1" applyFill="1" applyBorder="1" applyAlignment="1">
      <alignment horizontal="left" vertical="top" wrapText="1"/>
    </xf>
    <xf numFmtId="0" fontId="1" fillId="6" borderId="172" xfId="0" applyFont="1" applyFill="1" applyBorder="1" applyAlignment="1">
      <alignment horizontal="left" vertical="top" wrapText="1"/>
    </xf>
    <xf numFmtId="0" fontId="1" fillId="6" borderId="132" xfId="0" applyFont="1" applyFill="1" applyBorder="1" applyAlignment="1">
      <alignment horizontal="left" vertical="top" wrapText="1"/>
    </xf>
    <xf numFmtId="0" fontId="1" fillId="6" borderId="8" xfId="0" applyFont="1" applyFill="1" applyBorder="1" applyAlignment="1">
      <alignment horizontal="left" vertical="top" wrapText="1"/>
    </xf>
    <xf numFmtId="0" fontId="0" fillId="6" borderId="19" xfId="0" applyFill="1" applyBorder="1" applyAlignment="1">
      <alignment horizontal="left" vertical="top" wrapText="1"/>
    </xf>
    <xf numFmtId="0" fontId="14" fillId="22" borderId="63" xfId="0" applyFont="1" applyFill="1" applyBorder="1" applyAlignment="1">
      <alignment horizontal="left" vertical="top"/>
    </xf>
    <xf numFmtId="0" fontId="14" fillId="22" borderId="98" xfId="0" applyFont="1" applyFill="1" applyBorder="1" applyAlignment="1">
      <alignment horizontal="left" vertical="top"/>
    </xf>
    <xf numFmtId="0" fontId="5" fillId="20" borderId="63" xfId="0" applyFont="1" applyFill="1" applyBorder="1" applyAlignment="1">
      <alignment horizontal="left" vertical="top" wrapText="1"/>
    </xf>
    <xf numFmtId="0" fontId="5" fillId="20" borderId="98" xfId="0" applyFont="1" applyFill="1" applyBorder="1" applyAlignment="1">
      <alignment horizontal="left" vertical="top" wrapText="1"/>
    </xf>
    <xf numFmtId="0" fontId="14" fillId="20" borderId="63" xfId="0" applyFont="1" applyFill="1" applyBorder="1" applyAlignment="1">
      <alignment horizontal="left" vertical="top" wrapText="1"/>
    </xf>
    <xf numFmtId="0" fontId="14" fillId="20" borderId="98" xfId="0" applyFont="1" applyFill="1" applyBorder="1" applyAlignment="1">
      <alignment horizontal="left" vertical="top" wrapText="1"/>
    </xf>
    <xf numFmtId="0" fontId="14" fillId="0" borderId="0" xfId="0" applyFont="1" applyAlignment="1">
      <alignment horizontal="left"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120" xfId="0" applyBorder="1" applyAlignment="1">
      <alignment horizontal="left" vertical="top" wrapText="1"/>
    </xf>
    <xf numFmtId="0" fontId="0" fillId="0" borderId="111" xfId="0" applyBorder="1" applyAlignment="1">
      <alignment horizontal="left" vertical="top" wrapText="1"/>
    </xf>
    <xf numFmtId="0" fontId="37" fillId="20" borderId="40" xfId="0" applyFont="1" applyFill="1" applyBorder="1" applyAlignment="1">
      <alignment horizontal="left" vertical="top" wrapText="1"/>
    </xf>
    <xf numFmtId="0" fontId="37" fillId="20" borderId="106" xfId="0" applyFont="1" applyFill="1" applyBorder="1" applyAlignment="1">
      <alignment horizontal="left" vertical="top" wrapText="1"/>
    </xf>
    <xf numFmtId="0" fontId="0" fillId="20" borderId="107" xfId="0" applyFill="1" applyBorder="1" applyAlignment="1">
      <alignment vertical="top" wrapText="1"/>
    </xf>
    <xf numFmtId="0" fontId="0" fillId="0" borderId="98" xfId="0" applyBorder="1" applyAlignment="1">
      <alignment horizontal="left" vertical="top" wrapText="1"/>
    </xf>
    <xf numFmtId="0" fontId="0" fillId="0" borderId="108" xfId="0" applyBorder="1" applyAlignment="1">
      <alignment horizontal="left" vertical="top" wrapText="1"/>
    </xf>
    <xf numFmtId="0" fontId="0" fillId="0" borderId="129" xfId="0" applyBorder="1" applyAlignment="1">
      <alignment horizontal="left" vertical="top" wrapText="1"/>
    </xf>
    <xf numFmtId="0" fontId="0" fillId="0" borderId="130" xfId="0" applyBorder="1" applyAlignment="1">
      <alignment horizontal="left" vertical="top" wrapText="1"/>
    </xf>
    <xf numFmtId="0" fontId="5" fillId="22" borderId="63" xfId="0" applyFont="1" applyFill="1" applyBorder="1" applyAlignment="1">
      <alignment horizontal="left" vertical="top" wrapText="1"/>
    </xf>
    <xf numFmtId="0" fontId="5" fillId="22" borderId="98" xfId="0" applyFont="1" applyFill="1" applyBorder="1" applyAlignment="1">
      <alignment horizontal="left" vertical="top" wrapText="1"/>
    </xf>
    <xf numFmtId="0" fontId="5" fillId="20" borderId="67" xfId="0" applyFont="1" applyFill="1" applyBorder="1" applyAlignment="1">
      <alignment horizontal="left" vertical="top" wrapText="1"/>
    </xf>
    <xf numFmtId="0" fontId="5" fillId="20" borderId="90" xfId="0" applyFont="1" applyFill="1" applyBorder="1" applyAlignment="1">
      <alignment horizontal="left" vertical="top" wrapText="1"/>
    </xf>
    <xf numFmtId="0" fontId="14" fillId="22" borderId="127" xfId="0" applyFont="1" applyFill="1" applyBorder="1" applyAlignment="1">
      <alignment horizontal="left" vertical="top" wrapText="1"/>
    </xf>
    <xf numFmtId="0" fontId="14" fillId="22" borderId="113" xfId="0" applyFont="1" applyFill="1" applyBorder="1" applyAlignment="1">
      <alignment horizontal="left" vertical="top" wrapText="1"/>
    </xf>
    <xf numFmtId="0" fontId="1" fillId="6" borderId="61" xfId="0" applyFont="1" applyFill="1" applyBorder="1" applyAlignment="1">
      <alignment horizontal="left" vertical="top" wrapText="1"/>
    </xf>
    <xf numFmtId="0" fontId="1" fillId="6" borderId="111" xfId="0" applyFont="1" applyFill="1" applyBorder="1" applyAlignment="1">
      <alignment horizontal="left" vertical="top" wrapText="1"/>
    </xf>
    <xf numFmtId="0" fontId="14" fillId="22" borderId="174" xfId="0" applyFont="1" applyFill="1" applyBorder="1" applyAlignment="1">
      <alignment horizontal="left" vertical="top" wrapText="1"/>
    </xf>
    <xf numFmtId="0" fontId="14" fillId="22" borderId="175" xfId="0" applyFont="1" applyFill="1" applyBorder="1" applyAlignment="1">
      <alignment horizontal="left" vertical="top" wrapText="1"/>
    </xf>
    <xf numFmtId="0" fontId="1" fillId="6" borderId="136" xfId="0" applyFont="1" applyFill="1" applyBorder="1" applyAlignment="1">
      <alignment horizontal="left" vertical="top" wrapText="1"/>
    </xf>
    <xf numFmtId="0" fontId="0" fillId="6" borderId="134" xfId="0" applyFill="1" applyBorder="1" applyAlignment="1">
      <alignment horizontal="left" vertical="top" wrapText="1"/>
    </xf>
    <xf numFmtId="0" fontId="0" fillId="6" borderId="136" xfId="0" applyFill="1" applyBorder="1" applyAlignment="1">
      <alignment horizontal="left" vertical="top" wrapText="1"/>
    </xf>
    <xf numFmtId="0" fontId="0" fillId="0" borderId="134" xfId="0" applyBorder="1" applyAlignment="1">
      <alignment horizontal="left" vertical="top" wrapText="1"/>
    </xf>
    <xf numFmtId="173" fontId="17" fillId="2" borderId="40" xfId="16" applyFont="1" applyFill="1" applyBorder="1" applyAlignment="1">
      <alignment horizontal="left"/>
    </xf>
    <xf numFmtId="173" fontId="17" fillId="2" borderId="106" xfId="16" applyFont="1" applyFill="1" applyBorder="1" applyAlignment="1">
      <alignment horizontal="left"/>
    </xf>
    <xf numFmtId="173" fontId="17" fillId="2" borderId="107" xfId="16" applyFont="1" applyFill="1" applyBorder="1" applyAlignment="1">
      <alignment horizontal="left"/>
    </xf>
    <xf numFmtId="0" fontId="0" fillId="0" borderId="65" xfId="0" applyBorder="1" applyAlignment="1">
      <alignment horizontal="left" wrapText="1"/>
    </xf>
    <xf numFmtId="173" fontId="17" fillId="0" borderId="75" xfId="16" applyFont="1" applyBorder="1" applyAlignment="1">
      <alignment horizontal="left"/>
    </xf>
    <xf numFmtId="173" fontId="17" fillId="0" borderId="76" xfId="16" applyFont="1" applyBorder="1" applyAlignment="1">
      <alignment horizontal="left"/>
    </xf>
    <xf numFmtId="173" fontId="17" fillId="0" borderId="143" xfId="16" applyFont="1" applyBorder="1" applyAlignment="1">
      <alignment horizontal="left"/>
    </xf>
    <xf numFmtId="173" fontId="17" fillId="0" borderId="79" xfId="16" applyFont="1" applyBorder="1" applyAlignment="1">
      <alignment horizontal="left"/>
    </xf>
    <xf numFmtId="173" fontId="11" fillId="0" borderId="63" xfId="16" applyFont="1" applyBorder="1" applyAlignment="1">
      <alignment horizontal="left" vertical="center" wrapText="1"/>
    </xf>
    <xf numFmtId="173" fontId="11" fillId="0" borderId="98" xfId="16" applyFont="1" applyBorder="1" applyAlignment="1">
      <alignment horizontal="left" vertical="center" wrapText="1"/>
    </xf>
    <xf numFmtId="173" fontId="11" fillId="0" borderId="127" xfId="16" applyFont="1" applyBorder="1" applyAlignment="1">
      <alignment horizontal="left" vertical="center" wrapText="1"/>
    </xf>
    <xf numFmtId="173" fontId="11" fillId="0" borderId="113" xfId="16" applyFont="1" applyBorder="1" applyAlignment="1">
      <alignment horizontal="left" vertical="center" wrapText="1"/>
    </xf>
    <xf numFmtId="173" fontId="11" fillId="0" borderId="109" xfId="16" applyFont="1" applyBorder="1" applyAlignment="1">
      <alignment horizontal="left" vertical="center" wrapText="1"/>
    </xf>
    <xf numFmtId="173" fontId="11" fillId="0" borderId="120" xfId="16" applyFont="1" applyBorder="1" applyAlignment="1">
      <alignment horizontal="left" vertical="center" wrapText="1"/>
    </xf>
    <xf numFmtId="0" fontId="1" fillId="19" borderId="8" xfId="0" applyFont="1" applyFill="1" applyBorder="1" applyAlignment="1">
      <alignment horizontal="left"/>
    </xf>
    <xf numFmtId="9" fontId="0" fillId="5" borderId="8" xfId="17" applyFont="1" applyFill="1" applyBorder="1" applyAlignment="1">
      <alignment horizontal="center" vertical="top" wrapText="1"/>
    </xf>
    <xf numFmtId="173" fontId="17" fillId="0" borderId="9" xfId="16" applyFont="1" applyBorder="1" applyAlignment="1">
      <alignment wrapText="1"/>
    </xf>
    <xf numFmtId="173" fontId="17" fillId="0" borderId="168" xfId="16" applyFont="1" applyBorder="1" applyAlignment="1">
      <alignment wrapText="1"/>
    </xf>
    <xf numFmtId="173" fontId="17" fillId="20" borderId="46" xfId="16" applyFont="1" applyFill="1" applyBorder="1" applyAlignment="1">
      <alignment wrapText="1"/>
    </xf>
    <xf numFmtId="0" fontId="0" fillId="20" borderId="47" xfId="0" applyFill="1" applyBorder="1" applyAlignment="1">
      <alignment wrapText="1"/>
    </xf>
    <xf numFmtId="0" fontId="3" fillId="0" borderId="2" xfId="0" applyFont="1" applyBorder="1" applyAlignment="1">
      <alignment horizontal="left" vertical="center" wrapText="1"/>
    </xf>
    <xf numFmtId="0" fontId="3" fillId="0" borderId="3" xfId="0" applyFont="1" applyBorder="1" applyAlignment="1">
      <alignment horizontal="left" vertical="center" wrapText="1"/>
    </xf>
    <xf numFmtId="0" fontId="3" fillId="0" borderId="0" xfId="0" applyFont="1" applyAlignment="1">
      <alignment horizontal="center"/>
    </xf>
    <xf numFmtId="0" fontId="3" fillId="0" borderId="5" xfId="0" applyFont="1" applyBorder="1" applyAlignment="1">
      <alignment horizontal="center"/>
    </xf>
    <xf numFmtId="0" fontId="53" fillId="0" borderId="4" xfId="0" applyFont="1" applyBorder="1" applyAlignment="1">
      <alignment horizontal="center"/>
    </xf>
    <xf numFmtId="0" fontId="53" fillId="0" borderId="0" xfId="0" applyFont="1" applyAlignment="1">
      <alignment horizontal="center"/>
    </xf>
    <xf numFmtId="0" fontId="4" fillId="0" borderId="58" xfId="5" applyBorder="1" applyAlignment="1" applyProtection="1">
      <alignment horizontal="left"/>
    </xf>
    <xf numFmtId="0" fontId="4" fillId="0" borderId="59" xfId="5" applyBorder="1" applyAlignment="1" applyProtection="1">
      <alignment horizontal="left"/>
    </xf>
    <xf numFmtId="0" fontId="4" fillId="0" borderId="87" xfId="5" applyBorder="1" applyAlignment="1" applyProtection="1">
      <alignment horizontal="left"/>
    </xf>
    <xf numFmtId="0" fontId="3" fillId="3" borderId="4" xfId="0" applyFont="1" applyFill="1" applyBorder="1" applyAlignment="1">
      <alignment horizontal="center"/>
    </xf>
    <xf numFmtId="0" fontId="3" fillId="3" borderId="0" xfId="0" applyFont="1" applyFill="1" applyAlignment="1">
      <alignment horizontal="center"/>
    </xf>
    <xf numFmtId="0" fontId="3" fillId="0" borderId="0" xfId="0" applyFont="1" applyAlignment="1">
      <alignment horizontal="center" vertical="center" wrapText="1"/>
    </xf>
    <xf numFmtId="0" fontId="3" fillId="0" borderId="5" xfId="0" applyFont="1" applyBorder="1" applyAlignment="1">
      <alignment horizontal="center" vertical="center" wrapText="1"/>
    </xf>
    <xf numFmtId="0" fontId="53" fillId="0" borderId="4" xfId="0" applyFont="1" applyBorder="1" applyAlignment="1">
      <alignment horizontal="left" wrapText="1"/>
    </xf>
    <xf numFmtId="0" fontId="53" fillId="0" borderId="0" xfId="0" applyFont="1" applyAlignment="1">
      <alignment horizontal="left" wrapText="1"/>
    </xf>
    <xf numFmtId="0" fontId="53" fillId="0" borderId="5" xfId="0" applyFont="1" applyBorder="1" applyAlignment="1">
      <alignment horizontal="left" wrapText="1"/>
    </xf>
    <xf numFmtId="0" fontId="53" fillId="0" borderId="4" xfId="0" applyFont="1" applyBorder="1" applyAlignment="1">
      <alignment horizontal="left"/>
    </xf>
    <xf numFmtId="0" fontId="53" fillId="0" borderId="0" xfId="0" applyFont="1" applyAlignment="1">
      <alignment horizontal="left"/>
    </xf>
    <xf numFmtId="0" fontId="53" fillId="0" borderId="5" xfId="0" applyFont="1" applyBorder="1" applyAlignment="1">
      <alignment horizontal="left"/>
    </xf>
    <xf numFmtId="0" fontId="50" fillId="13" borderId="0" xfId="0" applyFont="1" applyFill="1" applyAlignment="1">
      <alignment horizontal="left"/>
    </xf>
    <xf numFmtId="0" fontId="51" fillId="0" borderId="0" xfId="0" applyFont="1" applyAlignment="1">
      <alignment horizontal="left"/>
    </xf>
    <xf numFmtId="0" fontId="51" fillId="0" borderId="59" xfId="0" applyFont="1" applyBorder="1" applyAlignment="1">
      <alignment horizontal="left"/>
    </xf>
    <xf numFmtId="0" fontId="51" fillId="3" borderId="4" xfId="0" applyFont="1" applyFill="1" applyBorder="1" applyAlignment="1">
      <alignment horizontal="left"/>
    </xf>
    <xf numFmtId="0" fontId="51" fillId="3" borderId="0" xfId="0" applyFont="1" applyFill="1" applyAlignment="1">
      <alignment horizontal="left"/>
    </xf>
    <xf numFmtId="0" fontId="51"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Fill="1" applyAlignment="1">
      <alignment horizontal="left" wrapText="1"/>
    </xf>
    <xf numFmtId="0" fontId="11" fillId="0" borderId="2" xfId="0" applyFont="1" applyBorder="1" applyAlignment="1">
      <alignment horizontal="left" wrapText="1"/>
    </xf>
    <xf numFmtId="0" fontId="53" fillId="0" borderId="2" xfId="0" applyFont="1" applyBorder="1" applyAlignment="1">
      <alignment horizontal="left" wrapText="1"/>
    </xf>
    <xf numFmtId="0" fontId="50" fillId="13" borderId="0" xfId="0" applyFont="1" applyFill="1" applyAlignment="1">
      <alignment horizontal="left" wrapText="1"/>
    </xf>
    <xf numFmtId="0" fontId="0" fillId="0" borderId="59" xfId="0" applyBorder="1" applyAlignment="1">
      <alignment horizontal="left"/>
    </xf>
    <xf numFmtId="0" fontId="3" fillId="0" borderId="2" xfId="0" applyFont="1" applyBorder="1" applyAlignment="1">
      <alignment horizontal="center"/>
    </xf>
    <xf numFmtId="0" fontId="7" fillId="0" borderId="4" xfId="0" applyFont="1" applyBorder="1" applyAlignment="1">
      <alignment wrapText="1"/>
    </xf>
    <xf numFmtId="0" fontId="7" fillId="0" borderId="0" xfId="0" applyFont="1" applyAlignment="1">
      <alignment wrapText="1"/>
    </xf>
    <xf numFmtId="0" fontId="7" fillId="0" borderId="5" xfId="0" applyFont="1" applyBorder="1" applyAlignment="1">
      <alignment wrapText="1"/>
    </xf>
    <xf numFmtId="0" fontId="8" fillId="3" borderId="4" xfId="0" applyFont="1" applyFill="1" applyBorder="1" applyAlignment="1">
      <alignment horizontal="left" vertical="center" wrapText="1"/>
    </xf>
    <xf numFmtId="0" fontId="8" fillId="3" borderId="0" xfId="0" applyFont="1" applyFill="1" applyAlignment="1">
      <alignment horizontal="left" vertical="center" wrapText="1"/>
    </xf>
    <xf numFmtId="0" fontId="8" fillId="3" borderId="5" xfId="0" applyFont="1" applyFill="1" applyBorder="1" applyAlignment="1">
      <alignment horizontal="left" vertical="center" wrapText="1"/>
    </xf>
    <xf numFmtId="0" fontId="5" fillId="0" borderId="24" xfId="0" applyFont="1" applyBorder="1" applyAlignment="1">
      <alignment horizontal="left"/>
    </xf>
    <xf numFmtId="0" fontId="5" fillId="0" borderId="66" xfId="0" applyFont="1" applyBorder="1" applyAlignment="1">
      <alignment horizontal="left"/>
    </xf>
    <xf numFmtId="0" fontId="7" fillId="2" borderId="4" xfId="0" applyFont="1" applyFill="1" applyBorder="1" applyAlignment="1">
      <alignment horizontal="left" wrapText="1"/>
    </xf>
    <xf numFmtId="0" fontId="7" fillId="2" borderId="0" xfId="0" applyFont="1" applyFill="1" applyAlignment="1">
      <alignment horizontal="left" wrapText="1"/>
    </xf>
    <xf numFmtId="0" fontId="7" fillId="2" borderId="5" xfId="0" applyFont="1" applyFill="1" applyBorder="1" applyAlignment="1">
      <alignment horizontal="left" wrapText="1"/>
    </xf>
    <xf numFmtId="0" fontId="6" fillId="13" borderId="0" xfId="0" applyFont="1" applyFill="1" applyAlignment="1">
      <alignment wrapText="1"/>
    </xf>
    <xf numFmtId="0" fontId="0" fillId="0" borderId="0" xfId="0"/>
    <xf numFmtId="0" fontId="7" fillId="0" borderId="59" xfId="0" applyFont="1" applyBorder="1" applyAlignment="1">
      <alignment horizontal="left" wrapText="1"/>
    </xf>
    <xf numFmtId="0" fontId="8" fillId="2" borderId="2" xfId="0" applyFont="1" applyFill="1" applyBorder="1" applyAlignment="1">
      <alignment horizontal="center" vertical="center" wrapText="1"/>
    </xf>
    <xf numFmtId="0" fontId="7" fillId="2" borderId="4" xfId="0" applyFont="1" applyFill="1" applyBorder="1" applyAlignment="1">
      <alignment wrapText="1"/>
    </xf>
    <xf numFmtId="0" fontId="7" fillId="2" borderId="0" xfId="0" applyFont="1" applyFill="1" applyAlignment="1">
      <alignment wrapText="1"/>
    </xf>
    <xf numFmtId="0" fontId="7" fillId="2" borderId="5" xfId="0" applyFont="1" applyFill="1" applyBorder="1" applyAlignment="1">
      <alignment wrapText="1"/>
    </xf>
    <xf numFmtId="0" fontId="1" fillId="0" borderId="126" xfId="0" applyFont="1" applyBorder="1" applyAlignment="1">
      <alignment horizontal="left" vertical="top" wrapText="1"/>
    </xf>
    <xf numFmtId="0" fontId="0" fillId="0" borderId="154" xfId="0" applyBorder="1" applyAlignment="1">
      <alignment horizontal="left" vertical="top" wrapText="1"/>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0" fontId="3" fillId="0" borderId="3" xfId="0" applyFont="1" applyBorder="1" applyAlignment="1">
      <alignment horizontal="center" vertical="center" wrapText="1"/>
    </xf>
    <xf numFmtId="0" fontId="43" fillId="2" borderId="58" xfId="5" applyFont="1" applyFill="1" applyBorder="1" applyAlignment="1" applyProtection="1">
      <alignment horizontal="left" wrapText="1"/>
    </xf>
    <xf numFmtId="0" fontId="43" fillId="2" borderId="59" xfId="5" applyFont="1" applyFill="1" applyBorder="1" applyAlignment="1" applyProtection="1">
      <alignment horizontal="left" wrapText="1"/>
    </xf>
    <xf numFmtId="0" fontId="43" fillId="2" borderId="87" xfId="5" applyFont="1" applyFill="1" applyBorder="1" applyAlignment="1" applyProtection="1">
      <alignment horizontal="left" wrapText="1"/>
    </xf>
    <xf numFmtId="0" fontId="5" fillId="0" borderId="24" xfId="0" applyFont="1" applyBorder="1" applyAlignment="1">
      <alignment horizontal="left" wrapText="1"/>
    </xf>
    <xf numFmtId="0" fontId="5" fillId="0" borderId="66" xfId="0" applyFont="1" applyBorder="1" applyAlignment="1">
      <alignment horizontal="left" wrapText="1"/>
    </xf>
    <xf numFmtId="173" fontId="17" fillId="0" borderId="12" xfId="16" applyFont="1" applyBorder="1"/>
    <xf numFmtId="0" fontId="0" fillId="0" borderId="12" xfId="0" applyBorder="1"/>
    <xf numFmtId="0" fontId="0" fillId="3" borderId="26" xfId="0" applyFill="1" applyBorder="1" applyAlignment="1">
      <alignment horizontal="center"/>
    </xf>
    <xf numFmtId="0" fontId="0" fillId="3" borderId="27" xfId="0" applyFill="1" applyBorder="1" applyAlignment="1">
      <alignment horizontal="center"/>
    </xf>
    <xf numFmtId="0" fontId="17" fillId="3" borderId="13" xfId="0" applyFont="1" applyFill="1" applyBorder="1" applyAlignment="1">
      <alignment wrapText="1"/>
    </xf>
    <xf numFmtId="0" fontId="18" fillId="3" borderId="16" xfId="0" applyFont="1" applyFill="1" applyBorder="1" applyAlignment="1">
      <alignment wrapText="1"/>
    </xf>
  </cellXfs>
  <cellStyles count="21">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4">
    <dxf>
      <font>
        <strike val="0"/>
        <condense val="0"/>
        <extend val="0"/>
        <color indexed="22"/>
      </font>
    </dxf>
    <dxf>
      <font>
        <b/>
        <i val="0"/>
        <strike val="0"/>
        <condense val="0"/>
        <extend val="0"/>
        <color auto="1"/>
      </font>
    </dxf>
    <dxf>
      <font>
        <b val="0"/>
        <i val="0"/>
        <color auto="1"/>
      </font>
      <numFmt numFmtId="0" formatCode="General"/>
    </dxf>
    <dxf>
      <font>
        <b/>
        <i val="0"/>
        <color rgb="FFFFFF00"/>
      </font>
      <fill>
        <patternFill>
          <bgColor rgb="FFFF0000"/>
        </patternFill>
      </fill>
    </dxf>
  </dxfs>
  <tableStyles count="0" defaultTableStyle="TableStyleMedium9" defaultPivotStyle="PivotStyleLight16"/>
  <colors>
    <mruColors>
      <color rgb="FF0000FF"/>
      <color rgb="FFFF3300"/>
      <color rgb="FFFFCC99"/>
      <color rgb="FF97B757"/>
      <color rgb="FFB54E4B"/>
      <color rgb="FFF5FFE6"/>
      <color rgb="FFE4FDC2"/>
      <color rgb="FFDAFDA7"/>
      <color rgb="FFFFA2A1"/>
      <color rgb="FFFFBE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Fixed Operating Cost</c:v>
                </c:pt>
                <c:pt idx="6">
                  <c:v>Initial Equity Depreciable Capital</c:v>
                </c:pt>
                <c:pt idx="7">
                  <c:v>Debt Interest</c:v>
                </c:pt>
                <c:pt idx="8">
                  <c:v>Other Raw Material Cost</c:v>
                </c:pt>
                <c:pt idx="9">
                  <c:v>Cash for Working Capital Reserve</c:v>
                </c:pt>
                <c:pt idx="10">
                  <c:v>Other Variable Operating Costs</c:v>
                </c:pt>
                <c:pt idx="11">
                  <c:v>Taxes</c:v>
                </c:pt>
                <c:pt idx="12">
                  <c:v>Yearly Replacement Costs</c:v>
                </c:pt>
                <c:pt idx="13">
                  <c:v>Other Non-Depreciable Capital Costs</c:v>
                </c:pt>
                <c:pt idx="14">
                  <c:v>Principal Payment</c:v>
                </c:pt>
                <c:pt idx="15">
                  <c:v>Decommissioning Costs</c:v>
                </c:pt>
              </c:strCache>
            </c:strRef>
          </c:cat>
          <c:val>
            <c:numRef>
              <c:f>'Tornado Charts &amp; Risk Analysis'!$I$155:$I$170</c:f>
              <c:numCache>
                <c:formatCode>_("$"* #,##0.00_);_("$"* \(#,##0.00\);_("$"* "-"??_);_(@_)</c:formatCode>
                <c:ptCount val="16"/>
                <c:pt idx="0">
                  <c:v>1.0830381496636319</c:v>
                </c:pt>
                <c:pt idx="1">
                  <c:v>6.9008528456351935E-4</c:v>
                </c:pt>
                <c:pt idx="2">
                  <c:v>0</c:v>
                </c:pt>
                <c:pt idx="4">
                  <c:v>0.82426121735810753</c:v>
                </c:pt>
                <c:pt idx="5">
                  <c:v>8.5475901235362126E-2</c:v>
                </c:pt>
                <c:pt idx="6">
                  <c:v>6.8763896877743688E-2</c:v>
                </c:pt>
                <c:pt idx="7">
                  <c:v>4.1103279604089063E-2</c:v>
                </c:pt>
                <c:pt idx="8">
                  <c:v>1.6910628865952383E-2</c:v>
                </c:pt>
                <c:pt idx="9">
                  <c:v>1.2775814631268211E-2</c:v>
                </c:pt>
                <c:pt idx="10">
                  <c:v>1.0413134795616728E-2</c:v>
                </c:pt>
                <c:pt idx="11">
                  <c:v>9.7576491952823911E-3</c:v>
                </c:pt>
                <c:pt idx="12">
                  <c:v>8.787539454611408E-3</c:v>
                </c:pt>
                <c:pt idx="13">
                  <c:v>2.9542934018394833E-3</c:v>
                </c:pt>
                <c:pt idx="14">
                  <c:v>1.8464530985706127E-3</c:v>
                </c:pt>
                <c:pt idx="15">
                  <c:v>6.784264297513133E-4</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1.0830381496636319</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6.9008528456351935E-4</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0.82426121735810753</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Fixed Operating Cost</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8.5475901235362126E-2</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Initial Equity Depreciable Capital</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6.8763896877743688E-2</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Debt Interest</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4.1103279604089063E-2</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Other Raw Material Cost</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1.6910628865952383E-2</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Cash for Working Capital Reserve</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1.2775814631268211E-2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Other Variable Operating Costs</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1.0413134795616728E-2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Taxes</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9.7576491952823911E-3</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Yearly Replacement Costs</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8.787539454611408E-3</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Other Non-Depreciable Capital Costs</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2.9542934018394833E-3</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Principal Payment</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1.8464530985706127E-3</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Decommissioning Costs</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6.784264297513133E-4</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1.0837282349481954</c:v>
                </c:pt>
                <c:pt idx="1">
                  <c:v>1.0837282349481947</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Operating Capacity Factor
(95%, 90%, 86%)</c:v>
                </c:pt>
                <c:pt idx="1">
                  <c:v>Total Capital Investment
($269,479K, $283,662K, $297,845K) </c:v>
                </c:pt>
                <c:pt idx="2">
                  <c:v>Plant Design Capacity (kg of H2/day)
(507,175, 483,024, 458,873) </c:v>
                </c:pt>
                <c:pt idx="3">
                  <c:v>Total Fixed Operating Cost
($12,885K, $13,563K, $14,241K) </c:v>
                </c:pt>
                <c:pt idx="4">
                  <c:v>After-tax Real IRR
(8%, 8%, 8%)</c:v>
                </c:pt>
                <c:pt idx="5">
                  <c:v>Feedstock Consumption (% of baseline)
(95%, 100%, 105%)</c:v>
                </c:pt>
                <c:pt idx="6">
                  <c:v>#N/A</c:v>
                </c:pt>
              </c:strCache>
            </c:strRef>
          </c:cat>
          <c:val>
            <c:numRef>
              <c:f>'Tornado Charts &amp; Risk Analysis'!$H$101:$H$107</c:f>
              <c:numCache>
                <c:formatCode>General</c:formatCode>
                <c:ptCount val="7"/>
                <c:pt idx="0">
                  <c:v>1.0633569922594281</c:v>
                </c:pt>
                <c:pt idx="1">
                  <c:v>1.066815242095559</c:v>
                </c:pt>
                <c:pt idx="2">
                  <c:v>1.0690889287242045</c:v>
                </c:pt>
                <c:pt idx="3">
                  <c:v>1.0701065723104906</c:v>
                </c:pt>
                <c:pt idx="4">
                  <c:v>1.073118127311099</c:v>
                </c:pt>
                <c:pt idx="5">
                  <c:v>1.0744589135139428</c:v>
                </c:pt>
                <c:pt idx="6">
                  <c:v>#N/A</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Operating Capacity Factor
(95%, 90%, 86%)</c:v>
                </c:pt>
                <c:pt idx="1">
                  <c:v>Total Capital Investment
($269,479K, $283,662K, $297,845K) </c:v>
                </c:pt>
                <c:pt idx="2">
                  <c:v>Plant Design Capacity (kg of H2/day)
(507,175, 483,024, 458,873) </c:v>
                </c:pt>
                <c:pt idx="3">
                  <c:v>Total Fixed Operating Cost
($12,885K, $13,563K, $14,241K) </c:v>
                </c:pt>
                <c:pt idx="4">
                  <c:v>After-tax Real IRR
(8%, 8%, 8%)</c:v>
                </c:pt>
                <c:pt idx="5">
                  <c:v>Feedstock Consumption (% of baseline)
(95%, 100%, 105%)</c:v>
                </c:pt>
                <c:pt idx="6">
                  <c:v>#N/A</c:v>
                </c:pt>
              </c:strCache>
            </c:strRef>
          </c:cat>
          <c:val>
            <c:numRef>
              <c:f>'Tornado Charts &amp; Risk Analysis'!$I$101:$I$107</c:f>
              <c:numCache>
                <c:formatCode>General</c:formatCode>
                <c:ptCount val="7"/>
                <c:pt idx="0">
                  <c:v>1.1101921254514702E-2</c:v>
                </c:pt>
                <c:pt idx="1">
                  <c:v>7.6436714183838461E-3</c:v>
                </c:pt>
                <c:pt idx="2">
                  <c:v>5.3699847897383801E-3</c:v>
                </c:pt>
                <c:pt idx="3">
                  <c:v>4.3523412034522924E-3</c:v>
                </c:pt>
                <c:pt idx="4">
                  <c:v>1.3407862028438355E-3</c:v>
                </c:pt>
                <c:pt idx="5">
                  <c:v>0</c:v>
                </c:pt>
                <c:pt idx="6">
                  <c:v>#N/A</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Operating Capacity Factor
(95%, 90%, 86%)</c:v>
                </c:pt>
                <c:pt idx="1">
                  <c:v>Total Capital Investment
($269,479K, $283,662K, $297,845K) </c:v>
                </c:pt>
                <c:pt idx="2">
                  <c:v>Plant Design Capacity (kg of H2/day)
(507,175, 483,024, 458,873) </c:v>
                </c:pt>
                <c:pt idx="3">
                  <c:v>Total Fixed Operating Cost
($12,885K, $13,563K, $14,241K) </c:v>
                </c:pt>
                <c:pt idx="4">
                  <c:v>After-tax Real IRR
(8%, 8%, 8%)</c:v>
                </c:pt>
                <c:pt idx="5">
                  <c:v>Feedstock Consumption (% of baseline)
(95%, 100%, 105%)</c:v>
                </c:pt>
                <c:pt idx="6">
                  <c:v>#N/A</c:v>
                </c:pt>
              </c:strCache>
            </c:strRef>
          </c:cat>
          <c:val>
            <c:numRef>
              <c:f>'Tornado Charts &amp; Risk Analysis'!$J$101:$J$107</c:f>
              <c:numCache>
                <c:formatCode>General</c:formatCode>
                <c:ptCount val="7"/>
                <c:pt idx="0">
                  <c:v>1.227054454446419E-2</c:v>
                </c:pt>
                <c:pt idx="1">
                  <c:v>7.6436714183836241E-3</c:v>
                </c:pt>
                <c:pt idx="2">
                  <c:v>5.8234349627488413E-3</c:v>
                </c:pt>
                <c:pt idx="3">
                  <c:v>4.3523412034527365E-3</c:v>
                </c:pt>
                <c:pt idx="4">
                  <c:v>1.56624376926362E-3</c:v>
                </c:pt>
                <c:pt idx="5">
                  <c:v>0</c:v>
                </c:pt>
                <c:pt idx="6">
                  <c:v>#N/A</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1.0633569922594281</c:v>
                </c:pt>
                <c:pt idx="1">
                  <c:v>1.066815242095559</c:v>
                </c:pt>
                <c:pt idx="2">
                  <c:v>1.0690889287242045</c:v>
                </c:pt>
                <c:pt idx="3">
                  <c:v>1.0701065723104906</c:v>
                </c:pt>
                <c:pt idx="4">
                  <c:v>1.073118127311099</c:v>
                </c:pt>
                <c:pt idx="5">
                  <c:v>1.0744589135139428</c:v>
                </c:pt>
                <c:pt idx="6">
                  <c:v>#N/A</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1.086729458058407</c:v>
                </c:pt>
                <c:pt idx="1">
                  <c:v>1.0821025849323265</c:v>
                </c:pt>
                <c:pt idx="2">
                  <c:v>1.0802823484766917</c:v>
                </c:pt>
                <c:pt idx="3">
                  <c:v>1.0788112547173956</c:v>
                </c:pt>
                <c:pt idx="4">
                  <c:v>1.0760251572832065</c:v>
                </c:pt>
                <c:pt idx="5">
                  <c:v>1.0744589135139428</c:v>
                </c:pt>
                <c:pt idx="6">
                  <c:v>#N/A</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1.0744589135139428</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#N/A</c:v>
                </c:pt>
                <c:pt idx="5">
                  <c:v>Feedstock consumption (% of most likely value)
= -5%</c:v>
                </c:pt>
                <c:pt idx="6">
                  <c:v>Adjusted</c:v>
                </c:pt>
              </c:strCache>
            </c:strRef>
          </c:cat>
          <c:val>
            <c:numRef>
              <c:f>'Tornado Charts &amp; Risk Analysis'!$E$175:$E$181</c:f>
              <c:numCache>
                <c:formatCode>_("$"* #,##0.00_);_("$"* \(#,##0.00\);_("$"* "-"??_);_(@_)</c:formatCode>
                <c:ptCount val="7"/>
                <c:pt idx="0">
                  <c:v>1.0744589135139428</c:v>
                </c:pt>
                <c:pt idx="1">
                  <c:v>1.0633569922594281</c:v>
                </c:pt>
                <c:pt idx="2">
                  <c:v>1.0560773051943011</c:v>
                </c:pt>
                <c:pt idx="3">
                  <c:v>1.0520189119739964</c:v>
                </c:pt>
                <c:pt idx="4">
                  <c:v>1.0520189119739964</c:v>
                </c:pt>
                <c:pt idx="5">
                  <c:v>1.0520189119739964</c:v>
                </c:pt>
                <c:pt idx="6">
                  <c:v>1.0520189119739964</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#N/A</c:v>
                </c:pt>
                <c:pt idx="5">
                  <c:v>Feedstock consumption (% of most likely value)
= -5%</c:v>
                </c:pt>
                <c:pt idx="6">
                  <c:v>Adjusted</c:v>
                </c:pt>
              </c:strCache>
            </c:strRef>
          </c:cat>
          <c:val>
            <c:numRef>
              <c:f>'Tornado Charts &amp; Risk Analysis'!$F$175:$F$181</c:f>
              <c:numCache>
                <c:formatCode>_("$"* #,##0.00_);_("$"* \(#,##0.00\);_("$"* "-"??_);_(@_)</c:formatCode>
                <c:ptCount val="7"/>
                <c:pt idx="1">
                  <c:v>1.1101921254514702E-2</c:v>
                </c:pt>
                <c:pt idx="2">
                  <c:v>7.2796870651270496E-3</c:v>
                </c:pt>
                <c:pt idx="3">
                  <c:v>4.0583932203046569E-3</c:v>
                </c:pt>
                <c:pt idx="4">
                  <c:v>0</c:v>
                </c:pt>
                <c:pt idx="5">
                  <c:v>0</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#N/A</c:v>
                </c:pt>
                <c:pt idx="5">
                  <c:v>Feedstock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1.054991275048049</c:v>
                </c:pt>
                <c:pt idx="1">
                  <c:v>1.057087932058054</c:v>
                </c:pt>
                <c:pt idx="2">
                  <c:v>1.0591845890680589</c:v>
                </c:pt>
                <c:pt idx="3">
                  <c:v>1.0612812460780638</c:v>
                </c:pt>
                <c:pt idx="4">
                  <c:v>1.0633779030880688</c:v>
                </c:pt>
                <c:pt idx="5">
                  <c:v>1.0654745600980737</c:v>
                </c:pt>
                <c:pt idx="6">
                  <c:v>1.0675712171080787</c:v>
                </c:pt>
                <c:pt idx="7">
                  <c:v>1.0696678741180836</c:v>
                </c:pt>
                <c:pt idx="8">
                  <c:v>1.0717645311280886</c:v>
                </c:pt>
                <c:pt idx="9">
                  <c:v>1.0738611881380935</c:v>
                </c:pt>
                <c:pt idx="10">
                  <c:v>1.0759578451480984</c:v>
                </c:pt>
                <c:pt idx="11">
                  <c:v>1.0780545021581034</c:v>
                </c:pt>
                <c:pt idx="12">
                  <c:v>1.0801511591681083</c:v>
                </c:pt>
                <c:pt idx="13">
                  <c:v>1.0822478161781133</c:v>
                </c:pt>
                <c:pt idx="14">
                  <c:v>1.0843444731881182</c:v>
                </c:pt>
                <c:pt idx="15">
                  <c:v>1.0864411301981232</c:v>
                </c:pt>
                <c:pt idx="16">
                  <c:v>1.0885377872081281</c:v>
                </c:pt>
                <c:pt idx="17">
                  <c:v>1.090634444218133</c:v>
                </c:pt>
                <c:pt idx="18">
                  <c:v>1.092731101228138</c:v>
                </c:pt>
                <c:pt idx="19">
                  <c:v>1.094828258238143</c:v>
                </c:pt>
              </c:numCache>
            </c:numRef>
          </c:xVal>
          <c:yVal>
            <c:numRef>
              <c:f>'Tornado Charts &amp; Risk Analysis'!$I$202:$I$221</c:f>
              <c:numCache>
                <c:formatCode>General</c:formatCode>
                <c:ptCount val="20"/>
                <c:pt idx="0">
                  <c:v>1E-3</c:v>
                </c:pt>
                <c:pt idx="1">
                  <c:v>3.0000000000000001E-3</c:v>
                </c:pt>
                <c:pt idx="2">
                  <c:v>1.15E-2</c:v>
                </c:pt>
                <c:pt idx="3">
                  <c:v>2.8500000000000001E-2</c:v>
                </c:pt>
                <c:pt idx="4">
                  <c:v>5.7500000000000002E-2</c:v>
                </c:pt>
                <c:pt idx="5">
                  <c:v>0.11</c:v>
                </c:pt>
                <c:pt idx="6">
                  <c:v>0.17899999999999999</c:v>
                </c:pt>
                <c:pt idx="7">
                  <c:v>0.27349999999999997</c:v>
                </c:pt>
                <c:pt idx="8">
                  <c:v>0.38299999999999995</c:v>
                </c:pt>
                <c:pt idx="9">
                  <c:v>0.52349999999999997</c:v>
                </c:pt>
                <c:pt idx="10">
                  <c:v>0.64799999999999991</c:v>
                </c:pt>
                <c:pt idx="11">
                  <c:v>0.75199999999999989</c:v>
                </c:pt>
                <c:pt idx="12">
                  <c:v>0.83749999999999991</c:v>
                </c:pt>
                <c:pt idx="13">
                  <c:v>0.90549999999999997</c:v>
                </c:pt>
                <c:pt idx="14">
                  <c:v>0.94950000000000001</c:v>
                </c:pt>
                <c:pt idx="15">
                  <c:v>0.97550000000000003</c:v>
                </c:pt>
                <c:pt idx="16">
                  <c:v>0.98750000000000004</c:v>
                </c:pt>
                <c:pt idx="17">
                  <c:v>0.99750000000000005</c:v>
                </c:pt>
                <c:pt idx="18">
                  <c:v>0.999</c:v>
                </c:pt>
                <c:pt idx="19">
                  <c:v>1</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1.054991275048049</c:v>
                </c:pt>
                <c:pt idx="1">
                  <c:v>1.057087932058054</c:v>
                </c:pt>
                <c:pt idx="2">
                  <c:v>1.0591845890680589</c:v>
                </c:pt>
                <c:pt idx="3">
                  <c:v>1.0612812460780638</c:v>
                </c:pt>
                <c:pt idx="4">
                  <c:v>1.0633779030880688</c:v>
                </c:pt>
                <c:pt idx="5">
                  <c:v>1.0654745600980737</c:v>
                </c:pt>
                <c:pt idx="6">
                  <c:v>1.0675712171080787</c:v>
                </c:pt>
                <c:pt idx="7">
                  <c:v>1.0696678741180836</c:v>
                </c:pt>
                <c:pt idx="8">
                  <c:v>1.0717645311280886</c:v>
                </c:pt>
                <c:pt idx="9">
                  <c:v>1.0738611881380935</c:v>
                </c:pt>
                <c:pt idx="10">
                  <c:v>1.0759578451480984</c:v>
                </c:pt>
                <c:pt idx="11">
                  <c:v>1.0780545021581034</c:v>
                </c:pt>
                <c:pt idx="12">
                  <c:v>1.0801511591681083</c:v>
                </c:pt>
                <c:pt idx="13">
                  <c:v>1.0822478161781133</c:v>
                </c:pt>
                <c:pt idx="14">
                  <c:v>1.0843444731881182</c:v>
                </c:pt>
                <c:pt idx="15">
                  <c:v>1.0864411301981232</c:v>
                </c:pt>
                <c:pt idx="16">
                  <c:v>1.0885377872081281</c:v>
                </c:pt>
                <c:pt idx="17">
                  <c:v>1.090634444218133</c:v>
                </c:pt>
                <c:pt idx="18">
                  <c:v>1.092731101228138</c:v>
                </c:pt>
                <c:pt idx="19">
                  <c:v>1.094828258238143</c:v>
                </c:pt>
              </c:numCache>
            </c:numRef>
          </c:xVal>
          <c:yVal>
            <c:numRef>
              <c:f>'Tornado Charts &amp; Risk Analysis'!$H$202:$H$221</c:f>
              <c:numCache>
                <c:formatCode>General</c:formatCode>
                <c:ptCount val="20"/>
                <c:pt idx="0">
                  <c:v>1E-3</c:v>
                </c:pt>
                <c:pt idx="1">
                  <c:v>2E-3</c:v>
                </c:pt>
                <c:pt idx="2">
                  <c:v>8.5000000000000006E-3</c:v>
                </c:pt>
                <c:pt idx="3">
                  <c:v>1.7000000000000001E-2</c:v>
                </c:pt>
                <c:pt idx="4">
                  <c:v>2.9000000000000001E-2</c:v>
                </c:pt>
                <c:pt idx="5">
                  <c:v>5.2499999999999998E-2</c:v>
                </c:pt>
                <c:pt idx="6">
                  <c:v>6.9000000000000006E-2</c:v>
                </c:pt>
                <c:pt idx="7">
                  <c:v>9.4500000000000001E-2</c:v>
                </c:pt>
                <c:pt idx="8">
                  <c:v>0.1095</c:v>
                </c:pt>
                <c:pt idx="9">
                  <c:v>0.14050000000000001</c:v>
                </c:pt>
                <c:pt idx="10">
                  <c:v>0.1245</c:v>
                </c:pt>
                <c:pt idx="11">
                  <c:v>0.104</c:v>
                </c:pt>
                <c:pt idx="12">
                  <c:v>8.5500000000000007E-2</c:v>
                </c:pt>
                <c:pt idx="13">
                  <c:v>6.8000000000000005E-2</c:v>
                </c:pt>
                <c:pt idx="14">
                  <c:v>4.3999999999999997E-2</c:v>
                </c:pt>
                <c:pt idx="15">
                  <c:v>2.5999999999999999E-2</c:v>
                </c:pt>
                <c:pt idx="16">
                  <c:v>1.2E-2</c:v>
                </c:pt>
                <c:pt idx="17">
                  <c:v>0.01</c:v>
                </c:pt>
                <c:pt idx="18">
                  <c:v>1.5E-3</c:v>
                </c:pt>
                <c:pt idx="19">
                  <c:v>1E-3</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Lists!$Q$4" lockText="1"/>
</file>

<file path=xl/ctrlProps/ctrlProp2.xml><?xml version="1.0" encoding="utf-8"?>
<formControlPr xmlns="http://schemas.microsoft.com/office/spreadsheetml/2009/9/main" objectType="CheckBox" checked="Checked" fmlaLink="Lists!$Q$5" lockText="1"/>
</file>

<file path=xl/ctrlProps/ctrlProp3.xml><?xml version="1.0" encoding="utf-8"?>
<formControlPr xmlns="http://schemas.microsoft.com/office/spreadsheetml/2009/9/main" objectType="CheckBox" checked="Checked" fmlaLink="Lists!$Q$6" lockText="1"/>
</file>

<file path=xl/ctrlProps/ctrlProp4.xml><?xml version="1.0" encoding="utf-8"?>
<formControlPr xmlns="http://schemas.microsoft.com/office/spreadsheetml/2009/9/main" objectType="CheckBox" checked="Checked" fmlaLink="Lists!$Q$7" lockText="1"/>
</file>

<file path=xl/ctrlProps/ctrlProp5.xml><?xml version="1.0" encoding="utf-8"?>
<formControlPr xmlns="http://schemas.microsoft.com/office/spreadsheetml/2009/9/main" objectType="CheckBox" checked="Checked" fmlaLink="Lists!$Q$8" lockText="1"/>
</file>

<file path=xl/ctrlProps/ctrlProp6.xml><?xml version="1.0" encoding="utf-8"?>
<formControlPr xmlns="http://schemas.microsoft.com/office/spreadsheetml/2009/9/main" objectType="CheckBox" checked="Checked" fmlaLink="Lists!$Q$9" lockText="1"/>
</file>

<file path=xl/ctrlProps/ctrlProp7.xml><?xml version="1.0" encoding="utf-8"?>
<formControlPr xmlns="http://schemas.microsoft.com/office/spreadsheetml/2009/9/main" objectType="CheckBox" checked="Checked" fmlaLink="Lists!$Q$10" lockText="1"/>
</file>

<file path=xl/ctrlProps/ctrlProp8.xml><?xml version="1.0" encoding="utf-8"?>
<formControlPr xmlns="http://schemas.microsoft.com/office/spreadsheetml/2009/9/main" objectType="CheckBox" checked="Checked" fmlaLink="Lists!$Q$11" lockText="1"/>
</file>

<file path=xl/ctrlProps/ctrlProp9.xml><?xml version="1.0" encoding="utf-8"?>
<formControlPr xmlns="http://schemas.microsoft.com/office/spreadsheetml/2009/9/main" objectType="CheckBox" checked="Checked" fmlaLink="Lists!$Q$12" lockText="1"/>
</file>

<file path=xl/ctrlProps/ctrlProp10.xml><?xml version="1.0" encoding="utf-8"?>
<formControlPr xmlns="http://schemas.microsoft.com/office/spreadsheetml/2009/9/main" objectType="CheckBox" checked="Checked" fmlaLink="Lists!$Q$13" lockText="1"/>
</file>

<file path=xl/ctrlProps/ctrlProp11.xml><?xml version="1.0" encoding="utf-8"?>
<formControlPr xmlns="http://schemas.microsoft.com/office/spreadsheetml/2009/9/main" objectType="CheckBox" checked="Checked" fmlaLink="Lists!$Q$14" lockText="1"/>
</file>

<file path=xl/ctrlProps/ctrlProp12.xml><?xml version="1.0" encoding="utf-8"?>
<formControlPr xmlns="http://schemas.microsoft.com/office/spreadsheetml/2009/9/main" objectType="CheckBox" checked="Checked" fmlaLink="Lists!$Q$15" lockText="1"/>
</file>

<file path=xl/ctrlProps/ctrlProp13.xml><?xml version="1.0" encoding="utf-8"?>
<formControlPr xmlns="http://schemas.microsoft.com/office/spreadsheetml/2009/9/main" objectType="CheckBox" fmlaLink="Lists!$AA$4" lockText="1"/>
</file>

<file path=xl/ctrlProps/ctrlProp14.xml><?xml version="1.0" encoding="utf-8"?>
<formControlPr xmlns="http://schemas.microsoft.com/office/spreadsheetml/2009/9/main" objectType="CheckBox" checked="Checked" fmlaLink="Lists!$AA$6" lockText="1"/>
</file>

<file path=xl/ctrlProps/ctrlProp15.xml><?xml version="1.0" encoding="utf-8"?>
<formControlPr xmlns="http://schemas.microsoft.com/office/spreadsheetml/2009/9/main" objectType="CheckBox" checked="Checked" fmlaLink="Lists!$AA$8" lockText="1"/>
</file>

<file path=xl/ctrlProps/ctrlProp16.xml><?xml version="1.0" encoding="utf-8"?>
<formControlPr xmlns="http://schemas.microsoft.com/office/spreadsheetml/2009/9/main" objectType="CheckBox" checked="Checked" fmlaLink="Lists!$AA$10" lockText="1"/>
</file>

<file path=xl/ctrlProps/ctrlProp17.xml><?xml version="1.0" encoding="utf-8"?>
<formControlPr xmlns="http://schemas.microsoft.com/office/spreadsheetml/2009/9/main" objectType="CheckBox" checked="Checked" fmlaLink="Lists!$AA$11" lockText="1"/>
</file>

<file path=xl/ctrlProps/ctrlProp18.xml><?xml version="1.0" encoding="utf-8"?>
<formControlPr xmlns="http://schemas.microsoft.com/office/spreadsheetml/2009/9/main" objectType="CheckBox" checked="Checked" fmlaLink="Lists!$AA$12" lockText="1"/>
</file>

<file path=xl/ctrlProps/ctrlProp19.xml><?xml version="1.0" encoding="utf-8"?>
<formControlPr xmlns="http://schemas.microsoft.com/office/spreadsheetml/2009/9/main" objectType="CheckBox" checked="Checked" fmlaLink="Lists!$AA$9" lockText="1"/>
</file>

<file path=xl/ctrlProps/ctrlProp20.xml><?xml version="1.0" encoding="utf-8"?>
<formControlPr xmlns="http://schemas.microsoft.com/office/spreadsheetml/2009/9/main" objectType="CheckBox" checked="Checked" fmlaLink="Lists!$AA$13" lockText="1"/>
</file>

<file path=xl/ctrlProps/ctrlProp21.xml><?xml version="1.0" encoding="utf-8"?>
<formControlPr xmlns="http://schemas.microsoft.com/office/spreadsheetml/2009/9/main" objectType="CheckBox" checked="Checked" fmlaLink="Lists!$AA$14" lockText="1"/>
</file>

<file path=xl/ctrlProps/ctrlProp22.xml><?xml version="1.0" encoding="utf-8"?>
<formControlPr xmlns="http://schemas.microsoft.com/office/spreadsheetml/2009/9/main" objectType="CheckBox" checked="Checked" fmlaLink="Lists!$AA$7" lockText="1"/>
</file>

<file path=xl/ctrlProps/ctrlProp23.xml><?xml version="1.0" encoding="utf-8"?>
<formControlPr xmlns="http://schemas.microsoft.com/office/spreadsheetml/2009/9/main" objectType="CheckBox" checked="Checked" fmlaLink="Lists!$AA$5"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0</xdr:colOff>
      <xdr:row>2</xdr:row>
      <xdr:rowOff>31296</xdr:rowOff>
    </xdr:from>
    <xdr:to>
      <xdr:col>8</xdr:col>
      <xdr:colOff>166315</xdr:colOff>
      <xdr:row>4</xdr:row>
      <xdr:rowOff>93642</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flipH="1">
          <a:off x="2562859" y="461992"/>
          <a:ext cx="3460254" cy="39365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1</xdr:col>
      <xdr:colOff>968188</xdr:colOff>
      <xdr:row>7</xdr:row>
      <xdr:rowOff>0</xdr:rowOff>
    </xdr:from>
    <xdr:to>
      <xdr:col>15</xdr:col>
      <xdr:colOff>268941</xdr:colOff>
      <xdr:row>27</xdr:row>
      <xdr:rowOff>67348</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1">
          <a:duotone>
            <a:prstClr val="black"/>
            <a:schemeClr val="accent5">
              <a:tint val="45000"/>
              <a:satMod val="400000"/>
            </a:schemeClr>
          </a:duotone>
          <a:extLst>
            <a:ext uri="{28A0092B-C50C-407E-A947-70E740481C1C}">
              <a14:useLocalDpi xmlns:a14="http://schemas.microsoft.com/office/drawing/2010/main" val="0"/>
            </a:ext>
          </a:extLst>
        </a:blip>
        <a:srcRect/>
        <a:stretch/>
      </xdr:blipFill>
      <xdr:spPr bwMode="auto">
        <a:xfrm>
          <a:off x="1577788" y="1290918"/>
          <a:ext cx="8229600" cy="3491865"/>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223</xdr:row>
      <xdr:rowOff>0</xdr:rowOff>
    </xdr:from>
    <xdr:to>
      <xdr:col>2</xdr:col>
      <xdr:colOff>76200</xdr:colOff>
      <xdr:row>224</xdr:row>
      <xdr:rowOff>36439</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130</xdr:row>
      <xdr:rowOff>289433</xdr:rowOff>
    </xdr:from>
    <xdr:to>
      <xdr:col>5</xdr:col>
      <xdr:colOff>681318</xdr:colOff>
      <xdr:row>132</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133</xdr:row>
      <xdr:rowOff>143435</xdr:rowOff>
    </xdr:from>
    <xdr:to>
      <xdr:col>4</xdr:col>
      <xdr:colOff>645460</xdr:colOff>
      <xdr:row>134</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133</xdr:row>
      <xdr:rowOff>152400</xdr:rowOff>
    </xdr:from>
    <xdr:to>
      <xdr:col>5</xdr:col>
      <xdr:colOff>1156447</xdr:colOff>
      <xdr:row>135</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151</xdr:row>
      <xdr:rowOff>17930</xdr:rowOff>
    </xdr:from>
    <xdr:to>
      <xdr:col>4</xdr:col>
      <xdr:colOff>762001</xdr:colOff>
      <xdr:row>151</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86</xdr:row>
      <xdr:rowOff>205408</xdr:rowOff>
    </xdr:from>
    <xdr:to>
      <xdr:col>3</xdr:col>
      <xdr:colOff>1351721</xdr:colOff>
      <xdr:row>88</xdr:row>
      <xdr:rowOff>6625</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3</xdr:col>
      <xdr:colOff>26030</xdr:colOff>
      <xdr:row>88</xdr:row>
      <xdr:rowOff>20351</xdr:rowOff>
    </xdr:from>
    <xdr:to>
      <xdr:col>3</xdr:col>
      <xdr:colOff>1364974</xdr:colOff>
      <xdr:row>90</xdr:row>
      <xdr:rowOff>0</xdr:rowOff>
    </xdr:to>
    <xdr:sp macro="[0]!LinkToDetailedSheet" textlink="">
      <xdr:nvSpPr>
        <xdr:cNvPr id="57" name="Rounded Rectangle 56">
          <a:extLst>
            <a:ext uri="{FF2B5EF4-FFF2-40B4-BE49-F238E27FC236}">
              <a16:creationId xmlns:a16="http://schemas.microsoft.com/office/drawing/2014/main" id="{00000000-0008-0000-0300-000039000000}"/>
            </a:ext>
          </a:extLst>
        </xdr:cNvPr>
        <xdr:cNvSpPr/>
      </xdr:nvSpPr>
      <xdr:spPr>
        <a:xfrm>
          <a:off x="6095136" y="21804586"/>
          <a:ext cx="1338944" cy="62510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Unlink</a:t>
          </a:r>
        </a:p>
      </xdr:txBody>
    </xdr:sp>
    <xdr:clientData/>
  </xdr:twoCellAnchor>
  <mc:AlternateContent xmlns:mc="http://schemas.openxmlformats.org/markup-compatibility/2006">
    <mc:Choice xmlns:a14="http://schemas.microsoft.com/office/drawing/2010/main" Requires="a14">
      <xdr:twoCellAnchor editAs="oneCell">
        <xdr:from>
          <xdr:col>3</xdr:col>
          <xdr:colOff>152400</xdr:colOff>
          <xdr:row>29</xdr:row>
          <xdr:rowOff>0</xdr:rowOff>
        </xdr:from>
        <xdr:to>
          <xdr:col>3</xdr:col>
          <xdr:colOff>1066800</xdr:colOff>
          <xdr:row>30</xdr:row>
          <xdr:rowOff>0</xdr:rowOff>
        </xdr:to>
        <xdr:sp macro="" textlink="">
          <xdr:nvSpPr>
            <xdr:cNvPr id="1225" name="Check Box 201" descr="H2A default" hidden="1">
              <a:extLst>
                <a:ext uri="{63B3BB69-23CF-44E3-9099-C40C66FF867C}">
                  <a14:compatExt spid="_x0000_s1225"/>
                </a:ext>
                <a:ext uri="{FF2B5EF4-FFF2-40B4-BE49-F238E27FC236}">
                  <a16:creationId xmlns:a16="http://schemas.microsoft.com/office/drawing/2014/main" id="{00000000-0008-0000-0300-0000C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40</xdr:row>
          <xdr:rowOff>215900</xdr:rowOff>
        </xdr:from>
        <xdr:to>
          <xdr:col>3</xdr:col>
          <xdr:colOff>1066800</xdr:colOff>
          <xdr:row>42</xdr:row>
          <xdr:rowOff>764</xdr:rowOff>
        </xdr:to>
        <xdr:sp macro="" textlink="">
          <xdr:nvSpPr>
            <xdr:cNvPr id="1226" name="Check Box 202" descr="H2A default" hidden="1">
              <a:extLst>
                <a:ext uri="{63B3BB69-23CF-44E3-9099-C40C66FF867C}">
                  <a14:compatExt spid="_x0000_s1226"/>
                </a:ext>
                <a:ext uri="{FF2B5EF4-FFF2-40B4-BE49-F238E27FC236}">
                  <a16:creationId xmlns:a16="http://schemas.microsoft.com/office/drawing/2014/main" id="{00000000-0008-0000-0300-0000C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42</xdr:row>
          <xdr:rowOff>0</xdr:rowOff>
        </xdr:from>
        <xdr:to>
          <xdr:col>3</xdr:col>
          <xdr:colOff>1066800</xdr:colOff>
          <xdr:row>43</xdr:row>
          <xdr:rowOff>0</xdr:rowOff>
        </xdr:to>
        <xdr:sp macro="" textlink="">
          <xdr:nvSpPr>
            <xdr:cNvPr id="1231" name="Check Box 203" descr="H2A default" hidden="1">
              <a:extLst>
                <a:ext uri="{63B3BB69-23CF-44E3-9099-C40C66FF867C}">
                  <a14:compatExt spid="_x0000_s1231"/>
                </a:ext>
                <a:ext uri="{FF2B5EF4-FFF2-40B4-BE49-F238E27FC236}">
                  <a16:creationId xmlns:a16="http://schemas.microsoft.com/office/drawing/2014/main" id="{00000000-0008-0000-0300-0000C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47</xdr:row>
          <xdr:rowOff>215900</xdr:rowOff>
        </xdr:from>
        <xdr:to>
          <xdr:col>3</xdr:col>
          <xdr:colOff>1066800</xdr:colOff>
          <xdr:row>48</xdr:row>
          <xdr:rowOff>216647</xdr:rowOff>
        </xdr:to>
        <xdr:sp macro="" textlink="">
          <xdr:nvSpPr>
            <xdr:cNvPr id="1233" name="Check Box 204" descr="H2A default" hidden="1">
              <a:extLst>
                <a:ext uri="{63B3BB69-23CF-44E3-9099-C40C66FF867C}">
                  <a14:compatExt spid="_x0000_s1233"/>
                </a:ext>
                <a:ext uri="{FF2B5EF4-FFF2-40B4-BE49-F238E27FC236}">
                  <a16:creationId xmlns:a16="http://schemas.microsoft.com/office/drawing/2014/main" id="{00000000-0008-0000-0300-0000D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49</xdr:row>
          <xdr:rowOff>0</xdr:rowOff>
        </xdr:from>
        <xdr:to>
          <xdr:col>3</xdr:col>
          <xdr:colOff>1066800</xdr:colOff>
          <xdr:row>49</xdr:row>
          <xdr:rowOff>215136</xdr:rowOff>
        </xdr:to>
        <xdr:sp macro="" textlink="">
          <xdr:nvSpPr>
            <xdr:cNvPr id="1234" name="Check Box 205" descr="H2A default" hidden="1">
              <a:extLst>
                <a:ext uri="{63B3BB69-23CF-44E3-9099-C40C66FF867C}">
                  <a14:compatExt spid="_x0000_s1234"/>
                </a:ext>
                <a:ext uri="{FF2B5EF4-FFF2-40B4-BE49-F238E27FC236}">
                  <a16:creationId xmlns:a16="http://schemas.microsoft.com/office/drawing/2014/main" id="{00000000-0008-0000-0300-0000D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50</xdr:row>
          <xdr:rowOff>0</xdr:rowOff>
        </xdr:from>
        <xdr:to>
          <xdr:col>3</xdr:col>
          <xdr:colOff>1066800</xdr:colOff>
          <xdr:row>50</xdr:row>
          <xdr:rowOff>216647</xdr:rowOff>
        </xdr:to>
        <xdr:sp macro="" textlink="">
          <xdr:nvSpPr>
            <xdr:cNvPr id="1235" name="Check Box 206" descr="H2A default" hidden="1">
              <a:extLst>
                <a:ext uri="{63B3BB69-23CF-44E3-9099-C40C66FF867C}">
                  <a14:compatExt spid="_x0000_s1235"/>
                </a:ext>
                <a:ext uri="{FF2B5EF4-FFF2-40B4-BE49-F238E27FC236}">
                  <a16:creationId xmlns:a16="http://schemas.microsoft.com/office/drawing/2014/main" id="{00000000-0008-0000-0300-0000D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51</xdr:row>
          <xdr:rowOff>0</xdr:rowOff>
        </xdr:from>
        <xdr:to>
          <xdr:col>3</xdr:col>
          <xdr:colOff>1066800</xdr:colOff>
          <xdr:row>52</xdr:row>
          <xdr:rowOff>0</xdr:rowOff>
        </xdr:to>
        <xdr:sp macro="" textlink="">
          <xdr:nvSpPr>
            <xdr:cNvPr id="1236" name="Check Box 207" descr="H2A default" hidden="1">
              <a:extLst>
                <a:ext uri="{63B3BB69-23CF-44E3-9099-C40C66FF867C}">
                  <a14:compatExt spid="_x0000_s1236"/>
                </a:ext>
                <a:ext uri="{FF2B5EF4-FFF2-40B4-BE49-F238E27FC236}">
                  <a16:creationId xmlns:a16="http://schemas.microsoft.com/office/drawing/2014/main" id="{00000000-0008-0000-0300-0000D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52</xdr:row>
          <xdr:rowOff>0</xdr:rowOff>
        </xdr:from>
        <xdr:to>
          <xdr:col>3</xdr:col>
          <xdr:colOff>1066800</xdr:colOff>
          <xdr:row>53</xdr:row>
          <xdr:rowOff>0</xdr:rowOff>
        </xdr:to>
        <xdr:sp macro="" textlink="">
          <xdr:nvSpPr>
            <xdr:cNvPr id="1237" name="Check Box 208" descr="H2A default" hidden="1">
              <a:extLst>
                <a:ext uri="{63B3BB69-23CF-44E3-9099-C40C66FF867C}">
                  <a14:compatExt spid="_x0000_s1237"/>
                </a:ext>
                <a:ext uri="{FF2B5EF4-FFF2-40B4-BE49-F238E27FC236}">
                  <a16:creationId xmlns:a16="http://schemas.microsoft.com/office/drawing/2014/main" id="{00000000-0008-0000-0300-0000D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53</xdr:row>
          <xdr:rowOff>0</xdr:rowOff>
        </xdr:from>
        <xdr:to>
          <xdr:col>3</xdr:col>
          <xdr:colOff>1066800</xdr:colOff>
          <xdr:row>54</xdr:row>
          <xdr:rowOff>0</xdr:rowOff>
        </xdr:to>
        <xdr:sp macro="" textlink="">
          <xdr:nvSpPr>
            <xdr:cNvPr id="1238" name="Check Box 209" descr="H2A default" hidden="1">
              <a:extLst>
                <a:ext uri="{63B3BB69-23CF-44E3-9099-C40C66FF867C}">
                  <a14:compatExt spid="_x0000_s1238"/>
                </a:ext>
                <a:ext uri="{FF2B5EF4-FFF2-40B4-BE49-F238E27FC236}">
                  <a16:creationId xmlns:a16="http://schemas.microsoft.com/office/drawing/2014/main" id="{00000000-0008-0000-0300-0000D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54</xdr:row>
          <xdr:rowOff>190500</xdr:rowOff>
        </xdr:from>
        <xdr:to>
          <xdr:col>3</xdr:col>
          <xdr:colOff>1066800</xdr:colOff>
          <xdr:row>55</xdr:row>
          <xdr:rowOff>190500</xdr:rowOff>
        </xdr:to>
        <xdr:sp macro="" textlink="">
          <xdr:nvSpPr>
            <xdr:cNvPr id="1239" name="Check Box 210" descr="H2A default" hidden="1">
              <a:extLst>
                <a:ext uri="{63B3BB69-23CF-44E3-9099-C40C66FF867C}">
                  <a14:compatExt spid="_x0000_s1239"/>
                </a:ext>
                <a:ext uri="{FF2B5EF4-FFF2-40B4-BE49-F238E27FC236}">
                  <a16:creationId xmlns:a16="http://schemas.microsoft.com/office/drawing/2014/main" id="{00000000-0008-0000-0300-0000D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65</xdr:row>
      <xdr:rowOff>228600</xdr:rowOff>
    </xdr:from>
    <xdr:ext cx="415498" cy="269369"/>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924550" y="14973300"/>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65</xdr:row>
      <xdr:rowOff>228600</xdr:rowOff>
    </xdr:from>
    <xdr:ext cx="1450397" cy="269369"/>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3000375" y="14973300"/>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mc:AlternateContent xmlns:mc="http://schemas.openxmlformats.org/markup-compatibility/2006">
    <mc:Choice xmlns:a14="http://schemas.microsoft.com/office/drawing/2010/main" Requires="a14">
      <xdr:twoCellAnchor editAs="oneCell">
        <xdr:from>
          <xdr:col>3</xdr:col>
          <xdr:colOff>152400</xdr:colOff>
          <xdr:row>113</xdr:row>
          <xdr:rowOff>0</xdr:rowOff>
        </xdr:from>
        <xdr:to>
          <xdr:col>3</xdr:col>
          <xdr:colOff>1066800</xdr:colOff>
          <xdr:row>114</xdr:row>
          <xdr:rowOff>0</xdr:rowOff>
        </xdr:to>
        <xdr:sp macro="" textlink="">
          <xdr:nvSpPr>
            <xdr:cNvPr id="1242" name="Check Box 211" descr="H2A default" hidden="1">
              <a:extLst>
                <a:ext uri="{63B3BB69-23CF-44E3-9099-C40C66FF867C}">
                  <a14:compatExt spid="_x0000_s1242"/>
                </a:ext>
                <a:ext uri="{FF2B5EF4-FFF2-40B4-BE49-F238E27FC236}">
                  <a16:creationId xmlns:a16="http://schemas.microsoft.com/office/drawing/2014/main" id="{00000000-0008-0000-0300-0000D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116</xdr:row>
          <xdr:rowOff>25400</xdr:rowOff>
        </xdr:from>
        <xdr:to>
          <xdr:col>3</xdr:col>
          <xdr:colOff>1066800</xdr:colOff>
          <xdr:row>116</xdr:row>
          <xdr:rowOff>228600</xdr:rowOff>
        </xdr:to>
        <xdr:sp macro="" textlink="">
          <xdr:nvSpPr>
            <xdr:cNvPr id="1243" name="Check Box 212" descr="H2A default" hidden="1">
              <a:extLst>
                <a:ext uri="{63B3BB69-23CF-44E3-9099-C40C66FF867C}">
                  <a14:compatExt spid="_x0000_s1243"/>
                </a:ext>
                <a:ext uri="{FF2B5EF4-FFF2-40B4-BE49-F238E27FC236}">
                  <a16:creationId xmlns:a16="http://schemas.microsoft.com/office/drawing/2014/main" id="{00000000-0008-0000-0300-0000D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130</xdr:row>
      <xdr:rowOff>301869</xdr:rowOff>
    </xdr:from>
    <xdr:ext cx="415498" cy="269369"/>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5919421" y="34152254"/>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130</xdr:row>
      <xdr:rowOff>301869</xdr:rowOff>
    </xdr:from>
    <xdr:ext cx="1450397" cy="269369"/>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2998177" y="34152254"/>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0.16564</cdr:x>
      <cdr:y>0.17109</cdr:y>
    </cdr:to>
    <cdr:sp macro="" textlink="'Tornado Charts &amp; Risk Analysis'!$H$155">
      <cdr:nvSpPr>
        <cdr:cNvPr id="3" name="TextBox 2"/>
        <cdr:cNvSpPr txBox="1"/>
      </cdr:nvSpPr>
      <cdr:spPr>
        <a:xfrm xmlns:a="http://schemas.openxmlformats.org/drawingml/2006/main">
          <a:off x="0" y="510103"/>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0.14169</cdr:x>
      <cdr:y>0.22332</cdr:y>
    </cdr:to>
    <cdr:sp macro="" textlink="'Tornado Charts &amp; Risk Analysis'!$H$156">
      <cdr:nvSpPr>
        <cdr:cNvPr id="4" name="TextBox 1"/>
        <cdr:cNvSpPr txBox="1"/>
      </cdr:nvSpPr>
      <cdr:spPr>
        <a:xfrm xmlns:a="http://schemas.openxmlformats.org/drawingml/2006/main">
          <a:off x="0" y="739032"/>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0.15666</cdr:x>
      <cdr:y>0.27434</cdr:y>
    </cdr:to>
    <cdr:sp macro="" textlink="'Tornado Charts &amp; Risk Analysis'!$H$157">
      <cdr:nvSpPr>
        <cdr:cNvPr id="5" name="TextBox 1"/>
        <cdr:cNvSpPr txBox="1"/>
      </cdr:nvSpPr>
      <cdr:spPr>
        <a:xfrm xmlns:a="http://schemas.openxmlformats.org/drawingml/2006/main">
          <a:off x="0" y="962657"/>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0.15066</cdr:x>
      <cdr:y>0.37838</cdr:y>
    </cdr:to>
    <cdr:sp macro="" textlink="'Tornado Charts &amp; Risk Analysis'!$H$159">
      <cdr:nvSpPr>
        <cdr:cNvPr id="6" name="TextBox 1"/>
        <cdr:cNvSpPr txBox="1"/>
      </cdr:nvSpPr>
      <cdr:spPr>
        <a:xfrm xmlns:a="http://schemas.openxmlformats.org/drawingml/2006/main">
          <a:off x="0" y="1418673"/>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0.19558</cdr:x>
      <cdr:y>0.42955</cdr:y>
    </cdr:to>
    <cdr:sp macro="" textlink="'Tornado Charts &amp; Risk Analysis'!$H$160">
      <cdr:nvSpPr>
        <cdr:cNvPr id="7" name="TextBox 1"/>
        <cdr:cNvSpPr txBox="1"/>
      </cdr:nvSpPr>
      <cdr:spPr>
        <a:xfrm xmlns:a="http://schemas.openxmlformats.org/drawingml/2006/main">
          <a:off x="0" y="1642956"/>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0.28443</cdr:x>
      <cdr:y>0.48151</cdr:y>
    </cdr:to>
    <cdr:sp macro="" textlink="'Tornado Charts &amp; Risk Analysis'!$H$161">
      <cdr:nvSpPr>
        <cdr:cNvPr id="8" name="TextBox 1"/>
        <cdr:cNvSpPr txBox="1"/>
      </cdr:nvSpPr>
      <cdr:spPr>
        <a:xfrm xmlns:a="http://schemas.openxmlformats.org/drawingml/2006/main">
          <a:off x="0" y="1870701"/>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0.12871</cdr:x>
      <cdr:y>0.53314</cdr:y>
    </cdr:to>
    <cdr:sp macro="" textlink="'Tornado Charts &amp; Risk Analysis'!$H$162">
      <cdr:nvSpPr>
        <cdr:cNvPr id="9" name="TextBox 1"/>
        <cdr:cNvSpPr txBox="1"/>
      </cdr:nvSpPr>
      <cdr:spPr>
        <a:xfrm xmlns:a="http://schemas.openxmlformats.org/drawingml/2006/main">
          <a:off x="0" y="2096999"/>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0.2224</cdr:x>
      <cdr:y>0.58522</cdr:y>
    </cdr:to>
    <cdr:sp macro="" textlink="'Tornado Charts &amp; Risk Analysis'!$H$163">
      <cdr:nvSpPr>
        <cdr:cNvPr id="10" name="TextBox 1"/>
        <cdr:cNvSpPr txBox="1"/>
      </cdr:nvSpPr>
      <cdr:spPr>
        <a:xfrm xmlns:a="http://schemas.openxmlformats.org/drawingml/2006/main">
          <a:off x="0" y="2311704"/>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0.29724</cdr:x>
      <cdr:y>0.63746</cdr:y>
    </cdr:to>
    <cdr:sp macro="" textlink="'Tornado Charts &amp; Risk Analysis'!$H$164">
      <cdr:nvSpPr>
        <cdr:cNvPr id="11" name="TextBox 1"/>
        <cdr:cNvSpPr txBox="1"/>
      </cdr:nvSpPr>
      <cdr:spPr>
        <a:xfrm xmlns:a="http://schemas.openxmlformats.org/drawingml/2006/main">
          <a:off x="0" y="2539466"/>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0.27632</cdr:x>
      <cdr:y>0.68831</cdr:y>
    </cdr:to>
    <cdr:sp macro="" textlink="'Tornado Charts &amp; Risk Analysis'!$H$165">
      <cdr:nvSpPr>
        <cdr:cNvPr id="12" name="TextBox 1"/>
        <cdr:cNvSpPr txBox="1"/>
      </cdr:nvSpPr>
      <cdr:spPr>
        <a:xfrm xmlns:a="http://schemas.openxmlformats.org/drawingml/2006/main">
          <a:off x="0" y="2761167"/>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0.07474</cdr:x>
      <cdr:y>0.74055</cdr:y>
    </cdr:to>
    <cdr:sp macro="" textlink="'Tornado Charts &amp; Risk Analysis'!$H$166">
      <cdr:nvSpPr>
        <cdr:cNvPr id="13" name="TextBox 1"/>
        <cdr:cNvSpPr txBox="1"/>
      </cdr:nvSpPr>
      <cdr:spPr>
        <a:xfrm xmlns:a="http://schemas.openxmlformats.org/drawingml/2006/main">
          <a:off x="0" y="2988927"/>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0.2385</cdr:x>
      <cdr:y>0.79189</cdr:y>
    </cdr:to>
    <cdr:sp macro="" textlink="'Tornado Charts &amp; Risk Analysis'!$H$167">
      <cdr:nvSpPr>
        <cdr:cNvPr id="14" name="TextBox 1"/>
        <cdr:cNvSpPr txBox="1"/>
      </cdr:nvSpPr>
      <cdr:spPr>
        <a:xfrm xmlns:a="http://schemas.openxmlformats.org/drawingml/2006/main">
          <a:off x="0" y="3231123"/>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0.32235</cdr:x>
      <cdr:y>0.84357</cdr:y>
    </cdr:to>
    <cdr:sp macro="" textlink="'Tornado Charts &amp; Risk Analysis'!$H$168">
      <cdr:nvSpPr>
        <cdr:cNvPr id="15" name="TextBox 1"/>
        <cdr:cNvSpPr txBox="1"/>
      </cdr:nvSpPr>
      <cdr:spPr>
        <a:xfrm xmlns:a="http://schemas.openxmlformats.org/drawingml/2006/main">
          <a:off x="0" y="3457640"/>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0.17061</cdr:x>
      <cdr:y>0.89531</cdr:y>
    </cdr:to>
    <cdr:sp macro="" textlink="'Tornado Charts &amp; Risk Analysis'!$H$169">
      <cdr:nvSpPr>
        <cdr:cNvPr id="16" name="TextBox 1"/>
        <cdr:cNvSpPr txBox="1"/>
      </cdr:nvSpPr>
      <cdr:spPr>
        <a:xfrm xmlns:a="http://schemas.openxmlformats.org/drawingml/2006/main">
          <a:off x="0" y="3684421"/>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0.2185</cdr:x>
      <cdr:y>0.94727</cdr:y>
    </cdr:to>
    <cdr:sp macro="" textlink="'Tornado Charts &amp; Risk Analysis'!$H$170">
      <cdr:nvSpPr>
        <cdr:cNvPr id="17" name="TextBox 1"/>
        <cdr:cNvSpPr txBox="1"/>
      </cdr:nvSpPr>
      <cdr:spPr>
        <a:xfrm xmlns:a="http://schemas.openxmlformats.org/drawingml/2006/main">
          <a:off x="0" y="3912166"/>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mc:AlternateContent xmlns:mc="http://schemas.openxmlformats.org/markup-compatibility/2006">
    <mc:Choice xmlns:a14="http://schemas.microsoft.com/office/drawing/2010/main" Requires="a14">
      <xdr:twoCellAnchor editAs="oneCell">
        <xdr:from>
          <xdr:col>3</xdr:col>
          <xdr:colOff>177800</xdr:colOff>
          <xdr:row>28</xdr:row>
          <xdr:rowOff>177800</xdr:rowOff>
        </xdr:from>
        <xdr:to>
          <xdr:col>3</xdr:col>
          <xdr:colOff>1092200</xdr:colOff>
          <xdr:row>30</xdr:row>
          <xdr:rowOff>25400</xdr:rowOff>
        </xdr:to>
        <xdr:sp macro="" textlink="">
          <xdr:nvSpPr>
            <xdr:cNvPr id="17596" name="Check Box 301" descr="H2A default" hidden="1">
              <a:extLst>
                <a:ext uri="{63B3BB69-23CF-44E3-9099-C40C66FF867C}">
                  <a14:compatExt spid="_x0000_s17596"/>
                </a:ext>
                <a:ext uri="{FF2B5EF4-FFF2-40B4-BE49-F238E27FC236}">
                  <a16:creationId xmlns:a16="http://schemas.microsoft.com/office/drawing/2014/main" id="{00000000-0008-0000-0700-0000BC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177800</xdr:colOff>
          <xdr:row>30</xdr:row>
          <xdr:rowOff>63500</xdr:rowOff>
        </xdr:from>
        <xdr:to>
          <xdr:col>3</xdr:col>
          <xdr:colOff>1092200</xdr:colOff>
          <xdr:row>30</xdr:row>
          <xdr:rowOff>254000</xdr:rowOff>
        </xdr:to>
        <xdr:sp macro="" textlink="">
          <xdr:nvSpPr>
            <xdr:cNvPr id="17597" name="Check Box 302" descr="H2A default" hidden="1">
              <a:extLst>
                <a:ext uri="{63B3BB69-23CF-44E3-9099-C40C66FF867C}">
                  <a14:compatExt spid="_x0000_s17597"/>
                </a:ext>
                <a:ext uri="{FF2B5EF4-FFF2-40B4-BE49-F238E27FC236}">
                  <a16:creationId xmlns:a16="http://schemas.microsoft.com/office/drawing/2014/main" id="{00000000-0008-0000-0700-0000B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177800</xdr:colOff>
          <xdr:row>31</xdr:row>
          <xdr:rowOff>63500</xdr:rowOff>
        </xdr:from>
        <xdr:to>
          <xdr:col>3</xdr:col>
          <xdr:colOff>1092200</xdr:colOff>
          <xdr:row>31</xdr:row>
          <xdr:rowOff>254000</xdr:rowOff>
        </xdr:to>
        <xdr:sp macro="" textlink="">
          <xdr:nvSpPr>
            <xdr:cNvPr id="17598" name="Check Box 303" descr="H2A default" hidden="1">
              <a:extLst>
                <a:ext uri="{63B3BB69-23CF-44E3-9099-C40C66FF867C}">
                  <a14:compatExt spid="_x0000_s17598"/>
                </a:ext>
                <a:ext uri="{FF2B5EF4-FFF2-40B4-BE49-F238E27FC236}">
                  <a16:creationId xmlns:a16="http://schemas.microsoft.com/office/drawing/2014/main" id="{00000000-0008-0000-0700-0000BE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177800</xdr:colOff>
          <xdr:row>31</xdr:row>
          <xdr:rowOff>342900</xdr:rowOff>
        </xdr:from>
        <xdr:to>
          <xdr:col>3</xdr:col>
          <xdr:colOff>1092200</xdr:colOff>
          <xdr:row>33</xdr:row>
          <xdr:rowOff>25400</xdr:rowOff>
        </xdr:to>
        <xdr:sp macro="" textlink="">
          <xdr:nvSpPr>
            <xdr:cNvPr id="17599" name="Check Box 304" descr="H2A default" hidden="1">
              <a:extLst>
                <a:ext uri="{63B3BB69-23CF-44E3-9099-C40C66FF867C}">
                  <a14:compatExt spid="_x0000_s17599"/>
                </a:ext>
                <a:ext uri="{FF2B5EF4-FFF2-40B4-BE49-F238E27FC236}">
                  <a16:creationId xmlns:a16="http://schemas.microsoft.com/office/drawing/2014/main" id="{00000000-0008-0000-0700-0000B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177800</xdr:colOff>
          <xdr:row>32</xdr:row>
          <xdr:rowOff>177800</xdr:rowOff>
        </xdr:from>
        <xdr:to>
          <xdr:col>3</xdr:col>
          <xdr:colOff>1092200</xdr:colOff>
          <xdr:row>34</xdr:row>
          <xdr:rowOff>25400</xdr:rowOff>
        </xdr:to>
        <xdr:sp macro="" textlink="">
          <xdr:nvSpPr>
            <xdr:cNvPr id="17600" name="Check Box 305" descr="H2A default" hidden="1">
              <a:extLst>
                <a:ext uri="{63B3BB69-23CF-44E3-9099-C40C66FF867C}">
                  <a14:compatExt spid="_x0000_s17600"/>
                </a:ext>
                <a:ext uri="{FF2B5EF4-FFF2-40B4-BE49-F238E27FC236}">
                  <a16:creationId xmlns:a16="http://schemas.microsoft.com/office/drawing/2014/main" id="{00000000-0008-0000-0700-0000C0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177800</xdr:colOff>
          <xdr:row>33</xdr:row>
          <xdr:rowOff>177800</xdr:rowOff>
        </xdr:from>
        <xdr:to>
          <xdr:col>3</xdr:col>
          <xdr:colOff>1092200</xdr:colOff>
          <xdr:row>35</xdr:row>
          <xdr:rowOff>25400</xdr:rowOff>
        </xdr:to>
        <xdr:sp macro="" textlink="">
          <xdr:nvSpPr>
            <xdr:cNvPr id="17601" name="Check Box 306" descr="H2A default" hidden="1">
              <a:extLst>
                <a:ext uri="{63B3BB69-23CF-44E3-9099-C40C66FF867C}">
                  <a14:compatExt spid="_x0000_s17601"/>
                </a:ext>
                <a:ext uri="{FF2B5EF4-FFF2-40B4-BE49-F238E27FC236}">
                  <a16:creationId xmlns:a16="http://schemas.microsoft.com/office/drawing/2014/main" id="{00000000-0008-0000-0700-0000C1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177800</xdr:colOff>
          <xdr:row>34</xdr:row>
          <xdr:rowOff>177800</xdr:rowOff>
        </xdr:from>
        <xdr:to>
          <xdr:col>3</xdr:col>
          <xdr:colOff>1092200</xdr:colOff>
          <xdr:row>36</xdr:row>
          <xdr:rowOff>25400</xdr:rowOff>
        </xdr:to>
        <xdr:sp macro="" textlink="">
          <xdr:nvSpPr>
            <xdr:cNvPr id="17602" name="Check Box 307" descr="H2A default" hidden="1">
              <a:extLst>
                <a:ext uri="{63B3BB69-23CF-44E3-9099-C40C66FF867C}">
                  <a14:compatExt spid="_x0000_s17602"/>
                </a:ext>
                <a:ext uri="{FF2B5EF4-FFF2-40B4-BE49-F238E27FC236}">
                  <a16:creationId xmlns:a16="http://schemas.microsoft.com/office/drawing/2014/main" id="{00000000-0008-0000-0700-0000C2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177800</xdr:colOff>
          <xdr:row>35</xdr:row>
          <xdr:rowOff>152400</xdr:rowOff>
        </xdr:from>
        <xdr:to>
          <xdr:col>3</xdr:col>
          <xdr:colOff>1092200</xdr:colOff>
          <xdr:row>37</xdr:row>
          <xdr:rowOff>25400</xdr:rowOff>
        </xdr:to>
        <xdr:sp macro="" textlink="">
          <xdr:nvSpPr>
            <xdr:cNvPr id="17603" name="Check Box 308" descr="H2A default" hidden="1">
              <a:extLst>
                <a:ext uri="{63B3BB69-23CF-44E3-9099-C40C66FF867C}">
                  <a14:compatExt spid="_x0000_s17603"/>
                </a:ext>
                <a:ext uri="{FF2B5EF4-FFF2-40B4-BE49-F238E27FC236}">
                  <a16:creationId xmlns:a16="http://schemas.microsoft.com/office/drawing/2014/main" id="{00000000-0008-0000-0700-0000C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177800</xdr:colOff>
          <xdr:row>38</xdr:row>
          <xdr:rowOff>177800</xdr:rowOff>
        </xdr:from>
        <xdr:to>
          <xdr:col>3</xdr:col>
          <xdr:colOff>1092200</xdr:colOff>
          <xdr:row>40</xdr:row>
          <xdr:rowOff>25400</xdr:rowOff>
        </xdr:to>
        <xdr:sp macro="" textlink="">
          <xdr:nvSpPr>
            <xdr:cNvPr id="17604" name="Check Box 309" descr="H2A default" hidden="1">
              <a:extLst>
                <a:ext uri="{63B3BB69-23CF-44E3-9099-C40C66FF867C}">
                  <a14:compatExt spid="_x0000_s17604"/>
                </a:ext>
                <a:ext uri="{FF2B5EF4-FFF2-40B4-BE49-F238E27FC236}">
                  <a16:creationId xmlns:a16="http://schemas.microsoft.com/office/drawing/2014/main" id="{00000000-0008-0000-0700-0000C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177800</xdr:colOff>
          <xdr:row>41</xdr:row>
          <xdr:rowOff>177800</xdr:rowOff>
        </xdr:from>
        <xdr:to>
          <xdr:col>3</xdr:col>
          <xdr:colOff>1092200</xdr:colOff>
          <xdr:row>43</xdr:row>
          <xdr:rowOff>25400</xdr:rowOff>
        </xdr:to>
        <xdr:sp macro="" textlink="">
          <xdr:nvSpPr>
            <xdr:cNvPr id="17605" name="Check Box 310" descr="H2A default" hidden="1">
              <a:extLst>
                <a:ext uri="{63B3BB69-23CF-44E3-9099-C40C66FF867C}">
                  <a14:compatExt spid="_x0000_s17605"/>
                </a:ext>
                <a:ext uri="{FF2B5EF4-FFF2-40B4-BE49-F238E27FC236}">
                  <a16:creationId xmlns:a16="http://schemas.microsoft.com/office/drawing/2014/main" id="{00000000-0008-0000-0700-0000C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177800</xdr:colOff>
          <xdr:row>42</xdr:row>
          <xdr:rowOff>177800</xdr:rowOff>
        </xdr:from>
        <xdr:to>
          <xdr:col>3</xdr:col>
          <xdr:colOff>1092200</xdr:colOff>
          <xdr:row>44</xdr:row>
          <xdr:rowOff>0</xdr:rowOff>
        </xdr:to>
        <xdr:sp macro="" textlink="">
          <xdr:nvSpPr>
            <xdr:cNvPr id="17606" name="Check Box 311" descr="H2A default" hidden="1">
              <a:extLst>
                <a:ext uri="{63B3BB69-23CF-44E3-9099-C40C66FF867C}">
                  <a14:compatExt spid="_x0000_s17606"/>
                </a:ext>
                <a:ext uri="{FF2B5EF4-FFF2-40B4-BE49-F238E27FC236}">
                  <a16:creationId xmlns:a16="http://schemas.microsoft.com/office/drawing/2014/main" id="{00000000-0008-0000-0700-0000C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80046" y="1619302"/>
          <a:ext cx="7208979" cy="1415998"/>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Fixed Operating Cost</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Initial Equity Depreciable Capital</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Debt Interest</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Other Raw Material Cost</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Cash for Working Capital Reserve</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Other Variable Operating Costs</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Taxes</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Yearly Replacement Costs</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Other Non-Depreciable Capital Costs</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Principal Payment</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Decommissioning Costs</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463318</xdr:colOff>
      <xdr:row>15</xdr:row>
      <xdr:rowOff>105215</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90309</xdr:rowOff>
    </xdr:from>
    <xdr:to>
      <xdr:col>4</xdr:col>
      <xdr:colOff>708466</xdr:colOff>
      <xdr:row>35</xdr:row>
      <xdr:rowOff>11313</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783965</xdr:colOff>
      <xdr:row>11</xdr:row>
      <xdr:rowOff>65060</xdr:rowOff>
    </xdr:from>
    <xdr:to>
      <xdr:col>13</xdr:col>
      <xdr:colOff>113406</xdr:colOff>
      <xdr:row>39</xdr:row>
      <xdr:rowOff>148538</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Operating Capacity Factor
(95%, 90%, 86%)</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Total Capital Investment
($269,479K, $283,662K, $297,845K) </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Plant Design Capacity (kg of H2/day)
(507,175, 483,024, 458,873)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Total Fixed Operating Cost
($12,885K, $13,563K, $14,241K)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#N/A</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After-tax Real IRR
(8%, 8%, 8%)</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254000</xdr:colOff>
          <xdr:row>1</xdr:row>
          <xdr:rowOff>25400</xdr:rowOff>
        </xdr:from>
        <xdr:to>
          <xdr:col>13</xdr:col>
          <xdr:colOff>38100</xdr:colOff>
          <xdr:row>4</xdr:row>
          <xdr:rowOff>101600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Arial" pitchFamily="2" charset="0"/>
                  <a:cs typeface="Arial" pitchFamily="2" charset="0"/>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101600</xdr:colOff>
          <xdr:row>68</xdr:row>
          <xdr:rowOff>63500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Arial" pitchFamily="2" charset="0"/>
                  <a:cs typeface="Arial" pitchFamily="2" charset="0"/>
                </a:rPr>
                <a:t>Done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netl.doe.gov/energy-analysis/details?id=ed4825aa-8f04-4df7-abef-60e564f636c9" TargetMode="External"/><Relationship Id="rId2" Type="http://schemas.openxmlformats.org/officeDocument/2006/relationships/hyperlink" Target="http://www.nrel.gov/" TargetMode="External"/><Relationship Id="rId1" Type="http://schemas.openxmlformats.org/officeDocument/2006/relationships/hyperlink" Target="mailto:mike.penev@nrel.gov"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netl.doe.gov/energy-analysis/details?id=ed4825aa-8f04-4df7-abef-60e564f636c9"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hyperlink" Target="https://netl.doe.gov/projects/files/QualityGuidelinesforEnergySystemStudiesCapitalCostScalingMethodologyRevision4Report_110719.pdf" TargetMode="External"/><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6" Type="http://schemas.openxmlformats.org/officeDocument/2006/relationships/drawing" Target="../drawings/drawing9.xml"/><Relationship Id="rId5" Type="http://schemas.openxmlformats.org/officeDocument/2006/relationships/printerSettings" Target="../printerSettings/printerSettings6.bin"/><Relationship Id="rId4" Type="http://schemas.openxmlformats.org/officeDocument/2006/relationships/hyperlink" Target="https://netl.doe.gov/projects/files/QualityGuidelinesforEnergySystemStudiesCapitalCostScalingMethodologyRevision4Report_110719.pdf" TargetMode="Externa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omments" Target="../comments2.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Library/Containers/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2.bin"/><Relationship Id="rId6" Type="http://schemas.openxmlformats.org/officeDocument/2006/relationships/comments" Target="../comments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5"/>
  <sheetViews>
    <sheetView workbookViewId="0">
      <selection activeCell="B2" sqref="B2"/>
    </sheetView>
  </sheetViews>
  <sheetFormatPr baseColWidth="10" defaultColWidth="8.83203125" defaultRowHeight="13"/>
  <cols>
    <col min="2" max="2" width="36.6640625" customWidth="1"/>
    <col min="3" max="3" width="44.6640625" customWidth="1"/>
    <col min="4" max="4" width="53.6640625" customWidth="1"/>
    <col min="5" max="5" width="126.5" customWidth="1"/>
  </cols>
  <sheetData>
    <row r="2" spans="2:4" ht="39" customHeight="1">
      <c r="B2" s="690" t="s">
        <v>405</v>
      </c>
    </row>
    <row r="4" spans="2:4" ht="14" thickBot="1"/>
    <row r="5" spans="2:4" ht="29" thickTop="1">
      <c r="B5" s="691" t="s">
        <v>211</v>
      </c>
      <c r="C5" s="1261" t="s">
        <v>1454</v>
      </c>
      <c r="D5" s="1031"/>
    </row>
    <row r="6" spans="2:4" ht="14">
      <c r="B6" s="692" t="s">
        <v>212</v>
      </c>
      <c r="C6" s="1030" t="s">
        <v>1295</v>
      </c>
      <c r="D6" s="1031"/>
    </row>
    <row r="7" spans="2:4" ht="14">
      <c r="B7" s="692" t="s">
        <v>213</v>
      </c>
      <c r="C7" s="1030" t="s">
        <v>1339</v>
      </c>
      <c r="D7" s="1031"/>
    </row>
    <row r="8" spans="2:4" ht="14">
      <c r="B8" s="692" t="s">
        <v>214</v>
      </c>
      <c r="C8" s="1030" t="s">
        <v>1340</v>
      </c>
      <c r="D8" s="1031"/>
    </row>
    <row r="9" spans="2:4" ht="14">
      <c r="B9" s="692" t="s">
        <v>215</v>
      </c>
      <c r="C9" s="822" t="s">
        <v>1341</v>
      </c>
      <c r="D9" s="693"/>
    </row>
    <row r="10" spans="2:4" ht="14">
      <c r="B10" s="692" t="s">
        <v>216</v>
      </c>
      <c r="C10" s="1030" t="s">
        <v>828</v>
      </c>
      <c r="D10" s="1031"/>
    </row>
    <row r="11" spans="2:4">
      <c r="B11" s="692" t="s">
        <v>217</v>
      </c>
      <c r="C11" s="1262">
        <v>44677</v>
      </c>
      <c r="D11" s="1189"/>
    </row>
    <row r="12" spans="2:4" ht="15" thickBot="1">
      <c r="B12" s="694" t="s">
        <v>218</v>
      </c>
      <c r="C12" s="823" t="s">
        <v>1294</v>
      </c>
      <c r="D12" s="1031"/>
    </row>
    <row r="13" spans="2:4" ht="15" thickTop="1" thickBot="1">
      <c r="B13" s="695"/>
      <c r="C13" s="1031"/>
      <c r="D13" s="1190"/>
    </row>
    <row r="14" spans="2:4" ht="14" thickTop="1">
      <c r="B14" s="691" t="s">
        <v>219</v>
      </c>
      <c r="C14" s="1191">
        <f>+ProcessFlow!$V$12</f>
        <v>483024</v>
      </c>
      <c r="D14" s="1190"/>
    </row>
    <row r="15" spans="2:4">
      <c r="B15" s="692" t="s">
        <v>220</v>
      </c>
      <c r="C15" s="1263">
        <v>2015</v>
      </c>
      <c r="D15" s="696"/>
    </row>
    <row r="16" spans="2:4" ht="14">
      <c r="B16" s="692" t="s">
        <v>221</v>
      </c>
      <c r="C16" s="1264" t="s">
        <v>283</v>
      </c>
      <c r="D16" s="1190"/>
    </row>
    <row r="17" spans="2:4" ht="14">
      <c r="B17" s="692" t="s">
        <v>222</v>
      </c>
      <c r="C17" s="1264" t="s">
        <v>1355</v>
      </c>
      <c r="D17" s="1190"/>
    </row>
    <row r="18" spans="2:4" ht="14">
      <c r="B18" s="692" t="s">
        <v>223</v>
      </c>
      <c r="C18" s="1264" t="s">
        <v>1354</v>
      </c>
      <c r="D18" s="696"/>
    </row>
    <row r="19" spans="2:4" ht="28">
      <c r="B19" s="692" t="s">
        <v>224</v>
      </c>
      <c r="C19" s="1264" t="s">
        <v>1455</v>
      </c>
      <c r="D19" s="1190"/>
    </row>
    <row r="20" spans="2:4" ht="14">
      <c r="B20" s="692" t="s">
        <v>225</v>
      </c>
      <c r="C20" s="1264" t="s">
        <v>1355</v>
      </c>
      <c r="D20" s="1190"/>
    </row>
    <row r="21" spans="2:4" ht="14">
      <c r="B21" s="692" t="s">
        <v>226</v>
      </c>
      <c r="C21" s="1264" t="s">
        <v>1355</v>
      </c>
      <c r="D21" s="1190"/>
    </row>
    <row r="22" spans="2:4" ht="28">
      <c r="B22" s="697" t="s">
        <v>227</v>
      </c>
      <c r="C22" s="1263" t="s">
        <v>1356</v>
      </c>
      <c r="D22" s="1190"/>
    </row>
    <row r="23" spans="2:4" ht="14">
      <c r="B23" s="697" t="s">
        <v>228</v>
      </c>
      <c r="C23" s="1264" t="s">
        <v>1355</v>
      </c>
      <c r="D23" s="1190"/>
    </row>
    <row r="24" spans="2:4" ht="15" thickBot="1">
      <c r="B24" s="694" t="s">
        <v>229</v>
      </c>
      <c r="C24" s="1265" t="s">
        <v>1357</v>
      </c>
      <c r="D24" s="1190"/>
    </row>
    <row r="25" spans="2:4" ht="15" thickTop="1" thickBot="1">
      <c r="B25" s="695"/>
      <c r="C25" s="1190"/>
      <c r="D25" s="1190"/>
    </row>
    <row r="26" spans="2:4">
      <c r="B26" s="1432" t="s">
        <v>230</v>
      </c>
      <c r="C26" s="1433"/>
      <c r="D26" s="1434"/>
    </row>
    <row r="27" spans="2:4" ht="14">
      <c r="B27" s="1193" t="s">
        <v>231</v>
      </c>
      <c r="C27" s="698" t="s">
        <v>232</v>
      </c>
      <c r="D27" s="1194" t="s">
        <v>1027</v>
      </c>
    </row>
    <row r="28" spans="2:4" ht="29">
      <c r="B28" s="1195">
        <v>44677</v>
      </c>
      <c r="C28" s="1192" t="s">
        <v>1295</v>
      </c>
      <c r="D28" s="1030" t="s">
        <v>1477</v>
      </c>
    </row>
    <row r="29" spans="2:4" ht="28">
      <c r="B29" s="1221"/>
      <c r="C29" s="979"/>
      <c r="D29" s="1430" t="s">
        <v>1476</v>
      </c>
    </row>
    <row r="30" spans="2:4">
      <c r="B30" s="1223"/>
      <c r="C30" s="979"/>
      <c r="D30" s="1222"/>
    </row>
    <row r="31" spans="2:4">
      <c r="B31" s="1223"/>
      <c r="C31" s="979"/>
      <c r="D31" s="1222"/>
    </row>
    <row r="32" spans="2:4">
      <c r="B32" s="1223"/>
      <c r="C32" s="979"/>
      <c r="D32" s="1222"/>
    </row>
    <row r="33" spans="2:4">
      <c r="B33" s="1223"/>
      <c r="C33" s="979"/>
      <c r="D33" s="1222"/>
    </row>
    <row r="34" spans="2:4">
      <c r="B34" s="1223"/>
      <c r="C34" s="979"/>
      <c r="D34" s="1222"/>
    </row>
    <row r="35" spans="2:4">
      <c r="B35" s="1221"/>
      <c r="C35" s="979"/>
      <c r="D35" s="1222"/>
    </row>
    <row r="36" spans="2:4">
      <c r="B36" s="1223"/>
      <c r="C36" s="979"/>
      <c r="D36" s="1222"/>
    </row>
    <row r="37" spans="2:4">
      <c r="B37" s="1223"/>
      <c r="C37" s="979"/>
      <c r="D37" s="1222"/>
    </row>
    <row r="38" spans="2:4">
      <c r="B38" s="1223"/>
      <c r="C38" s="979"/>
      <c r="D38" s="1222"/>
    </row>
    <row r="39" spans="2:4">
      <c r="B39" s="1221"/>
      <c r="C39" s="979"/>
      <c r="D39" s="1222"/>
    </row>
    <row r="40" spans="2:4">
      <c r="B40" s="1223"/>
      <c r="C40" s="979"/>
      <c r="D40" s="1222"/>
    </row>
    <row r="41" spans="2:4">
      <c r="B41" s="1223"/>
      <c r="C41" s="979"/>
      <c r="D41" s="1222"/>
    </row>
    <row r="42" spans="2:4">
      <c r="B42" s="1223"/>
      <c r="C42" s="979"/>
      <c r="D42" s="1222"/>
    </row>
    <row r="43" spans="2:4">
      <c r="B43" s="1223"/>
      <c r="C43" s="979"/>
      <c r="D43" s="1222"/>
    </row>
    <row r="44" spans="2:4">
      <c r="B44" s="1223"/>
      <c r="C44" s="979"/>
      <c r="D44" s="1222"/>
    </row>
    <row r="45" spans="2:4" ht="14" thickBot="1">
      <c r="B45" s="1224"/>
      <c r="C45" s="1209"/>
      <c r="D45" s="1225"/>
    </row>
  </sheetData>
  <mergeCells count="1">
    <mergeCell ref="B26:D26"/>
  </mergeCells>
  <phoneticPr fontId="0" type="noConversion"/>
  <hyperlinks>
    <hyperlink ref="C9" r:id="rId1" xr:uid="{67D8E4FC-F300-409B-BF45-70A8D602A1A4}"/>
    <hyperlink ref="C12" r:id="rId2" xr:uid="{6E0138BF-D2A7-4B35-BEAE-1A56ECE1752A}"/>
    <hyperlink ref="D29" r:id="rId3" xr:uid="{4645EB34-F710-4467-B108-288DC583EAA4}"/>
  </hyperlinks>
  <pageMargins left="0.75" right="0.75" top="1" bottom="1" header="0.5" footer="0.5"/>
  <pageSetup orientation="portrait" horizontalDpi="1200" verticalDpi="1200" r:id="rId4"/>
  <headerFooter alignWithMargins="0"/>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B88"/>
  <sheetViews>
    <sheetView zoomScale="130" zoomScaleNormal="130" workbookViewId="0">
      <selection activeCell="B21" sqref="B21"/>
    </sheetView>
  </sheetViews>
  <sheetFormatPr baseColWidth="10" defaultColWidth="8.83203125" defaultRowHeight="13"/>
  <cols>
    <col min="2" max="2" width="122" customWidth="1"/>
    <col min="3" max="3" width="41.6640625" customWidth="1"/>
    <col min="4" max="4" width="79.6640625" customWidth="1"/>
    <col min="5" max="5" width="17.33203125" customWidth="1"/>
  </cols>
  <sheetData>
    <row r="2" spans="2:2" ht="21">
      <c r="B2" s="690" t="s">
        <v>406</v>
      </c>
    </row>
    <row r="6" spans="2:2">
      <c r="B6" s="200" t="s">
        <v>206</v>
      </c>
    </row>
    <row r="7" spans="2:2" ht="42">
      <c r="B7" s="1032" t="s">
        <v>1451</v>
      </c>
    </row>
    <row r="8" spans="2:2">
      <c r="B8" s="198"/>
    </row>
    <row r="9" spans="2:2">
      <c r="B9" s="198"/>
    </row>
    <row r="10" spans="2:2">
      <c r="B10" s="200" t="s">
        <v>207</v>
      </c>
    </row>
    <row r="11" spans="2:2" ht="84">
      <c r="B11" s="1032" t="s">
        <v>1452</v>
      </c>
    </row>
    <row r="12" spans="2:2" ht="28">
      <c r="B12" s="1032" t="s">
        <v>1396</v>
      </c>
    </row>
    <row r="14" spans="2:2">
      <c r="B14" s="198"/>
    </row>
    <row r="15" spans="2:2">
      <c r="B15" s="200" t="s">
        <v>208</v>
      </c>
    </row>
    <row r="16" spans="2:2" ht="140">
      <c r="B16" s="1032" t="s">
        <v>1394</v>
      </c>
    </row>
    <row r="17" spans="2:2">
      <c r="B17" s="198"/>
    </row>
    <row r="18" spans="2:2">
      <c r="B18" s="198"/>
    </row>
    <row r="19" spans="2:2">
      <c r="B19" s="200" t="s">
        <v>209</v>
      </c>
    </row>
    <row r="20" spans="2:2" ht="14">
      <c r="B20" s="1032" t="s">
        <v>1479</v>
      </c>
    </row>
    <row r="21" spans="2:2">
      <c r="B21" s="198"/>
    </row>
    <row r="22" spans="2:2" ht="14">
      <c r="B22" s="1220" t="s">
        <v>210</v>
      </c>
    </row>
    <row r="23" spans="2:2" ht="28">
      <c r="B23" s="824" t="s">
        <v>1478</v>
      </c>
    </row>
    <row r="24" spans="2:2" ht="14">
      <c r="B24" s="1431" t="s">
        <v>1476</v>
      </c>
    </row>
    <row r="25" spans="2:2">
      <c r="B25" s="1032"/>
    </row>
    <row r="26" spans="2:2">
      <c r="B26" s="1032"/>
    </row>
    <row r="27" spans="2:2">
      <c r="B27" s="824"/>
    </row>
    <row r="78" ht="81" customHeight="1"/>
    <row r="80" ht="97.5" customHeight="1"/>
    <row r="82" ht="68.25" customHeight="1"/>
    <row r="84" ht="63" customHeight="1"/>
    <row r="86" ht="63.75" customHeight="1"/>
    <row r="88" ht="37.5" customHeight="1"/>
  </sheetData>
  <phoneticPr fontId="0" type="noConversion"/>
  <hyperlinks>
    <hyperlink ref="B24" r:id="rId1" xr:uid="{7C80C26B-A4F7-4599-AC3E-18839E143D3E}"/>
  </hyperlinks>
  <pageMargins left="0.75" right="0.75" top="1" bottom="1" header="0.5" footer="0.5"/>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A1:AD243"/>
  <sheetViews>
    <sheetView topLeftCell="A3" zoomScale="85" zoomScaleNormal="85" workbookViewId="0">
      <pane xSplit="2" ySplit="28" topLeftCell="C31" activePane="bottomRight" state="frozen"/>
      <selection activeCell="A3" sqref="A3"/>
      <selection pane="topRight" activeCell="C3" sqref="C3"/>
      <selection pane="bottomLeft" activeCell="A31" sqref="A31"/>
      <selection pane="bottomRight" activeCell="S31" sqref="S31"/>
    </sheetView>
  </sheetViews>
  <sheetFormatPr baseColWidth="10" defaultColWidth="8.83203125" defaultRowHeight="13"/>
  <cols>
    <col min="2" max="2" width="28.5" customWidth="1"/>
    <col min="3" max="3" width="8.1640625" customWidth="1"/>
    <col min="4" max="4" width="10.5" bestFit="1" customWidth="1"/>
    <col min="5" max="7" width="7.33203125" bestFit="1" customWidth="1"/>
    <col min="8" max="8" width="7.5" bestFit="1" customWidth="1"/>
    <col min="9" max="9" width="7.33203125" bestFit="1" customWidth="1"/>
    <col min="10" max="13" width="8.1640625" customWidth="1"/>
    <col min="14" max="14" width="7.33203125" bestFit="1" customWidth="1"/>
    <col min="15" max="15" width="6.5" bestFit="1" customWidth="1"/>
    <col min="16" max="17" width="8.1640625" customWidth="1"/>
    <col min="18" max="18" width="7.83203125" customWidth="1"/>
    <col min="19" max="21" width="12" customWidth="1"/>
    <col min="22" max="22" width="17.1640625" bestFit="1" customWidth="1"/>
    <col min="23" max="23" width="16.6640625" bestFit="1" customWidth="1"/>
    <col min="24" max="24" width="9.33203125" bestFit="1" customWidth="1"/>
    <col min="26" max="26" width="15.5" bestFit="1" customWidth="1"/>
    <col min="27" max="27" width="15.5" customWidth="1"/>
    <col min="28" max="28" width="28.6640625" bestFit="1" customWidth="1"/>
    <col min="29" max="29" width="28.6640625" customWidth="1"/>
    <col min="256" max="256" width="10.33203125" customWidth="1"/>
    <col min="257" max="257" width="12" customWidth="1"/>
    <col min="258" max="258" width="17.6640625" customWidth="1"/>
    <col min="259" max="259" width="17.33203125" customWidth="1"/>
    <col min="260" max="261" width="31" customWidth="1"/>
    <col min="262" max="265" width="25.33203125" customWidth="1"/>
    <col min="512" max="512" width="10.33203125" customWidth="1"/>
    <col min="513" max="513" width="12" customWidth="1"/>
    <col min="514" max="514" width="17.6640625" customWidth="1"/>
    <col min="515" max="515" width="17.33203125" customWidth="1"/>
    <col min="516" max="517" width="31" customWidth="1"/>
    <col min="518" max="521" width="25.33203125" customWidth="1"/>
    <col min="768" max="768" width="10.33203125" customWidth="1"/>
    <col min="769" max="769" width="12" customWidth="1"/>
    <col min="770" max="770" width="17.6640625" customWidth="1"/>
    <col min="771" max="771" width="17.33203125" customWidth="1"/>
    <col min="772" max="773" width="31" customWidth="1"/>
    <col min="774" max="777" width="25.33203125" customWidth="1"/>
    <col min="1024" max="1024" width="10.33203125" customWidth="1"/>
    <col min="1025" max="1025" width="12" customWidth="1"/>
    <col min="1026" max="1026" width="17.6640625" customWidth="1"/>
    <col min="1027" max="1027" width="17.33203125" customWidth="1"/>
    <col min="1028" max="1029" width="31" customWidth="1"/>
    <col min="1030" max="1033" width="25.33203125" customWidth="1"/>
    <col min="1280" max="1280" width="10.33203125" customWidth="1"/>
    <col min="1281" max="1281" width="12" customWidth="1"/>
    <col min="1282" max="1282" width="17.6640625" customWidth="1"/>
    <col min="1283" max="1283" width="17.33203125" customWidth="1"/>
    <col min="1284" max="1285" width="31" customWidth="1"/>
    <col min="1286" max="1289" width="25.33203125" customWidth="1"/>
    <col min="1536" max="1536" width="10.33203125" customWidth="1"/>
    <col min="1537" max="1537" width="12" customWidth="1"/>
    <col min="1538" max="1538" width="17.6640625" customWidth="1"/>
    <col min="1539" max="1539" width="17.33203125" customWidth="1"/>
    <col min="1540" max="1541" width="31" customWidth="1"/>
    <col min="1542" max="1545" width="25.33203125" customWidth="1"/>
    <col min="1792" max="1792" width="10.33203125" customWidth="1"/>
    <col min="1793" max="1793" width="12" customWidth="1"/>
    <col min="1794" max="1794" width="17.6640625" customWidth="1"/>
    <col min="1795" max="1795" width="17.33203125" customWidth="1"/>
    <col min="1796" max="1797" width="31" customWidth="1"/>
    <col min="1798" max="1801" width="25.33203125" customWidth="1"/>
    <col min="2048" max="2048" width="10.33203125" customWidth="1"/>
    <col min="2049" max="2049" width="12" customWidth="1"/>
    <col min="2050" max="2050" width="17.6640625" customWidth="1"/>
    <col min="2051" max="2051" width="17.33203125" customWidth="1"/>
    <col min="2052" max="2053" width="31" customWidth="1"/>
    <col min="2054" max="2057" width="25.33203125" customWidth="1"/>
    <col min="2304" max="2304" width="10.33203125" customWidth="1"/>
    <col min="2305" max="2305" width="12" customWidth="1"/>
    <col min="2306" max="2306" width="17.6640625" customWidth="1"/>
    <col min="2307" max="2307" width="17.33203125" customWidth="1"/>
    <col min="2308" max="2309" width="31" customWidth="1"/>
    <col min="2310" max="2313" width="25.33203125" customWidth="1"/>
    <col min="2560" max="2560" width="10.33203125" customWidth="1"/>
    <col min="2561" max="2561" width="12" customWidth="1"/>
    <col min="2562" max="2562" width="17.6640625" customWidth="1"/>
    <col min="2563" max="2563" width="17.33203125" customWidth="1"/>
    <col min="2564" max="2565" width="31" customWidth="1"/>
    <col min="2566" max="2569" width="25.33203125" customWidth="1"/>
    <col min="2816" max="2816" width="10.33203125" customWidth="1"/>
    <col min="2817" max="2817" width="12" customWidth="1"/>
    <col min="2818" max="2818" width="17.6640625" customWidth="1"/>
    <col min="2819" max="2819" width="17.33203125" customWidth="1"/>
    <col min="2820" max="2821" width="31" customWidth="1"/>
    <col min="2822" max="2825" width="25.33203125" customWidth="1"/>
    <col min="3072" max="3072" width="10.33203125" customWidth="1"/>
    <col min="3073" max="3073" width="12" customWidth="1"/>
    <col min="3074" max="3074" width="17.6640625" customWidth="1"/>
    <col min="3075" max="3075" width="17.33203125" customWidth="1"/>
    <col min="3076" max="3077" width="31" customWidth="1"/>
    <col min="3078" max="3081" width="25.33203125" customWidth="1"/>
    <col min="3328" max="3328" width="10.33203125" customWidth="1"/>
    <col min="3329" max="3329" width="12" customWidth="1"/>
    <col min="3330" max="3330" width="17.6640625" customWidth="1"/>
    <col min="3331" max="3331" width="17.33203125" customWidth="1"/>
    <col min="3332" max="3333" width="31" customWidth="1"/>
    <col min="3334" max="3337" width="25.33203125" customWidth="1"/>
    <col min="3584" max="3584" width="10.33203125" customWidth="1"/>
    <col min="3585" max="3585" width="12" customWidth="1"/>
    <col min="3586" max="3586" width="17.6640625" customWidth="1"/>
    <col min="3587" max="3587" width="17.33203125" customWidth="1"/>
    <col min="3588" max="3589" width="31" customWidth="1"/>
    <col min="3590" max="3593" width="25.33203125" customWidth="1"/>
    <col min="3840" max="3840" width="10.33203125" customWidth="1"/>
    <col min="3841" max="3841" width="12" customWidth="1"/>
    <col min="3842" max="3842" width="17.6640625" customWidth="1"/>
    <col min="3843" max="3843" width="17.33203125" customWidth="1"/>
    <col min="3844" max="3845" width="31" customWidth="1"/>
    <col min="3846" max="3849" width="25.33203125" customWidth="1"/>
    <col min="4096" max="4096" width="10.33203125" customWidth="1"/>
    <col min="4097" max="4097" width="12" customWidth="1"/>
    <col min="4098" max="4098" width="17.6640625" customWidth="1"/>
    <col min="4099" max="4099" width="17.33203125" customWidth="1"/>
    <col min="4100" max="4101" width="31" customWidth="1"/>
    <col min="4102" max="4105" width="25.33203125" customWidth="1"/>
    <col min="4352" max="4352" width="10.33203125" customWidth="1"/>
    <col min="4353" max="4353" width="12" customWidth="1"/>
    <col min="4354" max="4354" width="17.6640625" customWidth="1"/>
    <col min="4355" max="4355" width="17.33203125" customWidth="1"/>
    <col min="4356" max="4357" width="31" customWidth="1"/>
    <col min="4358" max="4361" width="25.33203125" customWidth="1"/>
    <col min="4608" max="4608" width="10.33203125" customWidth="1"/>
    <col min="4609" max="4609" width="12" customWidth="1"/>
    <col min="4610" max="4610" width="17.6640625" customWidth="1"/>
    <col min="4611" max="4611" width="17.33203125" customWidth="1"/>
    <col min="4612" max="4613" width="31" customWidth="1"/>
    <col min="4614" max="4617" width="25.33203125" customWidth="1"/>
    <col min="4864" max="4864" width="10.33203125" customWidth="1"/>
    <col min="4865" max="4865" width="12" customWidth="1"/>
    <col min="4866" max="4866" width="17.6640625" customWidth="1"/>
    <col min="4867" max="4867" width="17.33203125" customWidth="1"/>
    <col min="4868" max="4869" width="31" customWidth="1"/>
    <col min="4870" max="4873" width="25.33203125" customWidth="1"/>
    <col min="5120" max="5120" width="10.33203125" customWidth="1"/>
    <col min="5121" max="5121" width="12" customWidth="1"/>
    <col min="5122" max="5122" width="17.6640625" customWidth="1"/>
    <col min="5123" max="5123" width="17.33203125" customWidth="1"/>
    <col min="5124" max="5125" width="31" customWidth="1"/>
    <col min="5126" max="5129" width="25.33203125" customWidth="1"/>
    <col min="5376" max="5376" width="10.33203125" customWidth="1"/>
    <col min="5377" max="5377" width="12" customWidth="1"/>
    <col min="5378" max="5378" width="17.6640625" customWidth="1"/>
    <col min="5379" max="5379" width="17.33203125" customWidth="1"/>
    <col min="5380" max="5381" width="31" customWidth="1"/>
    <col min="5382" max="5385" width="25.33203125" customWidth="1"/>
    <col min="5632" max="5632" width="10.33203125" customWidth="1"/>
    <col min="5633" max="5633" width="12" customWidth="1"/>
    <col min="5634" max="5634" width="17.6640625" customWidth="1"/>
    <col min="5635" max="5635" width="17.33203125" customWidth="1"/>
    <col min="5636" max="5637" width="31" customWidth="1"/>
    <col min="5638" max="5641" width="25.33203125" customWidth="1"/>
    <col min="5888" max="5888" width="10.33203125" customWidth="1"/>
    <col min="5889" max="5889" width="12" customWidth="1"/>
    <col min="5890" max="5890" width="17.6640625" customWidth="1"/>
    <col min="5891" max="5891" width="17.33203125" customWidth="1"/>
    <col min="5892" max="5893" width="31" customWidth="1"/>
    <col min="5894" max="5897" width="25.33203125" customWidth="1"/>
    <col min="6144" max="6144" width="10.33203125" customWidth="1"/>
    <col min="6145" max="6145" width="12" customWidth="1"/>
    <col min="6146" max="6146" width="17.6640625" customWidth="1"/>
    <col min="6147" max="6147" width="17.33203125" customWidth="1"/>
    <col min="6148" max="6149" width="31" customWidth="1"/>
    <col min="6150" max="6153" width="25.33203125" customWidth="1"/>
    <col min="6400" max="6400" width="10.33203125" customWidth="1"/>
    <col min="6401" max="6401" width="12" customWidth="1"/>
    <col min="6402" max="6402" width="17.6640625" customWidth="1"/>
    <col min="6403" max="6403" width="17.33203125" customWidth="1"/>
    <col min="6404" max="6405" width="31" customWidth="1"/>
    <col min="6406" max="6409" width="25.33203125" customWidth="1"/>
    <col min="6656" max="6656" width="10.33203125" customWidth="1"/>
    <col min="6657" max="6657" width="12" customWidth="1"/>
    <col min="6658" max="6658" width="17.6640625" customWidth="1"/>
    <col min="6659" max="6659" width="17.33203125" customWidth="1"/>
    <col min="6660" max="6661" width="31" customWidth="1"/>
    <col min="6662" max="6665" width="25.33203125" customWidth="1"/>
    <col min="6912" max="6912" width="10.33203125" customWidth="1"/>
    <col min="6913" max="6913" width="12" customWidth="1"/>
    <col min="6914" max="6914" width="17.6640625" customWidth="1"/>
    <col min="6915" max="6915" width="17.33203125" customWidth="1"/>
    <col min="6916" max="6917" width="31" customWidth="1"/>
    <col min="6918" max="6921" width="25.33203125" customWidth="1"/>
    <col min="7168" max="7168" width="10.33203125" customWidth="1"/>
    <col min="7169" max="7169" width="12" customWidth="1"/>
    <col min="7170" max="7170" width="17.6640625" customWidth="1"/>
    <col min="7171" max="7171" width="17.33203125" customWidth="1"/>
    <col min="7172" max="7173" width="31" customWidth="1"/>
    <col min="7174" max="7177" width="25.33203125" customWidth="1"/>
    <col min="7424" max="7424" width="10.33203125" customWidth="1"/>
    <col min="7425" max="7425" width="12" customWidth="1"/>
    <col min="7426" max="7426" width="17.6640625" customWidth="1"/>
    <col min="7427" max="7427" width="17.33203125" customWidth="1"/>
    <col min="7428" max="7429" width="31" customWidth="1"/>
    <col min="7430" max="7433" width="25.33203125" customWidth="1"/>
    <col min="7680" max="7680" width="10.33203125" customWidth="1"/>
    <col min="7681" max="7681" width="12" customWidth="1"/>
    <col min="7682" max="7682" width="17.6640625" customWidth="1"/>
    <col min="7683" max="7683" width="17.33203125" customWidth="1"/>
    <col min="7684" max="7685" width="31" customWidth="1"/>
    <col min="7686" max="7689" width="25.33203125" customWidth="1"/>
    <col min="7936" max="7936" width="10.33203125" customWidth="1"/>
    <col min="7937" max="7937" width="12" customWidth="1"/>
    <col min="7938" max="7938" width="17.6640625" customWidth="1"/>
    <col min="7939" max="7939" width="17.33203125" customWidth="1"/>
    <col min="7940" max="7941" width="31" customWidth="1"/>
    <col min="7942" max="7945" width="25.33203125" customWidth="1"/>
    <col min="8192" max="8192" width="10.33203125" customWidth="1"/>
    <col min="8193" max="8193" width="12" customWidth="1"/>
    <col min="8194" max="8194" width="17.6640625" customWidth="1"/>
    <col min="8195" max="8195" width="17.33203125" customWidth="1"/>
    <col min="8196" max="8197" width="31" customWidth="1"/>
    <col min="8198" max="8201" width="25.33203125" customWidth="1"/>
    <col min="8448" max="8448" width="10.33203125" customWidth="1"/>
    <col min="8449" max="8449" width="12" customWidth="1"/>
    <col min="8450" max="8450" width="17.6640625" customWidth="1"/>
    <col min="8451" max="8451" width="17.33203125" customWidth="1"/>
    <col min="8452" max="8453" width="31" customWidth="1"/>
    <col min="8454" max="8457" width="25.33203125" customWidth="1"/>
    <col min="8704" max="8704" width="10.33203125" customWidth="1"/>
    <col min="8705" max="8705" width="12" customWidth="1"/>
    <col min="8706" max="8706" width="17.6640625" customWidth="1"/>
    <col min="8707" max="8707" width="17.33203125" customWidth="1"/>
    <col min="8708" max="8709" width="31" customWidth="1"/>
    <col min="8710" max="8713" width="25.33203125" customWidth="1"/>
    <col min="8960" max="8960" width="10.33203125" customWidth="1"/>
    <col min="8961" max="8961" width="12" customWidth="1"/>
    <col min="8962" max="8962" width="17.6640625" customWidth="1"/>
    <col min="8963" max="8963" width="17.33203125" customWidth="1"/>
    <col min="8964" max="8965" width="31" customWidth="1"/>
    <col min="8966" max="8969" width="25.33203125" customWidth="1"/>
    <col min="9216" max="9216" width="10.33203125" customWidth="1"/>
    <col min="9217" max="9217" width="12" customWidth="1"/>
    <col min="9218" max="9218" width="17.6640625" customWidth="1"/>
    <col min="9219" max="9219" width="17.33203125" customWidth="1"/>
    <col min="9220" max="9221" width="31" customWidth="1"/>
    <col min="9222" max="9225" width="25.33203125" customWidth="1"/>
    <col min="9472" max="9472" width="10.33203125" customWidth="1"/>
    <col min="9473" max="9473" width="12" customWidth="1"/>
    <col min="9474" max="9474" width="17.6640625" customWidth="1"/>
    <col min="9475" max="9475" width="17.33203125" customWidth="1"/>
    <col min="9476" max="9477" width="31" customWidth="1"/>
    <col min="9478" max="9481" width="25.33203125" customWidth="1"/>
    <col min="9728" max="9728" width="10.33203125" customWidth="1"/>
    <col min="9729" max="9729" width="12" customWidth="1"/>
    <col min="9730" max="9730" width="17.6640625" customWidth="1"/>
    <col min="9731" max="9731" width="17.33203125" customWidth="1"/>
    <col min="9732" max="9733" width="31" customWidth="1"/>
    <col min="9734" max="9737" width="25.33203125" customWidth="1"/>
    <col min="9984" max="9984" width="10.33203125" customWidth="1"/>
    <col min="9985" max="9985" width="12" customWidth="1"/>
    <col min="9986" max="9986" width="17.6640625" customWidth="1"/>
    <col min="9987" max="9987" width="17.33203125" customWidth="1"/>
    <col min="9988" max="9989" width="31" customWidth="1"/>
    <col min="9990" max="9993" width="25.33203125" customWidth="1"/>
    <col min="10240" max="10240" width="10.33203125" customWidth="1"/>
    <col min="10241" max="10241" width="12" customWidth="1"/>
    <col min="10242" max="10242" width="17.6640625" customWidth="1"/>
    <col min="10243" max="10243" width="17.33203125" customWidth="1"/>
    <col min="10244" max="10245" width="31" customWidth="1"/>
    <col min="10246" max="10249" width="25.33203125" customWidth="1"/>
    <col min="10496" max="10496" width="10.33203125" customWidth="1"/>
    <col min="10497" max="10497" width="12" customWidth="1"/>
    <col min="10498" max="10498" width="17.6640625" customWidth="1"/>
    <col min="10499" max="10499" width="17.33203125" customWidth="1"/>
    <col min="10500" max="10501" width="31" customWidth="1"/>
    <col min="10502" max="10505" width="25.33203125" customWidth="1"/>
    <col min="10752" max="10752" width="10.33203125" customWidth="1"/>
    <col min="10753" max="10753" width="12" customWidth="1"/>
    <col min="10754" max="10754" width="17.6640625" customWidth="1"/>
    <col min="10755" max="10755" width="17.33203125" customWidth="1"/>
    <col min="10756" max="10757" width="31" customWidth="1"/>
    <col min="10758" max="10761" width="25.33203125" customWidth="1"/>
    <col min="11008" max="11008" width="10.33203125" customWidth="1"/>
    <col min="11009" max="11009" width="12" customWidth="1"/>
    <col min="11010" max="11010" width="17.6640625" customWidth="1"/>
    <col min="11011" max="11011" width="17.33203125" customWidth="1"/>
    <col min="11012" max="11013" width="31" customWidth="1"/>
    <col min="11014" max="11017" width="25.33203125" customWidth="1"/>
    <col min="11264" max="11264" width="10.33203125" customWidth="1"/>
    <col min="11265" max="11265" width="12" customWidth="1"/>
    <col min="11266" max="11266" width="17.6640625" customWidth="1"/>
    <col min="11267" max="11267" width="17.33203125" customWidth="1"/>
    <col min="11268" max="11269" width="31" customWidth="1"/>
    <col min="11270" max="11273" width="25.33203125" customWidth="1"/>
    <col min="11520" max="11520" width="10.33203125" customWidth="1"/>
    <col min="11521" max="11521" width="12" customWidth="1"/>
    <col min="11522" max="11522" width="17.6640625" customWidth="1"/>
    <col min="11523" max="11523" width="17.33203125" customWidth="1"/>
    <col min="11524" max="11525" width="31" customWidth="1"/>
    <col min="11526" max="11529" width="25.33203125" customWidth="1"/>
    <col min="11776" max="11776" width="10.33203125" customWidth="1"/>
    <col min="11777" max="11777" width="12" customWidth="1"/>
    <col min="11778" max="11778" width="17.6640625" customWidth="1"/>
    <col min="11779" max="11779" width="17.33203125" customWidth="1"/>
    <col min="11780" max="11781" width="31" customWidth="1"/>
    <col min="11782" max="11785" width="25.33203125" customWidth="1"/>
    <col min="12032" max="12032" width="10.33203125" customWidth="1"/>
    <col min="12033" max="12033" width="12" customWidth="1"/>
    <col min="12034" max="12034" width="17.6640625" customWidth="1"/>
    <col min="12035" max="12035" width="17.33203125" customWidth="1"/>
    <col min="12036" max="12037" width="31" customWidth="1"/>
    <col min="12038" max="12041" width="25.33203125" customWidth="1"/>
    <col min="12288" max="12288" width="10.33203125" customWidth="1"/>
    <col min="12289" max="12289" width="12" customWidth="1"/>
    <col min="12290" max="12290" width="17.6640625" customWidth="1"/>
    <col min="12291" max="12291" width="17.33203125" customWidth="1"/>
    <col min="12292" max="12293" width="31" customWidth="1"/>
    <col min="12294" max="12297" width="25.33203125" customWidth="1"/>
    <col min="12544" max="12544" width="10.33203125" customWidth="1"/>
    <col min="12545" max="12545" width="12" customWidth="1"/>
    <col min="12546" max="12546" width="17.6640625" customWidth="1"/>
    <col min="12547" max="12547" width="17.33203125" customWidth="1"/>
    <col min="12548" max="12549" width="31" customWidth="1"/>
    <col min="12550" max="12553" width="25.33203125" customWidth="1"/>
    <col min="12800" max="12800" width="10.33203125" customWidth="1"/>
    <col min="12801" max="12801" width="12" customWidth="1"/>
    <col min="12802" max="12802" width="17.6640625" customWidth="1"/>
    <col min="12803" max="12803" width="17.33203125" customWidth="1"/>
    <col min="12804" max="12805" width="31" customWidth="1"/>
    <col min="12806" max="12809" width="25.33203125" customWidth="1"/>
    <col min="13056" max="13056" width="10.33203125" customWidth="1"/>
    <col min="13057" max="13057" width="12" customWidth="1"/>
    <col min="13058" max="13058" width="17.6640625" customWidth="1"/>
    <col min="13059" max="13059" width="17.33203125" customWidth="1"/>
    <col min="13060" max="13061" width="31" customWidth="1"/>
    <col min="13062" max="13065" width="25.33203125" customWidth="1"/>
    <col min="13312" max="13312" width="10.33203125" customWidth="1"/>
    <col min="13313" max="13313" width="12" customWidth="1"/>
    <col min="13314" max="13314" width="17.6640625" customWidth="1"/>
    <col min="13315" max="13315" width="17.33203125" customWidth="1"/>
    <col min="13316" max="13317" width="31" customWidth="1"/>
    <col min="13318" max="13321" width="25.33203125" customWidth="1"/>
    <col min="13568" max="13568" width="10.33203125" customWidth="1"/>
    <col min="13569" max="13569" width="12" customWidth="1"/>
    <col min="13570" max="13570" width="17.6640625" customWidth="1"/>
    <col min="13571" max="13571" width="17.33203125" customWidth="1"/>
    <col min="13572" max="13573" width="31" customWidth="1"/>
    <col min="13574" max="13577" width="25.33203125" customWidth="1"/>
    <col min="13824" max="13824" width="10.33203125" customWidth="1"/>
    <col min="13825" max="13825" width="12" customWidth="1"/>
    <col min="13826" max="13826" width="17.6640625" customWidth="1"/>
    <col min="13827" max="13827" width="17.33203125" customWidth="1"/>
    <col min="13828" max="13829" width="31" customWidth="1"/>
    <col min="13830" max="13833" width="25.33203125" customWidth="1"/>
    <col min="14080" max="14080" width="10.33203125" customWidth="1"/>
    <col min="14081" max="14081" width="12" customWidth="1"/>
    <col min="14082" max="14082" width="17.6640625" customWidth="1"/>
    <col min="14083" max="14083" width="17.33203125" customWidth="1"/>
    <col min="14084" max="14085" width="31" customWidth="1"/>
    <col min="14086" max="14089" width="25.33203125" customWidth="1"/>
    <col min="14336" max="14336" width="10.33203125" customWidth="1"/>
    <col min="14337" max="14337" width="12" customWidth="1"/>
    <col min="14338" max="14338" width="17.6640625" customWidth="1"/>
    <col min="14339" max="14339" width="17.33203125" customWidth="1"/>
    <col min="14340" max="14341" width="31" customWidth="1"/>
    <col min="14342" max="14345" width="25.33203125" customWidth="1"/>
    <col min="14592" max="14592" width="10.33203125" customWidth="1"/>
    <col min="14593" max="14593" width="12" customWidth="1"/>
    <col min="14594" max="14594" width="17.6640625" customWidth="1"/>
    <col min="14595" max="14595" width="17.33203125" customWidth="1"/>
    <col min="14596" max="14597" width="31" customWidth="1"/>
    <col min="14598" max="14601" width="25.33203125" customWidth="1"/>
    <col min="14848" max="14848" width="10.33203125" customWidth="1"/>
    <col min="14849" max="14849" width="12" customWidth="1"/>
    <col min="14850" max="14850" width="17.6640625" customWidth="1"/>
    <col min="14851" max="14851" width="17.33203125" customWidth="1"/>
    <col min="14852" max="14853" width="31" customWidth="1"/>
    <col min="14854" max="14857" width="25.33203125" customWidth="1"/>
    <col min="15104" max="15104" width="10.33203125" customWidth="1"/>
    <col min="15105" max="15105" width="12" customWidth="1"/>
    <col min="15106" max="15106" width="17.6640625" customWidth="1"/>
    <col min="15107" max="15107" width="17.33203125" customWidth="1"/>
    <col min="15108" max="15109" width="31" customWidth="1"/>
    <col min="15110" max="15113" width="25.33203125" customWidth="1"/>
    <col min="15360" max="15360" width="10.33203125" customWidth="1"/>
    <col min="15361" max="15361" width="12" customWidth="1"/>
    <col min="15362" max="15362" width="17.6640625" customWidth="1"/>
    <col min="15363" max="15363" width="17.33203125" customWidth="1"/>
    <col min="15364" max="15365" width="31" customWidth="1"/>
    <col min="15366" max="15369" width="25.33203125" customWidth="1"/>
    <col min="15616" max="15616" width="10.33203125" customWidth="1"/>
    <col min="15617" max="15617" width="12" customWidth="1"/>
    <col min="15618" max="15618" width="17.6640625" customWidth="1"/>
    <col min="15619" max="15619" width="17.33203125" customWidth="1"/>
    <col min="15620" max="15621" width="31" customWidth="1"/>
    <col min="15622" max="15625" width="25.33203125" customWidth="1"/>
    <col min="15872" max="15872" width="10.33203125" customWidth="1"/>
    <col min="15873" max="15873" width="12" customWidth="1"/>
    <col min="15874" max="15874" width="17.6640625" customWidth="1"/>
    <col min="15875" max="15875" width="17.33203125" customWidth="1"/>
    <col min="15876" max="15877" width="31" customWidth="1"/>
    <col min="15878" max="15881" width="25.33203125" customWidth="1"/>
    <col min="16128" max="16128" width="10.33203125" customWidth="1"/>
    <col min="16129" max="16129" width="12" customWidth="1"/>
    <col min="16130" max="16130" width="17.6640625" customWidth="1"/>
    <col min="16131" max="16131" width="17.33203125" customWidth="1"/>
    <col min="16132" max="16133" width="31" customWidth="1"/>
    <col min="16134" max="16137" width="25.33203125" customWidth="1"/>
  </cols>
  <sheetData>
    <row r="1" spans="1:30">
      <c r="A1" s="876"/>
      <c r="B1" s="876"/>
      <c r="C1" s="876"/>
      <c r="D1" s="876"/>
      <c r="E1" s="876"/>
      <c r="F1" s="876"/>
      <c r="G1" s="876"/>
      <c r="H1" s="876"/>
      <c r="I1" s="876"/>
      <c r="J1" s="876"/>
      <c r="K1" s="876"/>
      <c r="L1" s="876"/>
      <c r="M1" s="876"/>
      <c r="N1" s="876"/>
      <c r="O1" s="876"/>
      <c r="P1" s="876"/>
      <c r="Q1" s="876"/>
      <c r="R1" s="876"/>
      <c r="S1" s="876"/>
      <c r="T1" s="876"/>
      <c r="U1" s="876"/>
      <c r="V1" s="876"/>
      <c r="W1" s="876"/>
      <c r="X1" s="876"/>
      <c r="Y1" s="876"/>
      <c r="Z1" s="876"/>
      <c r="AA1" s="876"/>
      <c r="AB1" s="876"/>
      <c r="AC1" s="876"/>
      <c r="AD1" s="876"/>
    </row>
    <row r="2" spans="1:30" ht="21">
      <c r="A2" s="876"/>
      <c r="B2" s="1228" t="s">
        <v>407</v>
      </c>
      <c r="C2" s="876"/>
      <c r="D2" s="876"/>
      <c r="E2" s="876"/>
      <c r="F2" s="876"/>
      <c r="G2" s="876"/>
      <c r="H2" s="876"/>
      <c r="I2" s="876"/>
      <c r="J2" s="876"/>
      <c r="K2" s="876"/>
      <c r="L2" s="876"/>
      <c r="M2" s="876"/>
      <c r="N2" s="876"/>
      <c r="O2" s="876"/>
      <c r="P2" s="876"/>
      <c r="Q2" s="876"/>
      <c r="R2" s="876"/>
      <c r="S2" s="876"/>
      <c r="T2" s="876"/>
      <c r="U2" s="876"/>
      <c r="V2" s="876"/>
      <c r="W2" s="876"/>
      <c r="X2" s="876"/>
      <c r="Y2" s="876"/>
      <c r="Z2" s="876"/>
      <c r="AA2" s="876"/>
      <c r="AB2" s="876"/>
      <c r="AC2" s="876"/>
      <c r="AD2" s="876"/>
    </row>
    <row r="3" spans="1:30">
      <c r="A3" s="876"/>
      <c r="B3" s="876"/>
      <c r="C3" s="876"/>
      <c r="D3" s="876"/>
      <c r="E3" s="876"/>
      <c r="F3" s="876"/>
      <c r="G3" s="876"/>
      <c r="H3" s="876"/>
      <c r="I3" s="876"/>
      <c r="J3" s="876"/>
      <c r="K3" s="876"/>
      <c r="L3" s="876"/>
      <c r="M3" s="876"/>
      <c r="N3" s="876"/>
      <c r="O3" s="876"/>
      <c r="P3" s="876"/>
      <c r="Q3" s="876"/>
      <c r="R3" s="876"/>
      <c r="S3" s="876"/>
      <c r="T3" s="876"/>
      <c r="U3" s="876"/>
      <c r="V3" s="876"/>
      <c r="W3" s="876"/>
      <c r="X3" s="876"/>
      <c r="Y3" s="876"/>
      <c r="Z3" s="876"/>
      <c r="AA3" s="876"/>
      <c r="AB3" s="876"/>
      <c r="AC3" s="876"/>
      <c r="AD3" s="876"/>
    </row>
    <row r="4" spans="1:30">
      <c r="A4" s="876"/>
      <c r="B4" s="876"/>
      <c r="C4" s="876"/>
      <c r="D4" s="876"/>
      <c r="E4" s="876"/>
      <c r="F4" s="876"/>
      <c r="G4" s="876"/>
      <c r="H4" s="876"/>
      <c r="I4" s="876"/>
      <c r="J4" s="876"/>
      <c r="K4" s="876"/>
      <c r="L4" s="876"/>
      <c r="M4" s="876"/>
      <c r="N4" s="876"/>
      <c r="O4" s="876"/>
      <c r="P4" s="876"/>
      <c r="Q4" s="876"/>
      <c r="S4" s="876"/>
      <c r="T4" s="876"/>
      <c r="U4" s="876"/>
      <c r="V4" s="876"/>
      <c r="W4" s="876"/>
      <c r="X4" s="876"/>
      <c r="Y4" s="876"/>
      <c r="Z4" s="876"/>
      <c r="AA4" s="876"/>
      <c r="AB4" s="876"/>
      <c r="AC4" s="876"/>
      <c r="AD4" s="876"/>
    </row>
    <row r="5" spans="1:30">
      <c r="A5" s="876"/>
      <c r="B5" s="876"/>
      <c r="C5" s="876"/>
      <c r="D5" s="876"/>
      <c r="E5" s="876"/>
      <c r="F5" s="876"/>
      <c r="G5" s="876"/>
      <c r="H5" s="876"/>
      <c r="I5" s="876"/>
      <c r="J5" s="876"/>
      <c r="K5" s="876"/>
      <c r="L5" s="876"/>
      <c r="M5" s="876"/>
      <c r="N5" s="876"/>
      <c r="O5" s="876"/>
      <c r="P5" s="876"/>
      <c r="Q5" s="876"/>
      <c r="R5" s="876"/>
      <c r="S5" s="878" t="s">
        <v>1380</v>
      </c>
      <c r="T5" s="876"/>
      <c r="U5" s="876"/>
      <c r="V5" s="876"/>
      <c r="W5" s="876"/>
      <c r="X5" s="876"/>
      <c r="Y5" s="876"/>
      <c r="Z5" s="876"/>
      <c r="AA5" s="876"/>
      <c r="AB5" s="876"/>
      <c r="AC5" s="876"/>
      <c r="AD5" s="876"/>
    </row>
    <row r="6" spans="1:30">
      <c r="A6" s="876"/>
      <c r="B6" s="1227" t="s">
        <v>204</v>
      </c>
      <c r="C6" s="876"/>
      <c r="D6" s="876"/>
      <c r="E6" s="876"/>
      <c r="F6" s="876"/>
      <c r="G6" s="876"/>
      <c r="H6" s="876"/>
      <c r="I6" s="876"/>
      <c r="J6" s="876"/>
      <c r="K6" s="876"/>
      <c r="L6" s="876"/>
      <c r="M6" s="876"/>
      <c r="N6" s="876"/>
      <c r="P6" s="876"/>
      <c r="Q6" s="876"/>
      <c r="R6" s="876"/>
      <c r="S6" s="1439" t="s">
        <v>1386</v>
      </c>
      <c r="T6" s="1440"/>
      <c r="U6" s="1441"/>
      <c r="V6" s="1414">
        <f>+H78/(J70+J71+2*J72+3*J73+4*J74+J75+J76)</f>
        <v>2.5603043485610324</v>
      </c>
      <c r="W6" s="877"/>
      <c r="X6" s="876"/>
      <c r="Y6" s="876"/>
      <c r="Z6" s="876"/>
      <c r="AA6" s="876"/>
      <c r="AB6" s="876"/>
      <c r="AC6" s="876"/>
      <c r="AD6" s="876"/>
    </row>
    <row r="7" spans="1:30">
      <c r="A7" s="876"/>
      <c r="B7" s="876"/>
      <c r="C7" s="876"/>
      <c r="D7" s="876"/>
      <c r="E7" s="876"/>
      <c r="F7" s="876"/>
      <c r="G7" s="876"/>
      <c r="H7" s="876"/>
      <c r="I7" s="876"/>
      <c r="J7" s="876"/>
      <c r="K7" s="876"/>
      <c r="L7" s="876"/>
      <c r="M7" s="876"/>
      <c r="N7" s="876"/>
      <c r="O7" s="876"/>
      <c r="P7" s="876"/>
      <c r="Q7" s="876"/>
      <c r="R7" s="876"/>
      <c r="S7" s="1233" t="s">
        <v>1385</v>
      </c>
      <c r="T7" s="1234"/>
      <c r="U7" s="1235"/>
      <c r="V7" s="1415">
        <f>-(E70*V70+E72*V72+E73*V73+E74*V74)*1000</f>
        <v>3349829124.0960002</v>
      </c>
      <c r="W7" s="1415">
        <f>-(E70*W70+E72*W72+E73*W73+E74*W74)*1000</f>
        <v>3711391334.4000001</v>
      </c>
      <c r="X7" s="877" t="s">
        <v>1388</v>
      </c>
      <c r="Y7" s="876"/>
      <c r="Z7" s="876"/>
      <c r="AA7" s="876"/>
      <c r="AB7" s="876"/>
      <c r="AC7" s="876"/>
      <c r="AD7" s="876"/>
    </row>
    <row r="8" spans="1:30">
      <c r="A8" s="876"/>
      <c r="B8" s="1226"/>
      <c r="C8" s="876"/>
      <c r="D8" s="876"/>
      <c r="E8" s="876"/>
      <c r="F8" s="876"/>
      <c r="G8" s="876"/>
      <c r="H8" s="876"/>
      <c r="I8" s="876"/>
      <c r="J8" s="876"/>
      <c r="K8" s="876"/>
      <c r="L8" s="876"/>
      <c r="M8" s="876"/>
      <c r="N8" s="876"/>
      <c r="O8" s="876"/>
      <c r="P8" s="876"/>
      <c r="Q8" s="876"/>
      <c r="R8" s="876"/>
      <c r="S8" s="1233" t="s">
        <v>1389</v>
      </c>
      <c r="T8" s="1234"/>
      <c r="U8" s="1235"/>
      <c r="V8" s="1415">
        <f>+V7*0.0002777778</f>
        <v>930508.16446731391</v>
      </c>
      <c r="W8" s="1415">
        <f>+W7*0.0002777778</f>
        <v>1030942.1198086963</v>
      </c>
      <c r="X8" s="877" t="s">
        <v>1388</v>
      </c>
      <c r="Y8" s="876"/>
      <c r="Z8" s="876"/>
      <c r="AA8" s="876"/>
      <c r="AB8" s="876"/>
      <c r="AC8" s="876"/>
      <c r="AD8" s="876"/>
    </row>
    <row r="9" spans="1:30">
      <c r="A9" s="876"/>
      <c r="B9" s="1226"/>
      <c r="C9" s="876"/>
      <c r="D9" s="876"/>
      <c r="E9" s="876"/>
      <c r="F9" s="876"/>
      <c r="G9" s="876"/>
      <c r="H9" s="876"/>
      <c r="I9" s="876"/>
      <c r="J9" s="876"/>
      <c r="K9" s="876"/>
      <c r="L9" s="876"/>
      <c r="M9" s="876"/>
      <c r="N9" s="876"/>
      <c r="O9" s="876"/>
      <c r="P9" s="876"/>
      <c r="Q9" s="876"/>
      <c r="R9" s="876"/>
      <c r="S9" s="1233" t="s">
        <v>1395</v>
      </c>
      <c r="T9" s="1234"/>
      <c r="U9" s="1235"/>
      <c r="V9" s="1415">
        <f>+V8*3412.142/1000000</f>
        <v>3175.0259893218295</v>
      </c>
      <c r="W9" s="1415">
        <f>+W8*3412.142/1000000</f>
        <v>3517.7209065682846</v>
      </c>
      <c r="X9" s="877" t="s">
        <v>1388</v>
      </c>
      <c r="Y9" s="876"/>
      <c r="Z9" s="876"/>
      <c r="AA9" s="876"/>
      <c r="AB9" s="876"/>
      <c r="AC9" s="876"/>
      <c r="AD9" s="876"/>
    </row>
    <row r="10" spans="1:30">
      <c r="A10" s="876"/>
      <c r="B10" s="1226"/>
      <c r="C10" s="876"/>
      <c r="D10" s="876"/>
      <c r="E10" s="876"/>
      <c r="F10" s="876"/>
      <c r="G10" s="876"/>
      <c r="H10" s="876"/>
      <c r="I10" s="876"/>
      <c r="J10" s="876"/>
      <c r="K10" s="876"/>
      <c r="L10" s="876"/>
      <c r="M10" s="876"/>
      <c r="N10" s="876"/>
      <c r="O10" s="876"/>
      <c r="P10" s="876"/>
      <c r="Q10" s="876"/>
      <c r="R10" s="876"/>
      <c r="S10" s="1233" t="s">
        <v>1387</v>
      </c>
      <c r="T10" s="1234"/>
      <c r="U10" s="1235"/>
      <c r="V10" s="1415">
        <f>-(N77*V77)*1000</f>
        <v>2407863464.9732003</v>
      </c>
      <c r="W10" s="1415">
        <f>-(N77*W77)*1000</f>
        <v>2846011653.8060002</v>
      </c>
      <c r="X10" s="877" t="s">
        <v>1388</v>
      </c>
      <c r="Y10" s="876"/>
      <c r="Z10" s="876"/>
      <c r="AA10" s="876"/>
      <c r="AB10" s="876"/>
      <c r="AC10" s="876"/>
      <c r="AD10" s="876"/>
    </row>
    <row r="11" spans="1:30">
      <c r="A11" s="876"/>
      <c r="B11" s="1226"/>
      <c r="C11" s="876"/>
      <c r="D11" s="876"/>
      <c r="E11" s="876"/>
      <c r="F11" s="876"/>
      <c r="G11" s="876"/>
      <c r="H11" s="876"/>
      <c r="I11" s="876"/>
      <c r="J11" s="876"/>
      <c r="K11" s="876"/>
      <c r="L11" s="876"/>
      <c r="M11" s="876"/>
      <c r="N11" s="876"/>
      <c r="O11" s="876"/>
      <c r="P11" s="876"/>
      <c r="Q11" s="876"/>
      <c r="R11" s="876"/>
      <c r="S11" s="1233" t="s">
        <v>1390</v>
      </c>
      <c r="T11" s="1234"/>
      <c r="U11" s="1235"/>
      <c r="V11" s="1415">
        <f>+V10*0.0002777778</f>
        <v>668851.01600063266</v>
      </c>
      <c r="W11" s="1415">
        <f>+W10*0.0002777778</f>
        <v>790558.85596859234</v>
      </c>
      <c r="X11" s="877" t="s">
        <v>1388</v>
      </c>
      <c r="Y11" s="876"/>
      <c r="Z11" s="876"/>
      <c r="AA11" s="876"/>
      <c r="AB11" s="876"/>
      <c r="AC11" s="876"/>
      <c r="AD11" s="876"/>
    </row>
    <row r="12" spans="1:30">
      <c r="A12" s="876"/>
      <c r="B12" s="1226"/>
      <c r="C12" s="876"/>
      <c r="D12" s="876"/>
      <c r="E12" s="876"/>
      <c r="F12" s="876"/>
      <c r="G12" s="876"/>
      <c r="H12" s="876"/>
      <c r="I12" s="876"/>
      <c r="J12" s="876"/>
      <c r="K12" s="876"/>
      <c r="L12" s="876"/>
      <c r="M12" s="876"/>
      <c r="N12" s="876"/>
      <c r="O12" s="876"/>
      <c r="P12" s="876"/>
      <c r="Q12" s="876"/>
      <c r="R12" s="876"/>
      <c r="S12" s="1233" t="s">
        <v>1391</v>
      </c>
      <c r="T12" s="1234"/>
      <c r="U12" s="1235"/>
      <c r="V12" s="1415">
        <f>+N48*24</f>
        <v>483024</v>
      </c>
      <c r="W12" s="1267"/>
      <c r="X12" s="876"/>
      <c r="Y12" s="876"/>
      <c r="Z12" s="876"/>
      <c r="AA12" s="876"/>
      <c r="AB12" s="876"/>
      <c r="AC12" s="876"/>
      <c r="AD12" s="876"/>
    </row>
    <row r="13" spans="1:30">
      <c r="A13" s="876"/>
      <c r="B13" s="1226"/>
      <c r="C13" s="876"/>
      <c r="D13" s="876"/>
      <c r="E13" s="876"/>
      <c r="F13" s="876"/>
      <c r="G13" s="876"/>
      <c r="H13" s="876"/>
      <c r="I13" s="876"/>
      <c r="J13" s="876"/>
      <c r="K13" s="876"/>
      <c r="L13" s="876"/>
      <c r="M13" s="876"/>
      <c r="N13" s="876"/>
      <c r="O13" s="876"/>
      <c r="P13" s="876"/>
      <c r="Q13" s="876"/>
      <c r="R13" s="876"/>
      <c r="S13" s="1233" t="s">
        <v>1392</v>
      </c>
      <c r="T13" s="1234"/>
      <c r="U13" s="1235"/>
      <c r="V13" s="1415">
        <f>+(E70+2*E72+3*E73+4*E74+E76)*1000</f>
        <v>4268032</v>
      </c>
      <c r="W13" s="877"/>
      <c r="X13" s="876"/>
      <c r="Y13" s="876"/>
      <c r="Z13" s="876"/>
      <c r="AA13" s="876"/>
      <c r="AB13" s="876"/>
      <c r="AC13" s="876"/>
      <c r="AD13" s="876"/>
    </row>
    <row r="14" spans="1:30">
      <c r="A14" s="876"/>
      <c r="B14" s="1226"/>
      <c r="C14" s="876"/>
      <c r="D14" s="876"/>
      <c r="E14" s="876"/>
      <c r="F14" s="876"/>
      <c r="G14" s="876"/>
      <c r="H14" s="876"/>
      <c r="I14" s="876"/>
      <c r="J14" s="876"/>
      <c r="K14" s="876"/>
      <c r="L14" s="876"/>
      <c r="M14" s="876"/>
      <c r="N14" s="876"/>
      <c r="O14" s="876"/>
      <c r="P14" s="876"/>
      <c r="Q14" s="876"/>
      <c r="R14" s="876"/>
      <c r="S14" s="1233" t="s">
        <v>1442</v>
      </c>
      <c r="T14" s="1234"/>
      <c r="U14" s="1235"/>
      <c r="V14" s="1416">
        <f>+(J75+J76-F76)/(F70+F71+2*F72+3*F73+4*F74)</f>
        <v>0.78851485315049941</v>
      </c>
      <c r="W14" s="877"/>
      <c r="X14" s="876"/>
      <c r="Y14" s="876"/>
      <c r="Z14" s="876"/>
      <c r="AA14" s="876"/>
      <c r="AB14" s="876"/>
      <c r="AC14" s="876"/>
      <c r="AD14" s="876"/>
    </row>
    <row r="15" spans="1:30">
      <c r="A15" s="876"/>
      <c r="B15" s="1226"/>
      <c r="C15" s="876"/>
      <c r="D15" s="876"/>
      <c r="E15" s="876"/>
      <c r="F15" s="876"/>
      <c r="G15" s="876"/>
      <c r="H15" s="876"/>
      <c r="I15" s="876"/>
      <c r="J15" s="876"/>
      <c r="K15" s="876"/>
      <c r="L15" s="876"/>
      <c r="M15" s="876"/>
      <c r="N15" s="876"/>
      <c r="O15" s="876"/>
      <c r="P15" s="876"/>
      <c r="Q15" s="876"/>
      <c r="R15" s="876"/>
      <c r="S15" s="1233" t="s">
        <v>1393</v>
      </c>
      <c r="T15" s="1234"/>
      <c r="U15" s="1235"/>
      <c r="V15" s="1416">
        <f>+(K75-L75)/K75</f>
        <v>0.97199763244579629</v>
      </c>
      <c r="W15" s="877"/>
      <c r="X15" s="876"/>
      <c r="Y15" s="876"/>
      <c r="Z15" s="876"/>
      <c r="AA15" s="876"/>
      <c r="AB15" s="876"/>
      <c r="AC15" s="876"/>
      <c r="AD15" s="876"/>
    </row>
    <row r="16" spans="1:30">
      <c r="A16" s="876"/>
      <c r="B16" s="1226"/>
      <c r="C16" s="876"/>
      <c r="D16" s="876"/>
      <c r="E16" s="876"/>
      <c r="F16" s="876"/>
      <c r="G16" s="876"/>
      <c r="H16" s="876"/>
      <c r="I16" s="876"/>
      <c r="J16" s="876"/>
      <c r="K16" s="876"/>
      <c r="L16" s="876"/>
      <c r="M16" s="876"/>
      <c r="N16" s="876"/>
      <c r="O16" s="876"/>
      <c r="P16" s="876"/>
      <c r="Q16" s="876"/>
      <c r="R16" s="876"/>
      <c r="S16" s="1233" t="s">
        <v>1430</v>
      </c>
      <c r="T16" s="1234"/>
      <c r="U16" s="1235"/>
      <c r="V16" s="1417">
        <f>+V9/N48</f>
        <v>0.15775742767175938</v>
      </c>
      <c r="W16" s="877"/>
      <c r="X16" s="876"/>
      <c r="Y16" s="876"/>
      <c r="Z16" s="876"/>
      <c r="AA16" s="876"/>
      <c r="AB16" s="876"/>
      <c r="AC16" s="876"/>
      <c r="AD16" s="876"/>
    </row>
    <row r="17" spans="1:30">
      <c r="A17" s="876"/>
      <c r="B17" s="1226"/>
      <c r="C17" s="876"/>
      <c r="D17" s="876"/>
      <c r="E17" s="876"/>
      <c r="F17" s="876"/>
      <c r="G17" s="876"/>
      <c r="H17" s="876"/>
      <c r="I17" s="876"/>
      <c r="J17" s="876"/>
      <c r="K17" s="876"/>
      <c r="L17" s="876"/>
      <c r="M17" s="876"/>
      <c r="N17" s="876"/>
      <c r="O17" s="876"/>
      <c r="P17" s="876"/>
      <c r="Q17" s="876"/>
      <c r="R17" s="876"/>
      <c r="S17" s="1233" t="s">
        <v>1398</v>
      </c>
      <c r="T17" s="1234"/>
      <c r="U17" s="1235"/>
      <c r="V17" s="1415">
        <v>1457</v>
      </c>
      <c r="W17" s="877"/>
      <c r="X17" s="876"/>
      <c r="Y17" s="876"/>
      <c r="Z17" s="876"/>
      <c r="AA17" s="876"/>
      <c r="AB17" s="876"/>
      <c r="AC17" s="876"/>
      <c r="AD17" s="876"/>
    </row>
    <row r="18" spans="1:30" ht="14">
      <c r="A18" s="876"/>
      <c r="B18" s="1226"/>
      <c r="C18" s="876"/>
      <c r="D18" s="876"/>
      <c r="E18" s="876"/>
      <c r="F18" s="876"/>
      <c r="G18" s="876"/>
      <c r="H18" s="876"/>
      <c r="I18" s="876"/>
      <c r="J18" s="876"/>
      <c r="K18" s="876"/>
      <c r="L18" s="876"/>
      <c r="M18" s="876"/>
      <c r="N18" s="876"/>
      <c r="O18" s="876"/>
      <c r="P18" s="876"/>
      <c r="Q18" s="876"/>
      <c r="R18" s="876"/>
      <c r="S18" s="1233" t="s">
        <v>1410</v>
      </c>
      <c r="T18" s="1234"/>
      <c r="U18" s="1235"/>
      <c r="V18" s="1417">
        <f>+V17*60/N48</f>
        <v>4.3436350988770744</v>
      </c>
      <c r="W18" s="877"/>
      <c r="X18" s="876"/>
      <c r="Y18" s="876"/>
      <c r="Z18" s="876"/>
      <c r="AA18" s="876"/>
      <c r="AB18" s="876"/>
      <c r="AC18" s="876"/>
      <c r="AD18" s="876"/>
    </row>
    <row r="19" spans="1:30">
      <c r="A19" s="876"/>
      <c r="B19" s="1226"/>
      <c r="C19" s="876"/>
      <c r="D19" s="876"/>
      <c r="E19" s="876"/>
      <c r="F19" s="876"/>
      <c r="G19" s="876"/>
      <c r="H19" s="876"/>
      <c r="I19" s="876"/>
      <c r="J19" s="876"/>
      <c r="K19" s="876"/>
      <c r="L19" s="876"/>
      <c r="M19" s="876"/>
      <c r="N19" s="876"/>
      <c r="O19" s="876"/>
      <c r="P19" s="876"/>
      <c r="Q19" s="876"/>
      <c r="R19" s="876"/>
      <c r="S19" s="1233" t="s">
        <v>1397</v>
      </c>
      <c r="T19" s="1234"/>
      <c r="U19" s="1235"/>
      <c r="V19" s="1415">
        <f>+D100</f>
        <v>2640</v>
      </c>
      <c r="W19" s="877"/>
      <c r="X19" s="876"/>
      <c r="Y19" s="876"/>
      <c r="Z19" s="876"/>
      <c r="AA19" s="876"/>
      <c r="AB19" s="876"/>
      <c r="AC19" s="876"/>
      <c r="AD19" s="876"/>
    </row>
    <row r="20" spans="1:30" ht="14">
      <c r="A20" s="876"/>
      <c r="B20" s="1226"/>
      <c r="C20" s="876"/>
      <c r="D20" s="876"/>
      <c r="E20" s="876"/>
      <c r="F20" s="876"/>
      <c r="G20" s="876"/>
      <c r="H20" s="876"/>
      <c r="I20" s="876"/>
      <c r="J20" s="876"/>
      <c r="K20" s="876"/>
      <c r="L20" s="876"/>
      <c r="M20" s="876"/>
      <c r="N20" s="876"/>
      <c r="O20" s="876"/>
      <c r="P20" s="876"/>
      <c r="Q20" s="876"/>
      <c r="R20" s="876"/>
      <c r="S20" s="1233" t="s">
        <v>1409</v>
      </c>
      <c r="T20" s="1234"/>
      <c r="U20" s="1235"/>
      <c r="V20" s="1417">
        <f>+V19/M48</f>
        <v>0.13117360628043326</v>
      </c>
      <c r="W20" s="877"/>
      <c r="X20" s="876"/>
      <c r="Y20" s="876"/>
      <c r="Z20" s="876"/>
      <c r="AA20" s="876"/>
      <c r="AB20" s="876"/>
      <c r="AC20" s="876"/>
      <c r="AD20" s="876"/>
    </row>
    <row r="21" spans="1:30">
      <c r="A21" s="876"/>
      <c r="B21" s="1226"/>
      <c r="C21" s="876"/>
      <c r="D21" s="876"/>
      <c r="E21" s="876"/>
      <c r="F21" s="876"/>
      <c r="G21" s="876"/>
      <c r="H21" s="876"/>
      <c r="I21" s="876"/>
      <c r="J21" s="876"/>
      <c r="K21" s="876"/>
      <c r="L21" s="876"/>
      <c r="M21" s="876"/>
      <c r="N21" s="876"/>
      <c r="O21" s="876"/>
      <c r="P21" s="876"/>
      <c r="Q21" s="876"/>
      <c r="R21" s="876"/>
      <c r="S21" s="876"/>
      <c r="T21" s="876"/>
      <c r="U21" s="876"/>
      <c r="V21" s="877"/>
      <c r="W21" s="877"/>
      <c r="X21" s="876"/>
      <c r="Y21" s="876"/>
      <c r="Z21" s="876"/>
      <c r="AA21" s="876"/>
      <c r="AB21" s="876"/>
      <c r="AC21" s="876"/>
      <c r="AD21" s="876"/>
    </row>
    <row r="22" spans="1:30">
      <c r="A22" s="876"/>
      <c r="B22" s="1226"/>
      <c r="C22" s="876"/>
      <c r="D22" s="876"/>
      <c r="E22" s="876"/>
      <c r="F22" s="876"/>
      <c r="G22" s="876"/>
      <c r="H22" s="876"/>
      <c r="I22" s="876"/>
      <c r="J22" s="876"/>
      <c r="K22" s="876"/>
      <c r="L22" s="876"/>
      <c r="M22" s="876"/>
      <c r="N22" s="876"/>
      <c r="O22" s="876"/>
      <c r="P22" s="876"/>
      <c r="Q22" s="876"/>
      <c r="R22" s="876"/>
      <c r="S22" s="876"/>
      <c r="T22" s="876"/>
      <c r="U22" s="876"/>
      <c r="V22" s="877"/>
      <c r="W22" s="877"/>
      <c r="X22" s="876"/>
      <c r="Y22" s="876"/>
      <c r="Z22" s="876"/>
      <c r="AA22" s="876"/>
      <c r="AB22" s="876"/>
      <c r="AC22" s="876"/>
      <c r="AD22" s="876"/>
    </row>
    <row r="23" spans="1:30">
      <c r="A23" s="876"/>
      <c r="B23" s="1226"/>
      <c r="C23" s="876"/>
      <c r="D23" s="876"/>
      <c r="E23" s="876"/>
      <c r="F23" s="876"/>
      <c r="G23" s="876"/>
      <c r="H23" s="876"/>
      <c r="I23" s="876"/>
      <c r="J23" s="876"/>
      <c r="K23" s="876"/>
      <c r="L23" s="876"/>
      <c r="M23" s="876"/>
      <c r="N23" s="876"/>
      <c r="O23" s="876"/>
      <c r="P23" s="876"/>
      <c r="Q23" s="876"/>
      <c r="R23" s="876"/>
      <c r="S23" s="876"/>
      <c r="T23" s="876"/>
      <c r="U23" s="876"/>
      <c r="V23" s="876"/>
      <c r="W23" s="877"/>
      <c r="X23" s="876"/>
      <c r="Y23" s="876"/>
      <c r="Z23" s="876"/>
      <c r="AA23" s="876"/>
      <c r="AB23" s="876"/>
      <c r="AC23" s="876"/>
      <c r="AD23" s="876"/>
    </row>
    <row r="24" spans="1:30">
      <c r="A24" s="876"/>
      <c r="B24" s="1226"/>
      <c r="C24" s="876"/>
      <c r="D24" s="876"/>
      <c r="E24" s="876"/>
      <c r="F24" s="876"/>
      <c r="G24" s="876"/>
      <c r="H24" s="876"/>
      <c r="I24" s="876"/>
      <c r="J24" s="876"/>
      <c r="K24" s="876"/>
      <c r="L24" s="876"/>
      <c r="M24" s="876"/>
      <c r="N24" s="876"/>
      <c r="O24" s="876"/>
      <c r="P24" s="876"/>
      <c r="Q24" s="876"/>
      <c r="R24" s="876"/>
      <c r="S24" s="876"/>
      <c r="T24" s="876"/>
      <c r="U24" s="876"/>
      <c r="V24" s="876"/>
      <c r="W24" s="877"/>
      <c r="X24" s="876"/>
      <c r="Y24" s="876"/>
      <c r="Z24" s="876"/>
      <c r="AA24" s="876"/>
      <c r="AB24" s="876"/>
      <c r="AC24" s="876"/>
      <c r="AD24" s="876"/>
    </row>
    <row r="25" spans="1:30">
      <c r="A25" s="876"/>
      <c r="B25" s="1226"/>
      <c r="C25" s="876"/>
      <c r="D25" s="876"/>
      <c r="E25" s="876"/>
      <c r="F25" s="876"/>
      <c r="G25" s="876"/>
      <c r="H25" s="876"/>
      <c r="I25" s="876"/>
      <c r="J25" s="876"/>
      <c r="K25" s="876"/>
      <c r="L25" s="876"/>
      <c r="M25" s="876"/>
      <c r="N25" s="876"/>
      <c r="O25" s="876"/>
      <c r="P25" s="876"/>
      <c r="Q25" s="876"/>
      <c r="R25" s="876"/>
      <c r="S25" s="876"/>
      <c r="T25" s="876"/>
      <c r="U25" s="876"/>
      <c r="V25" s="876"/>
      <c r="W25" s="877"/>
      <c r="X25" s="876"/>
      <c r="Y25" s="876"/>
      <c r="Z25" s="876"/>
      <c r="AA25" s="876"/>
      <c r="AB25" s="876"/>
      <c r="AC25" s="876"/>
      <c r="AD25" s="876"/>
    </row>
    <row r="26" spans="1:30">
      <c r="A26" s="876"/>
      <c r="B26" s="1226"/>
      <c r="C26" s="876"/>
      <c r="D26" s="876"/>
      <c r="E26" s="876"/>
      <c r="F26" s="876"/>
      <c r="G26" s="876"/>
      <c r="H26" s="876"/>
      <c r="I26" s="876"/>
      <c r="J26" s="876"/>
      <c r="K26" s="876"/>
      <c r="L26" s="876"/>
      <c r="M26" s="876"/>
      <c r="N26" s="876"/>
      <c r="O26" s="876"/>
      <c r="P26" s="876"/>
      <c r="Q26" s="876"/>
      <c r="R26" s="876"/>
      <c r="S26" s="876"/>
      <c r="T26" s="876"/>
      <c r="U26" s="876"/>
      <c r="V26" s="876"/>
      <c r="W26" s="877"/>
      <c r="X26" s="876"/>
      <c r="Y26" s="876"/>
      <c r="Z26" s="876"/>
      <c r="AA26" s="876"/>
      <c r="AB26" s="876"/>
      <c r="AC26" s="876"/>
      <c r="AD26" s="876"/>
    </row>
    <row r="27" spans="1:30">
      <c r="A27" s="876"/>
      <c r="B27" s="1226"/>
      <c r="C27" s="876"/>
      <c r="D27" s="876"/>
      <c r="E27" s="876"/>
      <c r="F27" s="876"/>
      <c r="G27" s="876"/>
      <c r="H27" s="876"/>
      <c r="I27" s="876"/>
      <c r="J27" s="876"/>
      <c r="K27" s="876"/>
      <c r="L27" s="876"/>
      <c r="M27" s="876"/>
      <c r="N27" s="876"/>
      <c r="O27" s="876"/>
      <c r="P27" s="876"/>
      <c r="Q27" s="876"/>
      <c r="R27" s="876"/>
      <c r="S27" s="876"/>
      <c r="T27" s="876"/>
      <c r="U27" s="876"/>
      <c r="V27" s="877"/>
      <c r="W27" s="877"/>
      <c r="X27" s="876"/>
      <c r="Y27" s="876"/>
      <c r="Z27" s="876"/>
      <c r="AA27" s="876"/>
      <c r="AB27" s="876"/>
      <c r="AC27" s="876"/>
      <c r="AD27" s="876"/>
    </row>
    <row r="28" spans="1:30">
      <c r="A28" s="876"/>
      <c r="B28" s="1226"/>
      <c r="C28" s="876"/>
      <c r="D28" s="876"/>
      <c r="E28" s="876"/>
      <c r="F28" s="876"/>
      <c r="G28" s="876"/>
      <c r="H28" s="876"/>
      <c r="I28" s="876"/>
      <c r="J28" s="876"/>
      <c r="K28" s="876"/>
      <c r="L28" s="876"/>
      <c r="M28" s="876"/>
      <c r="N28" s="876"/>
      <c r="O28" s="876"/>
      <c r="P28" s="876"/>
      <c r="Q28" s="876"/>
      <c r="R28" s="876"/>
      <c r="S28" s="876"/>
      <c r="T28" s="876"/>
      <c r="U28" s="876"/>
      <c r="V28" s="877"/>
      <c r="W28" s="877"/>
      <c r="X28" s="876"/>
      <c r="Y28" s="876"/>
      <c r="Z28" s="876"/>
      <c r="AA28" s="876"/>
      <c r="AB28" s="876"/>
      <c r="AC28" s="876"/>
      <c r="AD28" s="876"/>
    </row>
    <row r="29" spans="1:30" ht="14" thickBot="1">
      <c r="A29" s="876"/>
      <c r="B29" s="1227" t="s">
        <v>205</v>
      </c>
      <c r="C29" s="876"/>
      <c r="D29" s="876"/>
      <c r="E29" s="876"/>
      <c r="F29" s="876"/>
      <c r="G29" s="876"/>
      <c r="H29" s="876"/>
      <c r="I29" s="876"/>
      <c r="J29" s="876"/>
      <c r="K29" s="876"/>
      <c r="L29" s="876"/>
      <c r="M29" s="876"/>
      <c r="N29" s="876"/>
      <c r="O29" s="876"/>
      <c r="P29" s="876"/>
      <c r="Q29" s="876"/>
      <c r="R29" s="876"/>
      <c r="S29" s="876"/>
      <c r="T29" s="876"/>
      <c r="U29" s="876"/>
      <c r="V29" s="877"/>
      <c r="W29" s="876"/>
      <c r="X29" s="876"/>
      <c r="Y29" s="876"/>
      <c r="Z29" s="876"/>
      <c r="AA29" s="876"/>
      <c r="AB29" s="876"/>
      <c r="AC29" s="876"/>
      <c r="AD29" s="876"/>
    </row>
    <row r="30" spans="1:30" ht="14" thickBot="1">
      <c r="A30" s="876"/>
      <c r="B30" s="1282"/>
      <c r="C30" s="1283">
        <v>1</v>
      </c>
      <c r="D30" s="1283">
        <v>2</v>
      </c>
      <c r="E30" s="1283">
        <v>3</v>
      </c>
      <c r="F30" s="1283">
        <v>4</v>
      </c>
      <c r="G30" s="1283">
        <v>5</v>
      </c>
      <c r="H30" s="1283">
        <v>6</v>
      </c>
      <c r="I30" s="1283">
        <v>7</v>
      </c>
      <c r="J30" s="1283">
        <v>8</v>
      </c>
      <c r="K30" s="1282">
        <v>9</v>
      </c>
      <c r="L30" s="1283">
        <v>10</v>
      </c>
      <c r="M30" s="1283">
        <v>11</v>
      </c>
      <c r="N30" s="1283">
        <v>12</v>
      </c>
      <c r="O30" s="1283">
        <v>13</v>
      </c>
      <c r="P30" s="1283">
        <v>14</v>
      </c>
      <c r="Q30" s="1283">
        <v>15</v>
      </c>
      <c r="R30" s="1283">
        <v>16</v>
      </c>
      <c r="S30" s="876"/>
      <c r="T30" s="876"/>
      <c r="U30" s="876"/>
      <c r="V30" s="877"/>
      <c r="W30" s="876"/>
      <c r="X30" s="876"/>
      <c r="Y30" s="876"/>
      <c r="Z30" s="876"/>
      <c r="AA30" s="876"/>
      <c r="AB30" s="876"/>
      <c r="AC30" s="876"/>
      <c r="AD30" s="876"/>
    </row>
    <row r="31" spans="1:30" ht="14" thickBot="1">
      <c r="A31" s="876"/>
      <c r="B31" s="1284" t="s">
        <v>1358</v>
      </c>
      <c r="C31" s="1285"/>
      <c r="D31" s="1285"/>
      <c r="E31" s="1285"/>
      <c r="F31" s="1285"/>
      <c r="G31" s="1285"/>
      <c r="H31" s="1285"/>
      <c r="I31" s="1285"/>
      <c r="J31" s="1285"/>
      <c r="K31" s="1288"/>
      <c r="L31" s="1285"/>
      <c r="M31" s="1285"/>
      <c r="N31" s="1285"/>
      <c r="O31" s="1285"/>
      <c r="P31" s="1285"/>
      <c r="Q31" s="1285"/>
      <c r="R31" s="1285"/>
      <c r="S31" s="876"/>
      <c r="T31" s="876"/>
      <c r="U31" s="876"/>
      <c r="V31" s="877"/>
      <c r="W31" s="876"/>
      <c r="X31" s="876"/>
      <c r="Y31" s="876"/>
      <c r="Z31" s="876"/>
      <c r="AA31" s="876"/>
      <c r="AB31" s="876"/>
      <c r="AC31" s="876"/>
      <c r="AD31" s="876"/>
    </row>
    <row r="32" spans="1:30" ht="14" thickBot="1">
      <c r="A32" s="876"/>
      <c r="B32" s="1284" t="s">
        <v>1359</v>
      </c>
      <c r="C32" s="1285">
        <v>9.1999999999999998E-3</v>
      </c>
      <c r="D32" s="1285">
        <v>9.1999999999999998E-3</v>
      </c>
      <c r="E32" s="1285">
        <v>0</v>
      </c>
      <c r="F32" s="1285">
        <v>0</v>
      </c>
      <c r="G32" s="1285">
        <v>0</v>
      </c>
      <c r="H32" s="1285">
        <v>0</v>
      </c>
      <c r="I32" s="1285">
        <v>0</v>
      </c>
      <c r="J32" s="1285">
        <v>0</v>
      </c>
      <c r="K32" s="1288">
        <v>0</v>
      </c>
      <c r="L32" s="1285">
        <v>0</v>
      </c>
      <c r="M32" s="1285">
        <v>0</v>
      </c>
      <c r="N32" s="1285">
        <v>0</v>
      </c>
      <c r="O32" s="1285">
        <v>0</v>
      </c>
      <c r="P32" s="1285">
        <v>0</v>
      </c>
      <c r="Q32" s="1285">
        <v>0</v>
      </c>
      <c r="R32" s="1285">
        <v>7.1999999999999998E-3</v>
      </c>
      <c r="S32" s="876"/>
      <c r="T32" s="876"/>
      <c r="U32" s="876"/>
      <c r="V32" s="877"/>
      <c r="W32" s="876"/>
      <c r="X32" s="876"/>
      <c r="Y32" s="876"/>
      <c r="Z32" s="876"/>
      <c r="AA32" s="876"/>
      <c r="AB32" s="876"/>
      <c r="AC32" s="876"/>
      <c r="AD32" s="876"/>
    </row>
    <row r="33" spans="1:30" ht="14" thickBot="1">
      <c r="A33" s="876"/>
      <c r="B33" s="1284" t="s">
        <v>1360</v>
      </c>
      <c r="C33" s="1285">
        <v>0</v>
      </c>
      <c r="D33" s="1285">
        <v>0</v>
      </c>
      <c r="E33" s="1285">
        <v>0.93100000000000005</v>
      </c>
      <c r="F33" s="1285">
        <v>0.93100000000000005</v>
      </c>
      <c r="G33" s="1285">
        <v>0.93100000000000005</v>
      </c>
      <c r="H33" s="1285">
        <v>0</v>
      </c>
      <c r="I33" s="1285">
        <v>0.25829999999999997</v>
      </c>
      <c r="J33" s="1285">
        <v>4.1099999999999998E-2</v>
      </c>
      <c r="K33" s="1288">
        <v>4.1099999999999998E-2</v>
      </c>
      <c r="L33" s="1285">
        <v>5.1299999999999998E-2</v>
      </c>
      <c r="M33" s="1285">
        <v>0</v>
      </c>
      <c r="N33" s="1285">
        <v>0</v>
      </c>
      <c r="O33" s="1285">
        <v>0.14099999999999999</v>
      </c>
      <c r="P33" s="1285">
        <v>0.93100000000000005</v>
      </c>
      <c r="Q33" s="1285">
        <v>0.19400000000000001</v>
      </c>
      <c r="R33" s="1285">
        <v>0</v>
      </c>
      <c r="S33" s="876"/>
      <c r="T33" s="876"/>
      <c r="U33" s="876"/>
      <c r="V33" s="877"/>
      <c r="W33" s="876"/>
      <c r="X33" s="876"/>
      <c r="Y33" s="876"/>
      <c r="Z33" s="876"/>
      <c r="AA33" s="876"/>
      <c r="AB33" s="876"/>
      <c r="AC33" s="876"/>
      <c r="AD33" s="876"/>
    </row>
    <row r="34" spans="1:30" ht="14" thickBot="1">
      <c r="A34" s="876"/>
      <c r="B34" s="1284" t="s">
        <v>1361</v>
      </c>
      <c r="C34" s="1285">
        <v>0</v>
      </c>
      <c r="D34" s="1285">
        <v>0</v>
      </c>
      <c r="E34" s="1285">
        <v>0</v>
      </c>
      <c r="F34" s="1285">
        <v>0</v>
      </c>
      <c r="G34" s="1285">
        <v>0</v>
      </c>
      <c r="H34" s="1285">
        <v>0</v>
      </c>
      <c r="I34" s="1285">
        <v>0</v>
      </c>
      <c r="J34" s="1285">
        <v>0</v>
      </c>
      <c r="K34" s="1288">
        <v>0</v>
      </c>
      <c r="L34" s="1285">
        <v>0</v>
      </c>
      <c r="M34" s="1285">
        <v>0</v>
      </c>
      <c r="N34" s="1285">
        <v>0</v>
      </c>
      <c r="O34" s="1285">
        <v>0</v>
      </c>
      <c r="P34" s="1285">
        <v>0</v>
      </c>
      <c r="Q34" s="1285">
        <v>0</v>
      </c>
      <c r="R34" s="1285">
        <v>0</v>
      </c>
      <c r="S34" s="876"/>
      <c r="T34" s="876"/>
      <c r="U34" s="876"/>
      <c r="V34" s="877"/>
      <c r="W34" s="876"/>
      <c r="X34" s="876"/>
      <c r="Y34" s="876"/>
      <c r="Z34" s="876"/>
      <c r="AA34" s="876"/>
      <c r="AB34" s="876"/>
      <c r="AC34" s="876"/>
      <c r="AD34" s="876"/>
    </row>
    <row r="35" spans="1:30" ht="14" thickBot="1">
      <c r="A35" s="876"/>
      <c r="B35" s="1284" t="s">
        <v>1362</v>
      </c>
      <c r="C35" s="1285">
        <v>0</v>
      </c>
      <c r="D35" s="1285">
        <v>0</v>
      </c>
      <c r="E35" s="1285">
        <v>3.2000000000000001E-2</v>
      </c>
      <c r="F35" s="1285">
        <v>3.2000000000000001E-2</v>
      </c>
      <c r="G35" s="1285">
        <v>3.2000000000000001E-2</v>
      </c>
      <c r="H35" s="1285">
        <v>0</v>
      </c>
      <c r="I35" s="1285">
        <v>0</v>
      </c>
      <c r="J35" s="1285">
        <v>0</v>
      </c>
      <c r="K35" s="1288">
        <v>0</v>
      </c>
      <c r="L35" s="1285">
        <v>0</v>
      </c>
      <c r="M35" s="1285">
        <v>0</v>
      </c>
      <c r="N35" s="1285">
        <v>0</v>
      </c>
      <c r="O35" s="1285">
        <v>0</v>
      </c>
      <c r="P35" s="1285">
        <v>3.2000000000000001E-2</v>
      </c>
      <c r="Q35" s="1285">
        <v>2.2000000000000001E-3</v>
      </c>
      <c r="R35" s="1285">
        <v>0</v>
      </c>
      <c r="S35" s="876"/>
      <c r="T35" s="876"/>
      <c r="U35" s="876"/>
      <c r="V35" s="877"/>
      <c r="W35" s="876"/>
      <c r="X35" s="876"/>
      <c r="Y35" s="876"/>
      <c r="Z35" s="876"/>
      <c r="AA35" s="876"/>
      <c r="AB35" s="876"/>
      <c r="AC35" s="876"/>
      <c r="AD35" s="876"/>
    </row>
    <row r="36" spans="1:30" ht="14" thickBot="1">
      <c r="A36" s="876"/>
      <c r="B36" s="1284" t="s">
        <v>1363</v>
      </c>
      <c r="C36" s="1285">
        <v>0</v>
      </c>
      <c r="D36" s="1285">
        <v>0</v>
      </c>
      <c r="E36" s="1285">
        <v>7.0000000000000001E-3</v>
      </c>
      <c r="F36" s="1285">
        <v>7.0000000000000001E-3</v>
      </c>
      <c r="G36" s="1285">
        <v>7.0000000000000001E-3</v>
      </c>
      <c r="H36" s="1285">
        <v>0</v>
      </c>
      <c r="I36" s="1285">
        <v>0</v>
      </c>
      <c r="J36" s="1285">
        <v>0</v>
      </c>
      <c r="K36" s="1288">
        <v>0</v>
      </c>
      <c r="L36" s="1285">
        <v>0</v>
      </c>
      <c r="M36" s="1285">
        <v>0</v>
      </c>
      <c r="N36" s="1285">
        <v>0</v>
      </c>
      <c r="O36" s="1285">
        <v>0</v>
      </c>
      <c r="P36" s="1285">
        <v>7.0000000000000001E-3</v>
      </c>
      <c r="Q36" s="1285">
        <v>5.0000000000000001E-4</v>
      </c>
      <c r="R36" s="1285">
        <v>0</v>
      </c>
      <c r="S36" s="876"/>
      <c r="T36" s="876"/>
      <c r="U36" s="876"/>
      <c r="V36" s="877"/>
      <c r="W36" s="876"/>
      <c r="X36" s="876"/>
      <c r="Y36" s="876"/>
      <c r="Z36" s="876"/>
      <c r="AA36" s="876"/>
      <c r="AB36" s="876"/>
      <c r="AC36" s="876"/>
      <c r="AD36" s="876"/>
    </row>
    <row r="37" spans="1:30" ht="14" thickBot="1">
      <c r="A37" s="876"/>
      <c r="B37" s="1284" t="s">
        <v>1364</v>
      </c>
      <c r="C37" s="1285">
        <v>0</v>
      </c>
      <c r="D37" s="1285">
        <v>0</v>
      </c>
      <c r="E37" s="1285">
        <v>4.0000000000000001E-3</v>
      </c>
      <c r="F37" s="1285">
        <v>4.0000000000000001E-3</v>
      </c>
      <c r="G37" s="1285">
        <v>4.0000000000000001E-3</v>
      </c>
      <c r="H37" s="1285">
        <v>0</v>
      </c>
      <c r="I37" s="1285">
        <v>0</v>
      </c>
      <c r="J37" s="1285">
        <v>0</v>
      </c>
      <c r="K37" s="1288">
        <v>0</v>
      </c>
      <c r="L37" s="1285">
        <v>0</v>
      </c>
      <c r="M37" s="1285">
        <v>0</v>
      </c>
      <c r="N37" s="1285">
        <v>0</v>
      </c>
      <c r="O37" s="1285">
        <v>0</v>
      </c>
      <c r="P37" s="1285">
        <v>4.0000000000000001E-3</v>
      </c>
      <c r="Q37" s="1285">
        <v>2.9999999999999997E-4</v>
      </c>
      <c r="R37" s="1285">
        <v>0</v>
      </c>
      <c r="S37" s="876"/>
      <c r="T37" s="876"/>
      <c r="U37" s="876"/>
      <c r="V37" s="877"/>
      <c r="W37" s="876"/>
      <c r="X37" s="876"/>
      <c r="Y37" s="876"/>
      <c r="Z37" s="876"/>
      <c r="AA37" s="876"/>
      <c r="AB37" s="876"/>
      <c r="AC37" s="876"/>
      <c r="AD37" s="876"/>
    </row>
    <row r="38" spans="1:30" ht="14" thickBot="1">
      <c r="A38" s="876"/>
      <c r="B38" s="1284" t="s">
        <v>1365</v>
      </c>
      <c r="C38" s="1285">
        <v>0</v>
      </c>
      <c r="D38" s="1285">
        <v>0</v>
      </c>
      <c r="E38" s="1285">
        <v>0</v>
      </c>
      <c r="F38" s="1285">
        <v>0</v>
      </c>
      <c r="G38" s="1285">
        <v>0</v>
      </c>
      <c r="H38" s="1285">
        <v>0</v>
      </c>
      <c r="I38" s="1285">
        <v>1E-4</v>
      </c>
      <c r="J38" s="1285">
        <v>0.14319999999999999</v>
      </c>
      <c r="K38" s="1288">
        <v>0.14319999999999999</v>
      </c>
      <c r="L38" s="1285">
        <v>5.0000000000000001E-3</v>
      </c>
      <c r="M38" s="1285">
        <v>0</v>
      </c>
      <c r="N38" s="1285">
        <v>0</v>
      </c>
      <c r="O38" s="1285">
        <v>1.37E-2</v>
      </c>
      <c r="P38" s="1285">
        <v>0</v>
      </c>
      <c r="Q38" s="1285">
        <v>1.2800000000000001E-2</v>
      </c>
      <c r="R38" s="1285">
        <v>0</v>
      </c>
      <c r="S38" s="876"/>
      <c r="T38" s="876"/>
      <c r="U38" s="876"/>
      <c r="V38" s="877"/>
      <c r="W38" s="876"/>
      <c r="X38" s="876"/>
      <c r="Y38" s="876"/>
      <c r="Z38" s="876"/>
      <c r="AA38" s="876"/>
      <c r="AB38" s="876"/>
      <c r="AC38" s="876"/>
      <c r="AD38" s="876"/>
    </row>
    <row r="39" spans="1:30" ht="14" thickBot="1">
      <c r="A39" s="876"/>
      <c r="B39" s="1284" t="s">
        <v>1366</v>
      </c>
      <c r="C39" s="1285">
        <v>2.9999999999999997E-4</v>
      </c>
      <c r="D39" s="1285">
        <v>2.9999999999999997E-4</v>
      </c>
      <c r="E39" s="1285">
        <v>0.01</v>
      </c>
      <c r="F39" s="1285">
        <v>0.01</v>
      </c>
      <c r="G39" s="1285">
        <v>0.01</v>
      </c>
      <c r="H39" s="1285">
        <v>0</v>
      </c>
      <c r="I39" s="1285">
        <v>1.7399999999999999E-2</v>
      </c>
      <c r="J39" s="1285">
        <v>1.24E-2</v>
      </c>
      <c r="K39" s="1288">
        <v>1.24E-2</v>
      </c>
      <c r="L39" s="1285">
        <v>0.18909999999999999</v>
      </c>
      <c r="M39" s="1285">
        <v>0</v>
      </c>
      <c r="N39" s="1285">
        <v>0</v>
      </c>
      <c r="O39" s="1285">
        <v>0.51980000000000004</v>
      </c>
      <c r="P39" s="1285">
        <v>0.01</v>
      </c>
      <c r="Q39" s="1285">
        <v>0.48549999999999999</v>
      </c>
      <c r="R39" s="1285">
        <v>0.18579999999999999</v>
      </c>
      <c r="S39" s="876"/>
      <c r="T39" s="876"/>
      <c r="U39" s="876"/>
      <c r="V39" s="877"/>
      <c r="W39" s="876"/>
      <c r="X39" s="876"/>
      <c r="Y39" s="876"/>
      <c r="Z39" s="876"/>
      <c r="AA39" s="876"/>
      <c r="AB39" s="876"/>
      <c r="AC39" s="876"/>
      <c r="AD39" s="876"/>
    </row>
    <row r="40" spans="1:30" ht="14" thickBot="1">
      <c r="A40" s="876"/>
      <c r="B40" s="1284" t="s">
        <v>1367</v>
      </c>
      <c r="C40" s="1285">
        <v>0</v>
      </c>
      <c r="D40" s="1285">
        <v>0</v>
      </c>
      <c r="E40" s="1285">
        <v>0</v>
      </c>
      <c r="F40" s="1285">
        <v>0</v>
      </c>
      <c r="G40" s="1285">
        <v>0</v>
      </c>
      <c r="H40" s="1285">
        <v>0</v>
      </c>
      <c r="I40" s="1285">
        <v>4.3900000000000002E-2</v>
      </c>
      <c r="J40" s="1285">
        <v>0.46089999999999998</v>
      </c>
      <c r="K40" s="1288">
        <v>0.46089999999999998</v>
      </c>
      <c r="L40" s="1285">
        <v>0.74829999999999997</v>
      </c>
      <c r="M40" s="1285">
        <v>0.99980000000000002</v>
      </c>
      <c r="N40" s="1285">
        <v>0.99980000000000002</v>
      </c>
      <c r="O40" s="1285">
        <v>0.3085</v>
      </c>
      <c r="P40" s="1285">
        <v>0</v>
      </c>
      <c r="Q40" s="1285">
        <v>0.2878</v>
      </c>
      <c r="R40" s="1285">
        <v>0</v>
      </c>
      <c r="S40" s="876"/>
      <c r="T40" s="876"/>
      <c r="U40" s="876"/>
      <c r="V40" s="877"/>
      <c r="W40" s="876"/>
      <c r="X40" s="876"/>
      <c r="Y40" s="876"/>
      <c r="Z40" s="876"/>
      <c r="AA40" s="876"/>
      <c r="AB40" s="876"/>
      <c r="AC40" s="876"/>
      <c r="AD40" s="876"/>
    </row>
    <row r="41" spans="1:30" ht="14" thickBot="1">
      <c r="A41" s="876"/>
      <c r="B41" s="1284" t="s">
        <v>1368</v>
      </c>
      <c r="C41" s="1285">
        <v>9.9000000000000008E-3</v>
      </c>
      <c r="D41" s="1285">
        <v>9.9000000000000008E-3</v>
      </c>
      <c r="E41" s="1285">
        <v>0</v>
      </c>
      <c r="F41" s="1285">
        <v>0</v>
      </c>
      <c r="G41" s="1285">
        <v>0</v>
      </c>
      <c r="H41" s="1285">
        <v>1</v>
      </c>
      <c r="I41" s="1285">
        <v>0.67600000000000005</v>
      </c>
      <c r="J41" s="1285">
        <v>0.33929999999999999</v>
      </c>
      <c r="K41" s="1288">
        <v>0.33929999999999999</v>
      </c>
      <c r="L41" s="1285">
        <v>2.5000000000000001E-3</v>
      </c>
      <c r="M41" s="1285">
        <v>0</v>
      </c>
      <c r="N41" s="1285">
        <v>0</v>
      </c>
      <c r="O41" s="1285">
        <v>6.8999999999999999E-3</v>
      </c>
      <c r="P41" s="1285">
        <v>0</v>
      </c>
      <c r="Q41" s="1285">
        <v>6.4999999999999997E-3</v>
      </c>
      <c r="R41" s="1285">
        <v>0.1913</v>
      </c>
      <c r="S41" s="876"/>
      <c r="T41" s="876"/>
      <c r="U41" s="876"/>
      <c r="V41" s="877"/>
      <c r="W41" s="876"/>
      <c r="X41" s="876"/>
      <c r="Y41" s="876"/>
      <c r="Z41" s="876"/>
      <c r="AA41" s="876"/>
      <c r="AB41" s="876"/>
      <c r="AC41" s="876"/>
      <c r="AD41" s="876"/>
    </row>
    <row r="42" spans="1:30" ht="14" thickBot="1">
      <c r="A42" s="876"/>
      <c r="B42" s="1284" t="s">
        <v>1369</v>
      </c>
      <c r="C42" s="1285">
        <v>0.7732</v>
      </c>
      <c r="D42" s="1285">
        <v>0.7732</v>
      </c>
      <c r="E42" s="1285">
        <v>1.6E-2</v>
      </c>
      <c r="F42" s="1285">
        <v>1.6E-2</v>
      </c>
      <c r="G42" s="1285">
        <v>1.6E-2</v>
      </c>
      <c r="H42" s="1285">
        <v>0</v>
      </c>
      <c r="I42" s="1285">
        <v>4.1999999999999997E-3</v>
      </c>
      <c r="J42" s="1285">
        <v>3.0000000000000001E-3</v>
      </c>
      <c r="K42" s="1288">
        <v>3.0000000000000001E-3</v>
      </c>
      <c r="L42" s="1285">
        <v>3.8E-3</v>
      </c>
      <c r="M42" s="1285">
        <v>2.0000000000000001E-4</v>
      </c>
      <c r="N42" s="1285">
        <v>2.0000000000000001E-4</v>
      </c>
      <c r="O42" s="1285">
        <v>0.01</v>
      </c>
      <c r="P42" s="1285">
        <v>1.6E-2</v>
      </c>
      <c r="Q42" s="1285">
        <v>1.04E-2</v>
      </c>
      <c r="R42" s="1285">
        <v>0.60119999999999996</v>
      </c>
      <c r="S42" s="876"/>
      <c r="T42" s="876"/>
      <c r="U42" s="876"/>
      <c r="V42" s="877"/>
      <c r="W42" s="876"/>
      <c r="X42" s="876"/>
      <c r="Y42" s="876"/>
      <c r="Z42" s="876"/>
      <c r="AA42" s="876"/>
      <c r="AB42" s="876"/>
      <c r="AC42" s="876"/>
      <c r="AD42" s="876"/>
    </row>
    <row r="43" spans="1:30" ht="14" thickBot="1">
      <c r="A43" s="876"/>
      <c r="B43" s="1284" t="s">
        <v>1370</v>
      </c>
      <c r="C43" s="1285">
        <v>0.2074</v>
      </c>
      <c r="D43" s="1285">
        <v>0.2074</v>
      </c>
      <c r="E43" s="1285">
        <v>0</v>
      </c>
      <c r="F43" s="1285">
        <v>0</v>
      </c>
      <c r="G43" s="1285">
        <v>0</v>
      </c>
      <c r="H43" s="1285">
        <v>0</v>
      </c>
      <c r="I43" s="1285">
        <v>0</v>
      </c>
      <c r="J43" s="1285">
        <v>0</v>
      </c>
      <c r="K43" s="1288">
        <v>0</v>
      </c>
      <c r="L43" s="1285">
        <v>0</v>
      </c>
      <c r="M43" s="1285">
        <v>0</v>
      </c>
      <c r="N43" s="1285">
        <v>0</v>
      </c>
      <c r="O43" s="1285">
        <v>0</v>
      </c>
      <c r="P43" s="1285">
        <v>0</v>
      </c>
      <c r="Q43" s="1285">
        <v>0</v>
      </c>
      <c r="R43" s="1285">
        <v>1.46E-2</v>
      </c>
      <c r="S43" s="876"/>
      <c r="T43" s="876"/>
      <c r="U43" s="876"/>
      <c r="V43" s="877"/>
      <c r="W43" s="876"/>
      <c r="X43" s="876"/>
      <c r="Y43" s="876"/>
      <c r="Z43" s="876"/>
      <c r="AA43" s="876"/>
      <c r="AB43" s="876"/>
      <c r="AC43" s="876"/>
      <c r="AD43" s="876"/>
    </row>
    <row r="44" spans="1:30" ht="14" thickBot="1">
      <c r="A44" s="876"/>
      <c r="B44" s="1284" t="s">
        <v>1371</v>
      </c>
      <c r="C44" s="1285">
        <v>0</v>
      </c>
      <c r="D44" s="1285">
        <v>0</v>
      </c>
      <c r="E44" s="1285">
        <v>0</v>
      </c>
      <c r="F44" s="1285">
        <v>0</v>
      </c>
      <c r="G44" s="1285">
        <v>0</v>
      </c>
      <c r="H44" s="1285">
        <v>0</v>
      </c>
      <c r="I44" s="1285">
        <v>0</v>
      </c>
      <c r="J44" s="1285">
        <v>0</v>
      </c>
      <c r="K44" s="1288">
        <v>0</v>
      </c>
      <c r="L44" s="1285">
        <v>0</v>
      </c>
      <c r="M44" s="1285">
        <v>0</v>
      </c>
      <c r="N44" s="1285">
        <v>0</v>
      </c>
      <c r="O44" s="1285">
        <v>0</v>
      </c>
      <c r="P44" s="1285">
        <v>0</v>
      </c>
      <c r="Q44" s="1285">
        <v>0</v>
      </c>
      <c r="R44" s="1285">
        <v>0</v>
      </c>
      <c r="S44" s="876"/>
      <c r="T44" s="876"/>
      <c r="U44" s="876"/>
      <c r="V44" s="877"/>
      <c r="W44" s="876"/>
      <c r="X44" s="876"/>
      <c r="Y44" s="876"/>
      <c r="Z44" s="876"/>
      <c r="AA44" s="876"/>
      <c r="AB44" s="876"/>
      <c r="AC44" s="876"/>
      <c r="AD44" s="876"/>
    </row>
    <row r="45" spans="1:30" ht="14" thickBot="1">
      <c r="A45" s="876"/>
      <c r="B45" s="1284" t="s">
        <v>58</v>
      </c>
      <c r="C45" s="1285">
        <v>1</v>
      </c>
      <c r="D45" s="1285">
        <v>1</v>
      </c>
      <c r="E45" s="1285">
        <v>1</v>
      </c>
      <c r="F45" s="1285">
        <v>1</v>
      </c>
      <c r="G45" s="1285">
        <v>1</v>
      </c>
      <c r="H45" s="1285">
        <v>1</v>
      </c>
      <c r="I45" s="1285">
        <v>1</v>
      </c>
      <c r="J45" s="1285">
        <v>1</v>
      </c>
      <c r="K45" s="1288">
        <v>1</v>
      </c>
      <c r="L45" s="1285">
        <v>1</v>
      </c>
      <c r="M45" s="1285">
        <v>1</v>
      </c>
      <c r="N45" s="1285">
        <v>1</v>
      </c>
      <c r="O45" s="1285">
        <v>1</v>
      </c>
      <c r="P45" s="1285">
        <v>1</v>
      </c>
      <c r="Q45" s="1285">
        <v>1</v>
      </c>
      <c r="R45" s="1285">
        <v>1</v>
      </c>
      <c r="S45" s="876"/>
      <c r="T45" s="876"/>
      <c r="U45" s="876"/>
      <c r="V45" s="877"/>
      <c r="W45" s="876"/>
      <c r="X45" s="876"/>
      <c r="Y45" s="876"/>
      <c r="Z45" s="876"/>
      <c r="AA45" s="876"/>
      <c r="AB45" s="876"/>
      <c r="AC45" s="876"/>
      <c r="AD45" s="876"/>
    </row>
    <row r="46" spans="1:30" ht="14" thickBot="1">
      <c r="A46" s="876"/>
      <c r="B46" s="1284"/>
      <c r="C46" s="1285"/>
      <c r="D46" s="1285"/>
      <c r="E46" s="1285"/>
      <c r="F46" s="1285"/>
      <c r="G46" s="1285"/>
      <c r="H46" s="1285"/>
      <c r="I46" s="1285"/>
      <c r="J46" s="1285"/>
      <c r="K46" s="1288"/>
      <c r="L46" s="1285"/>
      <c r="M46" s="1285"/>
      <c r="N46" s="1285"/>
      <c r="O46" s="1285"/>
      <c r="P46" s="1285"/>
      <c r="Q46" s="1285"/>
      <c r="R46" s="1285"/>
      <c r="S46" s="876"/>
      <c r="T46" s="876"/>
      <c r="U46" s="876"/>
      <c r="V46" s="877"/>
      <c r="W46" s="876"/>
      <c r="X46" s="876"/>
      <c r="Y46" s="876"/>
      <c r="Z46" s="876"/>
      <c r="AA46" s="876"/>
      <c r="AB46" s="876"/>
      <c r="AC46" s="876"/>
      <c r="AD46" s="876"/>
    </row>
    <row r="47" spans="1:30" ht="14" thickBot="1">
      <c r="A47" s="876"/>
      <c r="B47" s="1284" t="s">
        <v>1434</v>
      </c>
      <c r="C47" s="1286">
        <v>17806</v>
      </c>
      <c r="D47" s="1286">
        <v>17806</v>
      </c>
      <c r="E47" s="1286">
        <v>4096</v>
      </c>
      <c r="F47" s="1286">
        <v>3687</v>
      </c>
      <c r="G47" s="1286">
        <v>3687</v>
      </c>
      <c r="H47" s="1286">
        <v>9830</v>
      </c>
      <c r="I47" s="1286">
        <v>13930</v>
      </c>
      <c r="J47" s="1286">
        <v>19519</v>
      </c>
      <c r="K47" s="1289">
        <v>19519</v>
      </c>
      <c r="L47" s="1286">
        <v>15654</v>
      </c>
      <c r="M47" s="1286">
        <v>9959</v>
      </c>
      <c r="N47" s="1286">
        <v>9959</v>
      </c>
      <c r="O47" s="1286">
        <v>5695</v>
      </c>
      <c r="P47" s="1285">
        <v>410</v>
      </c>
      <c r="Q47" s="1286">
        <v>6104</v>
      </c>
      <c r="R47" s="1286">
        <v>23005</v>
      </c>
      <c r="S47" s="876"/>
      <c r="T47" s="876"/>
      <c r="U47" s="876"/>
      <c r="V47" s="877"/>
      <c r="W47" s="876"/>
      <c r="X47" s="876"/>
      <c r="Y47" s="876"/>
      <c r="Z47" s="876"/>
      <c r="AA47" s="876"/>
      <c r="AB47" s="876"/>
      <c r="AC47" s="876"/>
      <c r="AD47" s="876"/>
    </row>
    <row r="48" spans="1:30" ht="14" thickBot="1">
      <c r="A48" s="876"/>
      <c r="B48" s="1284" t="s">
        <v>1372</v>
      </c>
      <c r="C48" s="1286">
        <v>513824</v>
      </c>
      <c r="D48" s="1286">
        <v>513824</v>
      </c>
      <c r="E48" s="1286">
        <v>70979</v>
      </c>
      <c r="F48" s="1286">
        <v>63881</v>
      </c>
      <c r="G48" s="1286">
        <v>63880</v>
      </c>
      <c r="H48" s="1286">
        <v>177086</v>
      </c>
      <c r="I48" s="1286">
        <v>240966</v>
      </c>
      <c r="J48" s="1286">
        <v>240966</v>
      </c>
      <c r="K48" s="1289">
        <v>240966</v>
      </c>
      <c r="L48" s="1286">
        <v>171320</v>
      </c>
      <c r="M48" s="1286">
        <v>20126</v>
      </c>
      <c r="N48" s="1286">
        <v>20126</v>
      </c>
      <c r="O48" s="1286">
        <v>151195</v>
      </c>
      <c r="P48" s="1286">
        <v>7098</v>
      </c>
      <c r="Q48" s="1286">
        <v>158293</v>
      </c>
      <c r="R48" s="1286">
        <v>672117</v>
      </c>
      <c r="S48" s="876"/>
      <c r="T48" s="876"/>
      <c r="U48" s="876"/>
      <c r="V48" s="877"/>
      <c r="W48" s="876"/>
      <c r="X48" s="876"/>
      <c r="Y48" s="876"/>
      <c r="Z48" s="876"/>
      <c r="AA48" s="876"/>
      <c r="AB48" s="876"/>
      <c r="AC48" s="876"/>
      <c r="AD48" s="876"/>
    </row>
    <row r="49" spans="1:30" ht="14" thickBot="1">
      <c r="A49" s="876"/>
      <c r="B49" s="1284" t="s">
        <v>1373</v>
      </c>
      <c r="C49" s="1285">
        <v>0</v>
      </c>
      <c r="D49" s="1285">
        <v>0</v>
      </c>
      <c r="E49" s="1285">
        <v>0</v>
      </c>
      <c r="F49" s="1285">
        <v>0</v>
      </c>
      <c r="G49" s="1285">
        <v>0</v>
      </c>
      <c r="H49" s="1285">
        <v>0</v>
      </c>
      <c r="I49" s="1285">
        <v>0</v>
      </c>
      <c r="J49" s="1285">
        <v>0</v>
      </c>
      <c r="K49" s="1288">
        <v>0</v>
      </c>
      <c r="L49" s="1285">
        <v>0</v>
      </c>
      <c r="M49" s="1285">
        <v>0</v>
      </c>
      <c r="N49" s="1285">
        <v>0</v>
      </c>
      <c r="O49" s="1285">
        <v>0</v>
      </c>
      <c r="P49" s="1285">
        <v>0</v>
      </c>
      <c r="Q49" s="1285">
        <v>0</v>
      </c>
      <c r="R49" s="1285">
        <v>0</v>
      </c>
      <c r="S49" s="876"/>
      <c r="T49" s="876"/>
      <c r="U49" s="876"/>
      <c r="V49" s="877"/>
      <c r="W49" s="876"/>
      <c r="X49" s="876"/>
      <c r="Y49" s="876"/>
      <c r="Z49" s="876"/>
      <c r="AA49" s="876"/>
      <c r="AB49" s="876"/>
      <c r="AC49" s="876"/>
      <c r="AD49" s="876"/>
    </row>
    <row r="50" spans="1:30" ht="14" thickBot="1">
      <c r="A50" s="876"/>
      <c r="B50" s="1284"/>
      <c r="C50" s="1285"/>
      <c r="D50" s="1285"/>
      <c r="E50" s="1285"/>
      <c r="F50" s="1285"/>
      <c r="G50" s="1285"/>
      <c r="H50" s="1285"/>
      <c r="I50" s="1285"/>
      <c r="J50" s="1285"/>
      <c r="K50" s="1288"/>
      <c r="L50" s="1285"/>
      <c r="M50" s="1285"/>
      <c r="N50" s="1285"/>
      <c r="O50" s="1285"/>
      <c r="P50" s="1285"/>
      <c r="Q50" s="1285"/>
      <c r="R50" s="1285"/>
      <c r="S50" s="876"/>
      <c r="T50" s="876"/>
      <c r="U50" s="876"/>
      <c r="V50" s="877"/>
      <c r="W50" s="876"/>
      <c r="X50" s="876"/>
      <c r="Y50" s="876"/>
      <c r="Z50" s="876"/>
      <c r="AA50" s="876"/>
      <c r="AB50" s="876"/>
      <c r="AC50" s="876"/>
      <c r="AD50" s="876"/>
    </row>
    <row r="51" spans="1:30" ht="14" thickBot="1">
      <c r="A51" s="876"/>
      <c r="B51" s="1284" t="s">
        <v>1374</v>
      </c>
      <c r="C51" s="1285">
        <v>15</v>
      </c>
      <c r="D51" s="1285">
        <v>24</v>
      </c>
      <c r="E51" s="1285">
        <v>15</v>
      </c>
      <c r="F51" s="1285">
        <v>15</v>
      </c>
      <c r="G51" s="1285">
        <v>370</v>
      </c>
      <c r="H51" s="1285">
        <v>399</v>
      </c>
      <c r="I51" s="1285">
        <v>395</v>
      </c>
      <c r="J51" s="1285">
        <v>871</v>
      </c>
      <c r="K51" s="1288">
        <v>204</v>
      </c>
      <c r="L51" s="1285">
        <v>38</v>
      </c>
      <c r="M51" s="1285">
        <v>38</v>
      </c>
      <c r="N51" s="1285">
        <v>30</v>
      </c>
      <c r="O51" s="1285">
        <v>38</v>
      </c>
      <c r="P51" s="1285">
        <v>15</v>
      </c>
      <c r="Q51" s="1285">
        <v>35</v>
      </c>
      <c r="R51" s="1285">
        <v>121</v>
      </c>
      <c r="S51" s="876"/>
      <c r="T51" s="876"/>
      <c r="U51" s="876"/>
      <c r="V51" s="877"/>
      <c r="W51" s="876"/>
      <c r="X51" s="876"/>
      <c r="Y51" s="876"/>
      <c r="Z51" s="876"/>
      <c r="AA51" s="876"/>
      <c r="AB51" s="876"/>
      <c r="AC51" s="876"/>
      <c r="AD51" s="876"/>
    </row>
    <row r="52" spans="1:30" ht="14" thickBot="1">
      <c r="A52" s="876"/>
      <c r="B52" s="1284" t="s">
        <v>1375</v>
      </c>
      <c r="C52" s="1285">
        <v>0.1</v>
      </c>
      <c r="D52" s="1285">
        <v>0.11</v>
      </c>
      <c r="E52" s="1285">
        <v>3.1</v>
      </c>
      <c r="F52" s="1285">
        <v>3.1</v>
      </c>
      <c r="G52" s="1285">
        <v>3</v>
      </c>
      <c r="H52" s="1285">
        <v>3.1</v>
      </c>
      <c r="I52" s="1285">
        <v>2.9</v>
      </c>
      <c r="J52" s="1285">
        <v>2.83</v>
      </c>
      <c r="K52" s="1288">
        <v>2.8</v>
      </c>
      <c r="L52" s="1285">
        <v>2.4500000000000002</v>
      </c>
      <c r="M52" s="1285">
        <v>2.39</v>
      </c>
      <c r="N52" s="1285">
        <v>6.48</v>
      </c>
      <c r="O52" s="1285">
        <v>0.14000000000000001</v>
      </c>
      <c r="P52" s="1285">
        <v>3.1</v>
      </c>
      <c r="Q52" s="1285">
        <v>0.14000000000000001</v>
      </c>
      <c r="R52" s="1285">
        <v>0.1</v>
      </c>
      <c r="S52" s="876"/>
      <c r="T52" s="876"/>
      <c r="U52" s="876"/>
      <c r="V52" s="877"/>
      <c r="W52" s="876"/>
      <c r="X52" s="876"/>
      <c r="Y52" s="876"/>
      <c r="Z52" s="876"/>
      <c r="AA52" s="876"/>
      <c r="AB52" s="876"/>
      <c r="AC52" s="876"/>
      <c r="AD52" s="876"/>
    </row>
    <row r="53" spans="1:30" ht="14" thickBot="1">
      <c r="A53" s="876"/>
      <c r="B53" s="1284" t="s">
        <v>1435</v>
      </c>
      <c r="C53" s="1285">
        <v>30.23</v>
      </c>
      <c r="D53" s="1285">
        <v>39.78</v>
      </c>
      <c r="E53" s="1285">
        <v>-6.77</v>
      </c>
      <c r="F53" s="1285">
        <v>-6.77</v>
      </c>
      <c r="G53" s="1285">
        <v>969.07</v>
      </c>
      <c r="H53" s="1287">
        <v>3217.36</v>
      </c>
      <c r="I53" s="1287">
        <v>2587.64</v>
      </c>
      <c r="J53" s="1287">
        <v>3639.9</v>
      </c>
      <c r="K53" s="1290">
        <v>1740.51</v>
      </c>
      <c r="L53" s="1285">
        <v>109.39</v>
      </c>
      <c r="M53" s="1285">
        <v>544.72</v>
      </c>
      <c r="N53" s="1285">
        <v>446.66</v>
      </c>
      <c r="O53" s="1285">
        <v>59.24</v>
      </c>
      <c r="P53" s="1285">
        <v>-6.77</v>
      </c>
      <c r="Q53" s="1285">
        <v>56.28</v>
      </c>
      <c r="R53" s="1285">
        <v>426.36</v>
      </c>
      <c r="S53" s="876"/>
      <c r="T53" s="876"/>
      <c r="U53" s="876"/>
      <c r="V53" s="877"/>
      <c r="W53" s="876"/>
      <c r="X53" s="876"/>
      <c r="Y53" s="876"/>
      <c r="Z53" s="876"/>
      <c r="AA53" s="876"/>
      <c r="AB53" s="876"/>
      <c r="AC53" s="876"/>
      <c r="AD53" s="876"/>
    </row>
    <row r="54" spans="1:30" ht="14" thickBot="1">
      <c r="A54" s="876"/>
      <c r="B54" s="1284" t="s">
        <v>1436</v>
      </c>
      <c r="C54" s="1285">
        <v>-97.58</v>
      </c>
      <c r="D54" s="1285">
        <v>-88.02</v>
      </c>
      <c r="E54" s="1287">
        <v>-4516</v>
      </c>
      <c r="F54" s="1287">
        <v>-4516</v>
      </c>
      <c r="G54" s="1287">
        <v>-3540.22</v>
      </c>
      <c r="H54" s="1287">
        <v>-12753.76</v>
      </c>
      <c r="I54" s="1287">
        <v>-10182.33</v>
      </c>
      <c r="J54" s="1287">
        <v>-6233.86</v>
      </c>
      <c r="K54" s="1290">
        <v>-8133.24</v>
      </c>
      <c r="L54" s="1287">
        <v>-7225.03</v>
      </c>
      <c r="M54" s="1285">
        <v>188.98</v>
      </c>
      <c r="N54" s="1285">
        <v>90.92</v>
      </c>
      <c r="O54" s="1287">
        <v>-8204.1</v>
      </c>
      <c r="P54" s="1287">
        <v>-4516</v>
      </c>
      <c r="Q54" s="1287">
        <v>-8038.73</v>
      </c>
      <c r="R54" s="1287">
        <v>-3980.71</v>
      </c>
      <c r="S54" s="876"/>
      <c r="T54" s="876"/>
      <c r="U54" s="876"/>
      <c r="V54" s="877"/>
      <c r="W54" s="876"/>
      <c r="X54" s="876"/>
      <c r="Y54" s="876"/>
      <c r="Z54" s="876"/>
      <c r="AA54" s="876"/>
      <c r="AB54" s="876"/>
      <c r="AC54" s="876"/>
      <c r="AD54" s="876"/>
    </row>
    <row r="55" spans="1:30" ht="14" thickBot="1">
      <c r="A55" s="876"/>
      <c r="B55" s="1284" t="s">
        <v>1437</v>
      </c>
      <c r="C55" s="1285">
        <v>1.2</v>
      </c>
      <c r="D55" s="1285">
        <v>1.3</v>
      </c>
      <c r="E55" s="1285">
        <v>24.4</v>
      </c>
      <c r="F55" s="1285">
        <v>24.4</v>
      </c>
      <c r="G55" s="1285">
        <v>9.6999999999999993</v>
      </c>
      <c r="H55" s="1285">
        <v>10.4</v>
      </c>
      <c r="I55" s="1285">
        <v>9.3000000000000007</v>
      </c>
      <c r="J55" s="1285">
        <v>3.7</v>
      </c>
      <c r="K55" s="1288">
        <v>8.8000000000000007</v>
      </c>
      <c r="L55" s="1285">
        <v>10.4</v>
      </c>
      <c r="M55" s="1285">
        <v>1.8</v>
      </c>
      <c r="N55" s="1285">
        <v>5</v>
      </c>
      <c r="O55" s="1285">
        <v>1.4</v>
      </c>
      <c r="P55" s="1285">
        <v>24.4</v>
      </c>
      <c r="Q55" s="1285">
        <v>1.4</v>
      </c>
      <c r="R55" s="1285">
        <v>0.9</v>
      </c>
      <c r="S55" s="876"/>
      <c r="T55" s="876"/>
      <c r="U55" s="876"/>
      <c r="V55" s="877"/>
      <c r="W55" s="876"/>
      <c r="X55" s="876"/>
      <c r="Y55" s="876"/>
      <c r="Z55" s="876"/>
      <c r="AA55" s="876"/>
      <c r="AB55" s="876"/>
      <c r="AC55" s="876"/>
      <c r="AD55" s="876"/>
    </row>
    <row r="56" spans="1:30" ht="14" thickBot="1">
      <c r="A56" s="876"/>
      <c r="B56" s="1284" t="s">
        <v>1376</v>
      </c>
      <c r="C56" s="1285">
        <v>28.856999999999999</v>
      </c>
      <c r="D56" s="1285">
        <v>28.856999999999999</v>
      </c>
      <c r="E56" s="1285">
        <v>17.327999999999999</v>
      </c>
      <c r="F56" s="1285">
        <v>17.327999999999999</v>
      </c>
      <c r="G56" s="1285">
        <v>17.327999999999999</v>
      </c>
      <c r="H56" s="1285">
        <v>18.015999999999998</v>
      </c>
      <c r="I56" s="1285">
        <v>17.298999999999999</v>
      </c>
      <c r="J56" s="1285">
        <v>12.345000000000001</v>
      </c>
      <c r="K56" s="1288">
        <v>12.345000000000001</v>
      </c>
      <c r="L56" s="1285">
        <v>10.945</v>
      </c>
      <c r="M56" s="1285">
        <v>2.0209999999999999</v>
      </c>
      <c r="N56" s="1285">
        <v>2.0209999999999999</v>
      </c>
      <c r="O56" s="1285">
        <v>26.548999999999999</v>
      </c>
      <c r="P56" s="1285">
        <v>17.327999999999999</v>
      </c>
      <c r="Q56" s="1285">
        <v>25.931000000000001</v>
      </c>
      <c r="R56" s="1285">
        <v>29.216999999999999</v>
      </c>
      <c r="S56" s="876"/>
      <c r="T56" s="876"/>
      <c r="U56" s="876"/>
      <c r="V56" s="877"/>
      <c r="W56" s="876"/>
      <c r="X56" s="876"/>
      <c r="Y56" s="876"/>
      <c r="Z56" s="876"/>
      <c r="AA56" s="876"/>
      <c r="AB56" s="876"/>
      <c r="AC56" s="876"/>
      <c r="AD56" s="876"/>
    </row>
    <row r="57" spans="1:30" ht="14" thickBot="1">
      <c r="A57" s="876"/>
      <c r="B57" s="1284"/>
      <c r="C57" s="1285"/>
      <c r="D57" s="1285"/>
      <c r="E57" s="1285"/>
      <c r="F57" s="1285"/>
      <c r="G57" s="1285"/>
      <c r="H57" s="1285"/>
      <c r="I57" s="1285"/>
      <c r="J57" s="1285"/>
      <c r="K57" s="1288"/>
      <c r="L57" s="1285"/>
      <c r="M57" s="1285"/>
      <c r="N57" s="1285"/>
      <c r="O57" s="1285"/>
      <c r="P57" s="1285"/>
      <c r="Q57" s="1285"/>
      <c r="R57" s="1285"/>
      <c r="S57" s="876"/>
      <c r="T57" s="876"/>
      <c r="U57" s="876"/>
      <c r="V57" s="877"/>
      <c r="W57" s="876"/>
      <c r="X57" s="876"/>
      <c r="Y57" s="876"/>
      <c r="Z57" s="876"/>
      <c r="AA57" s="876"/>
      <c r="AB57" s="876"/>
      <c r="AC57" s="876"/>
      <c r="AD57" s="876"/>
    </row>
    <row r="58" spans="1:30" ht="14" thickBot="1">
      <c r="A58" s="876"/>
      <c r="B58" s="1284" t="s">
        <v>1438</v>
      </c>
      <c r="C58" s="1286">
        <v>39255</v>
      </c>
      <c r="D58" s="1286">
        <v>39255</v>
      </c>
      <c r="E58" s="1286">
        <v>9031</v>
      </c>
      <c r="F58" s="1286">
        <v>8128</v>
      </c>
      <c r="G58" s="1286">
        <v>8128</v>
      </c>
      <c r="H58" s="1286">
        <v>21670</v>
      </c>
      <c r="I58" s="1286">
        <v>30710</v>
      </c>
      <c r="J58" s="1286">
        <v>43032</v>
      </c>
      <c r="K58" s="1289">
        <v>43032</v>
      </c>
      <c r="L58" s="1286">
        <v>34510</v>
      </c>
      <c r="M58" s="1286">
        <v>21955</v>
      </c>
      <c r="N58" s="1286">
        <v>21955</v>
      </c>
      <c r="O58" s="1286">
        <v>12555</v>
      </c>
      <c r="P58" s="1285">
        <v>903</v>
      </c>
      <c r="Q58" s="1286">
        <v>13458</v>
      </c>
      <c r="R58" s="1286">
        <v>50717</v>
      </c>
      <c r="S58" s="876"/>
      <c r="T58" s="876"/>
      <c r="U58" s="876"/>
      <c r="V58" s="877"/>
      <c r="W58" s="876"/>
      <c r="X58" s="876"/>
      <c r="Y58" s="876"/>
      <c r="Z58" s="876"/>
      <c r="AA58" s="876"/>
      <c r="AB58" s="876"/>
      <c r="AC58" s="876"/>
      <c r="AD58" s="876"/>
    </row>
    <row r="59" spans="1:30" ht="14" thickBot="1">
      <c r="A59" s="876"/>
      <c r="B59" s="1284" t="s">
        <v>1377</v>
      </c>
      <c r="C59" s="1286">
        <v>1132789</v>
      </c>
      <c r="D59" s="1286">
        <v>1132789</v>
      </c>
      <c r="E59" s="1286">
        <v>156482</v>
      </c>
      <c r="F59" s="1286">
        <v>140834</v>
      </c>
      <c r="G59" s="1286">
        <v>140832</v>
      </c>
      <c r="H59" s="1286">
        <v>390407</v>
      </c>
      <c r="I59" s="1286">
        <v>531239</v>
      </c>
      <c r="J59" s="1286">
        <v>531239</v>
      </c>
      <c r="K59" s="1289">
        <v>531239</v>
      </c>
      <c r="L59" s="1286">
        <v>377697</v>
      </c>
      <c r="M59" s="1286">
        <v>44369</v>
      </c>
      <c r="N59" s="1286">
        <v>44369</v>
      </c>
      <c r="O59" s="1286">
        <v>333328</v>
      </c>
      <c r="P59" s="1286">
        <v>15648</v>
      </c>
      <c r="Q59" s="1286">
        <v>348976</v>
      </c>
      <c r="R59" s="1286">
        <v>1481765</v>
      </c>
      <c r="S59" s="876"/>
      <c r="T59" s="876"/>
      <c r="U59" s="876"/>
      <c r="V59" s="877"/>
      <c r="W59" s="876"/>
      <c r="X59" s="876"/>
      <c r="Y59" s="876"/>
      <c r="Z59" s="876"/>
      <c r="AA59" s="876"/>
      <c r="AB59" s="876"/>
      <c r="AC59" s="876"/>
      <c r="AD59" s="876"/>
    </row>
    <row r="60" spans="1:30" ht="14" thickBot="1">
      <c r="A60" s="876"/>
      <c r="B60" s="1284" t="s">
        <v>1378</v>
      </c>
      <c r="C60" s="1285">
        <v>0</v>
      </c>
      <c r="D60" s="1285">
        <v>0</v>
      </c>
      <c r="E60" s="1285">
        <v>0</v>
      </c>
      <c r="F60" s="1285">
        <v>0</v>
      </c>
      <c r="G60" s="1285">
        <v>0</v>
      </c>
      <c r="H60" s="1285">
        <v>0</v>
      </c>
      <c r="I60" s="1285">
        <v>0</v>
      </c>
      <c r="J60" s="1285">
        <v>0</v>
      </c>
      <c r="K60" s="1288">
        <v>0</v>
      </c>
      <c r="L60" s="1285">
        <v>0</v>
      </c>
      <c r="M60" s="1285">
        <v>0</v>
      </c>
      <c r="N60" s="1285">
        <v>0</v>
      </c>
      <c r="O60" s="1285">
        <v>0</v>
      </c>
      <c r="P60" s="1285">
        <v>0</v>
      </c>
      <c r="Q60" s="1285">
        <v>0</v>
      </c>
      <c r="R60" s="1285">
        <v>0</v>
      </c>
      <c r="S60" s="876"/>
      <c r="T60" s="876"/>
      <c r="U60" s="876"/>
      <c r="V60" s="877"/>
      <c r="W60" s="876"/>
      <c r="X60" s="876"/>
      <c r="Y60" s="876"/>
      <c r="Z60" s="876"/>
      <c r="AA60" s="876"/>
      <c r="AB60" s="876"/>
      <c r="AC60" s="876"/>
      <c r="AD60" s="876"/>
    </row>
    <row r="61" spans="1:30" ht="14" thickBot="1">
      <c r="A61" s="876"/>
      <c r="B61" s="1284"/>
      <c r="C61" s="1285"/>
      <c r="D61" s="1285"/>
      <c r="E61" s="1285"/>
      <c r="F61" s="1285"/>
      <c r="G61" s="1285"/>
      <c r="H61" s="1285"/>
      <c r="I61" s="1285"/>
      <c r="J61" s="1285"/>
      <c r="K61" s="1288"/>
      <c r="L61" s="1285"/>
      <c r="M61" s="1285"/>
      <c r="N61" s="1285"/>
      <c r="O61" s="1285"/>
      <c r="P61" s="1285"/>
      <c r="Q61" s="1285"/>
      <c r="R61" s="1285"/>
      <c r="S61" s="876"/>
      <c r="T61" s="876"/>
      <c r="U61" s="876"/>
      <c r="V61" s="877"/>
      <c r="W61" s="876"/>
      <c r="X61" s="876"/>
      <c r="Y61" s="876"/>
      <c r="Z61" s="876"/>
      <c r="AA61" s="876"/>
      <c r="AB61" s="876"/>
      <c r="AC61" s="876"/>
      <c r="AD61" s="876"/>
    </row>
    <row r="62" spans="1:30" ht="14" thickBot="1">
      <c r="A62" s="876"/>
      <c r="B62" s="1284" t="s">
        <v>1351</v>
      </c>
      <c r="C62" s="1285">
        <v>59</v>
      </c>
      <c r="D62" s="1285">
        <v>76</v>
      </c>
      <c r="E62" s="1285">
        <v>59</v>
      </c>
      <c r="F62" s="1285">
        <v>59</v>
      </c>
      <c r="G62" s="1285">
        <v>698</v>
      </c>
      <c r="H62" s="1285">
        <v>750</v>
      </c>
      <c r="I62" s="1285">
        <v>743</v>
      </c>
      <c r="J62" s="1286">
        <v>1600</v>
      </c>
      <c r="K62" s="1288">
        <v>400</v>
      </c>
      <c r="L62" s="1285">
        <v>100</v>
      </c>
      <c r="M62" s="1285">
        <v>100</v>
      </c>
      <c r="N62" s="1285">
        <v>86</v>
      </c>
      <c r="O62" s="1285">
        <v>100</v>
      </c>
      <c r="P62" s="1285">
        <v>59</v>
      </c>
      <c r="Q62" s="1285">
        <v>95</v>
      </c>
      <c r="R62" s="1285">
        <v>250</v>
      </c>
      <c r="S62" s="876"/>
      <c r="T62" s="876"/>
      <c r="U62" s="876"/>
      <c r="V62" s="877"/>
      <c r="W62" s="876"/>
      <c r="X62" s="876"/>
      <c r="Y62" s="876"/>
      <c r="Z62" s="876"/>
      <c r="AA62" s="876"/>
      <c r="AB62" s="876"/>
      <c r="AC62" s="876"/>
      <c r="AD62" s="876"/>
    </row>
    <row r="63" spans="1:30" ht="14" thickBot="1">
      <c r="A63" s="876"/>
      <c r="B63" s="1284" t="s">
        <v>1352</v>
      </c>
      <c r="C63" s="1285">
        <v>14.7</v>
      </c>
      <c r="D63" s="1285">
        <v>16</v>
      </c>
      <c r="E63" s="1285">
        <v>450</v>
      </c>
      <c r="F63" s="1285">
        <v>450</v>
      </c>
      <c r="G63" s="1285">
        <v>435.3</v>
      </c>
      <c r="H63" s="1285">
        <v>450</v>
      </c>
      <c r="I63" s="1285">
        <v>421</v>
      </c>
      <c r="J63" s="1285">
        <v>411</v>
      </c>
      <c r="K63" s="1288">
        <v>406</v>
      </c>
      <c r="L63" s="1285">
        <v>356</v>
      </c>
      <c r="M63" s="1285">
        <v>346</v>
      </c>
      <c r="N63" s="1285">
        <v>939.7</v>
      </c>
      <c r="O63" s="1285">
        <v>20</v>
      </c>
      <c r="P63" s="1285">
        <v>450</v>
      </c>
      <c r="Q63" s="1285">
        <v>20</v>
      </c>
      <c r="R63" s="1285">
        <v>14.7</v>
      </c>
      <c r="S63" s="876"/>
      <c r="T63" s="876"/>
      <c r="U63" s="876"/>
      <c r="V63" s="877"/>
      <c r="W63" s="876"/>
      <c r="X63" s="876"/>
      <c r="Y63" s="876"/>
      <c r="Z63" s="876"/>
      <c r="AA63" s="876"/>
      <c r="AB63" s="876"/>
      <c r="AC63" s="876"/>
      <c r="AD63" s="876"/>
    </row>
    <row r="64" spans="1:30" ht="14" thickBot="1">
      <c r="A64" s="876"/>
      <c r="B64" s="1284" t="s">
        <v>1439</v>
      </c>
      <c r="C64" s="1285">
        <v>13</v>
      </c>
      <c r="D64" s="1285">
        <v>17.100000000000001</v>
      </c>
      <c r="E64" s="1285">
        <v>-2.9</v>
      </c>
      <c r="F64" s="1285">
        <v>-2.9</v>
      </c>
      <c r="G64" s="1285">
        <v>416.6</v>
      </c>
      <c r="H64" s="1287">
        <v>1383.2</v>
      </c>
      <c r="I64" s="1287">
        <v>1112.5</v>
      </c>
      <c r="J64" s="1287">
        <v>1564.9</v>
      </c>
      <c r="K64" s="1288">
        <v>748.3</v>
      </c>
      <c r="L64" s="1285">
        <v>47</v>
      </c>
      <c r="M64" s="1285">
        <v>234.2</v>
      </c>
      <c r="N64" s="1285">
        <v>192</v>
      </c>
      <c r="O64" s="1285">
        <v>25.5</v>
      </c>
      <c r="P64" s="1285">
        <v>-2.9</v>
      </c>
      <c r="Q64" s="1285">
        <v>24.2</v>
      </c>
      <c r="R64" s="1285">
        <v>183.3</v>
      </c>
      <c r="S64" s="876"/>
      <c r="T64" s="876"/>
      <c r="U64" s="876"/>
      <c r="V64" s="877"/>
      <c r="W64" s="876"/>
      <c r="X64" s="876"/>
      <c r="Y64" s="876"/>
      <c r="Z64" s="876"/>
      <c r="AA64" s="876"/>
      <c r="AB64" s="876"/>
      <c r="AC64" s="876"/>
      <c r="AD64" s="876"/>
    </row>
    <row r="65" spans="1:30" ht="14" thickBot="1">
      <c r="A65" s="876"/>
      <c r="B65" s="1284" t="s">
        <v>1440</v>
      </c>
      <c r="C65" s="1285">
        <v>-42</v>
      </c>
      <c r="D65" s="1285">
        <v>-37.799999999999997</v>
      </c>
      <c r="E65" s="1287">
        <v>-1941.5</v>
      </c>
      <c r="F65" s="1287">
        <v>-1941.5</v>
      </c>
      <c r="G65" s="1287">
        <v>-1522</v>
      </c>
      <c r="H65" s="1287">
        <v>-5483.1</v>
      </c>
      <c r="I65" s="1287">
        <v>-4377.6000000000004</v>
      </c>
      <c r="J65" s="1287">
        <v>-2680.1</v>
      </c>
      <c r="K65" s="1290">
        <v>-3496.7</v>
      </c>
      <c r="L65" s="1287">
        <v>-3106.2</v>
      </c>
      <c r="M65" s="1285">
        <v>81.2</v>
      </c>
      <c r="N65" s="1285">
        <v>39.1</v>
      </c>
      <c r="O65" s="1287">
        <v>-3527.1</v>
      </c>
      <c r="P65" s="1287">
        <v>-1941.5</v>
      </c>
      <c r="Q65" s="1287">
        <v>-3456</v>
      </c>
      <c r="R65" s="1287">
        <v>-1711.4</v>
      </c>
      <c r="S65" s="876"/>
      <c r="T65" s="876"/>
      <c r="U65" s="876"/>
      <c r="V65" s="877"/>
      <c r="W65" s="876"/>
      <c r="X65" s="876"/>
      <c r="Y65" s="876"/>
      <c r="Z65" s="876"/>
      <c r="AA65" s="876"/>
      <c r="AB65" s="876"/>
      <c r="AC65" s="876"/>
      <c r="AD65" s="876"/>
    </row>
    <row r="66" spans="1:30" ht="14" thickBot="1">
      <c r="A66" s="876"/>
      <c r="B66" s="1284" t="s">
        <v>1441</v>
      </c>
      <c r="C66" s="1285">
        <v>7.5999999999999998E-2</v>
      </c>
      <c r="D66" s="1285">
        <v>0.08</v>
      </c>
      <c r="E66" s="1285">
        <v>1.5249999999999999</v>
      </c>
      <c r="F66" s="1285">
        <v>1.5249999999999999</v>
      </c>
      <c r="G66" s="1285">
        <v>0.60499999999999998</v>
      </c>
      <c r="H66" s="1285">
        <v>0.65200000000000002</v>
      </c>
      <c r="I66" s="1285">
        <v>0.57799999999999996</v>
      </c>
      <c r="J66" s="1285">
        <v>0.22900000000000001</v>
      </c>
      <c r="K66" s="1288">
        <v>0.54900000000000004</v>
      </c>
      <c r="L66" s="1285">
        <v>0.64700000000000002</v>
      </c>
      <c r="M66" s="1285">
        <v>0.115</v>
      </c>
      <c r="N66" s="1285">
        <v>0.314</v>
      </c>
      <c r="O66" s="1285">
        <v>8.8999999999999996E-2</v>
      </c>
      <c r="P66" s="1285">
        <v>1.5249999999999999</v>
      </c>
      <c r="Q66" s="1285">
        <v>8.6999999999999994E-2</v>
      </c>
      <c r="R66" s="1285">
        <v>5.6000000000000001E-2</v>
      </c>
      <c r="S66" s="876"/>
      <c r="T66" s="876"/>
      <c r="U66" s="876"/>
      <c r="V66" s="877"/>
      <c r="W66" s="876"/>
      <c r="X66" s="876"/>
      <c r="Y66" s="876"/>
      <c r="Z66" s="876"/>
      <c r="AA66" s="876"/>
      <c r="AB66" s="876"/>
      <c r="AC66" s="876"/>
      <c r="AD66" s="876"/>
    </row>
    <row r="67" spans="1:30">
      <c r="A67" s="876"/>
      <c r="B67" s="876"/>
      <c r="C67" s="876"/>
      <c r="D67" s="876"/>
      <c r="E67" s="876"/>
      <c r="F67" s="876"/>
      <c r="G67" s="876"/>
      <c r="H67" s="876"/>
      <c r="I67" s="876"/>
      <c r="J67" s="876"/>
      <c r="K67" s="876"/>
      <c r="L67" s="876"/>
      <c r="M67" s="876"/>
      <c r="N67" s="876"/>
      <c r="O67" s="876"/>
      <c r="P67" s="876"/>
      <c r="Q67" s="876"/>
      <c r="R67" s="876"/>
      <c r="S67" s="876"/>
      <c r="T67" s="876"/>
      <c r="U67" s="876"/>
      <c r="V67" s="877"/>
      <c r="W67" s="876"/>
      <c r="X67" s="876"/>
      <c r="Y67" s="876"/>
      <c r="Z67" s="876"/>
      <c r="AA67" s="876"/>
      <c r="AB67" s="876"/>
      <c r="AC67" s="876"/>
      <c r="AD67" s="876"/>
    </row>
    <row r="68" spans="1:30">
      <c r="A68" s="876"/>
      <c r="B68" s="1227" t="s">
        <v>1379</v>
      </c>
      <c r="C68" s="876">
        <f>+C30</f>
        <v>1</v>
      </c>
      <c r="D68" s="876">
        <f t="shared" ref="D68:R68" si="0">+D30</f>
        <v>2</v>
      </c>
      <c r="E68" s="876">
        <f t="shared" si="0"/>
        <v>3</v>
      </c>
      <c r="F68" s="876">
        <f t="shared" si="0"/>
        <v>4</v>
      </c>
      <c r="G68" s="876">
        <f t="shared" si="0"/>
        <v>5</v>
      </c>
      <c r="H68" s="876">
        <f t="shared" si="0"/>
        <v>6</v>
      </c>
      <c r="I68" s="876">
        <f t="shared" si="0"/>
        <v>7</v>
      </c>
      <c r="J68" s="876">
        <f t="shared" si="0"/>
        <v>8</v>
      </c>
      <c r="K68" s="876">
        <f t="shared" si="0"/>
        <v>9</v>
      </c>
      <c r="L68" s="876">
        <f t="shared" si="0"/>
        <v>10</v>
      </c>
      <c r="M68" s="876">
        <f t="shared" si="0"/>
        <v>11</v>
      </c>
      <c r="N68" s="876">
        <f t="shared" si="0"/>
        <v>12</v>
      </c>
      <c r="O68" s="876">
        <f t="shared" si="0"/>
        <v>13</v>
      </c>
      <c r="P68" s="876">
        <f t="shared" si="0"/>
        <v>14</v>
      </c>
      <c r="Q68" s="876">
        <f t="shared" si="0"/>
        <v>15</v>
      </c>
      <c r="R68" s="876">
        <f t="shared" si="0"/>
        <v>16</v>
      </c>
      <c r="S68" s="876"/>
      <c r="T68" s="877" t="s">
        <v>1383</v>
      </c>
      <c r="U68" s="877" t="s">
        <v>1384</v>
      </c>
      <c r="V68" s="877" t="s">
        <v>1381</v>
      </c>
      <c r="W68" s="877" t="s">
        <v>1382</v>
      </c>
      <c r="X68" s="876"/>
      <c r="Y68" s="876"/>
      <c r="Z68" s="876"/>
      <c r="AA68" s="876"/>
      <c r="AB68" s="876"/>
      <c r="AC68" s="876"/>
      <c r="AD68" s="876"/>
    </row>
    <row r="69" spans="1:30">
      <c r="A69" s="876"/>
      <c r="B69" s="1254" t="s">
        <v>1359</v>
      </c>
      <c r="C69" s="1254">
        <f>+C32*C$47</f>
        <v>163.8152</v>
      </c>
      <c r="D69" s="1254">
        <f t="shared" ref="D69:R69" si="1">+D32*D$47</f>
        <v>163.8152</v>
      </c>
      <c r="E69" s="1254">
        <f t="shared" si="1"/>
        <v>0</v>
      </c>
      <c r="F69" s="1254">
        <f t="shared" si="1"/>
        <v>0</v>
      </c>
      <c r="G69" s="1254">
        <f t="shared" si="1"/>
        <v>0</v>
      </c>
      <c r="H69" s="1254">
        <f t="shared" si="1"/>
        <v>0</v>
      </c>
      <c r="I69" s="1254">
        <f t="shared" si="1"/>
        <v>0</v>
      </c>
      <c r="J69" s="1254">
        <f t="shared" si="1"/>
        <v>0</v>
      </c>
      <c r="K69" s="1254">
        <f t="shared" si="1"/>
        <v>0</v>
      </c>
      <c r="L69" s="1254">
        <f t="shared" si="1"/>
        <v>0</v>
      </c>
      <c r="M69" s="1254">
        <f t="shared" si="1"/>
        <v>0</v>
      </c>
      <c r="N69" s="1254">
        <f t="shared" si="1"/>
        <v>0</v>
      </c>
      <c r="O69" s="1254">
        <f t="shared" si="1"/>
        <v>0</v>
      </c>
      <c r="P69" s="1254">
        <f t="shared" si="1"/>
        <v>0</v>
      </c>
      <c r="Q69" s="1254">
        <f t="shared" si="1"/>
        <v>0</v>
      </c>
      <c r="R69" s="1254">
        <f t="shared" si="1"/>
        <v>165.636</v>
      </c>
      <c r="S69" s="876"/>
      <c r="T69" s="1253">
        <v>0</v>
      </c>
      <c r="U69" s="998"/>
      <c r="V69" s="999"/>
      <c r="W69" s="999"/>
      <c r="X69" s="876"/>
      <c r="Y69" s="876"/>
      <c r="Z69" s="876"/>
      <c r="AA69" s="876"/>
      <c r="AB69" s="876"/>
      <c r="AC69" s="876"/>
      <c r="AD69" s="876"/>
    </row>
    <row r="70" spans="1:30">
      <c r="A70" s="876"/>
      <c r="B70" s="1254" t="s">
        <v>1360</v>
      </c>
      <c r="C70" s="1254">
        <f t="shared" ref="C70:R70" si="2">+C33*C$47</f>
        <v>0</v>
      </c>
      <c r="D70" s="1254">
        <f t="shared" si="2"/>
        <v>0</v>
      </c>
      <c r="E70" s="1254">
        <f t="shared" si="2"/>
        <v>3813.3760000000002</v>
      </c>
      <c r="F70" s="1254">
        <f t="shared" si="2"/>
        <v>3432.5970000000002</v>
      </c>
      <c r="G70" s="1254">
        <f t="shared" si="2"/>
        <v>3432.5970000000002</v>
      </c>
      <c r="H70" s="1254">
        <f t="shared" si="2"/>
        <v>0</v>
      </c>
      <c r="I70" s="1254">
        <f t="shared" si="2"/>
        <v>3598.1189999999997</v>
      </c>
      <c r="J70" s="1254">
        <f t="shared" si="2"/>
        <v>802.23089999999991</v>
      </c>
      <c r="K70" s="1254">
        <f t="shared" si="2"/>
        <v>802.23089999999991</v>
      </c>
      <c r="L70" s="1254">
        <f t="shared" si="2"/>
        <v>803.05020000000002</v>
      </c>
      <c r="M70" s="1254">
        <f t="shared" si="2"/>
        <v>0</v>
      </c>
      <c r="N70" s="1254">
        <f t="shared" si="2"/>
        <v>0</v>
      </c>
      <c r="O70" s="1254">
        <f t="shared" si="2"/>
        <v>802.99499999999989</v>
      </c>
      <c r="P70" s="1254">
        <f t="shared" si="2"/>
        <v>381.71000000000004</v>
      </c>
      <c r="Q70" s="1254">
        <f t="shared" si="2"/>
        <v>1184.1759999999999</v>
      </c>
      <c r="R70" s="1254">
        <f t="shared" si="2"/>
        <v>0</v>
      </c>
      <c r="S70" s="876"/>
      <c r="T70" s="1253">
        <v>-74.599999999999994</v>
      </c>
      <c r="U70" s="998"/>
      <c r="V70" s="1232">
        <f>2*T78+T76-T70</f>
        <v>-802.56200000000001</v>
      </c>
      <c r="W70" s="1232">
        <f>2*U78+T76-T70</f>
        <v>-890.56999999999994</v>
      </c>
      <c r="X70" s="876"/>
      <c r="Y70" s="876"/>
      <c r="Z70" s="876"/>
      <c r="AA70" s="876"/>
      <c r="AB70" s="876"/>
      <c r="AC70" s="876"/>
      <c r="AD70" s="876"/>
    </row>
    <row r="71" spans="1:30">
      <c r="A71" s="876"/>
      <c r="B71" s="1254" t="s">
        <v>1361</v>
      </c>
      <c r="C71" s="1254">
        <f t="shared" ref="C71:R71" si="3">+C34*C$47</f>
        <v>0</v>
      </c>
      <c r="D71" s="1254">
        <f t="shared" si="3"/>
        <v>0</v>
      </c>
      <c r="E71" s="1254">
        <f t="shared" si="3"/>
        <v>0</v>
      </c>
      <c r="F71" s="1254">
        <f t="shared" si="3"/>
        <v>0</v>
      </c>
      <c r="G71" s="1254">
        <f t="shared" si="3"/>
        <v>0</v>
      </c>
      <c r="H71" s="1254">
        <f t="shared" si="3"/>
        <v>0</v>
      </c>
      <c r="I71" s="1254">
        <f t="shared" si="3"/>
        <v>0</v>
      </c>
      <c r="J71" s="1254">
        <f t="shared" si="3"/>
        <v>0</v>
      </c>
      <c r="K71" s="1254">
        <f t="shared" si="3"/>
        <v>0</v>
      </c>
      <c r="L71" s="1254">
        <f t="shared" si="3"/>
        <v>0</v>
      </c>
      <c r="M71" s="1254">
        <f t="shared" si="3"/>
        <v>0</v>
      </c>
      <c r="N71" s="1254">
        <f t="shared" si="3"/>
        <v>0</v>
      </c>
      <c r="O71" s="1254">
        <f t="shared" si="3"/>
        <v>0</v>
      </c>
      <c r="P71" s="1254">
        <f t="shared" si="3"/>
        <v>0</v>
      </c>
      <c r="Q71" s="1254">
        <f t="shared" si="3"/>
        <v>0</v>
      </c>
      <c r="R71" s="1254">
        <f t="shared" si="3"/>
        <v>0</v>
      </c>
      <c r="S71" s="876"/>
      <c r="T71" s="1253">
        <v>-22.8</v>
      </c>
      <c r="U71" s="1229"/>
      <c r="V71" s="1231"/>
      <c r="W71" s="1231"/>
      <c r="X71" s="876"/>
      <c r="Y71" s="876"/>
      <c r="Z71" s="876"/>
      <c r="AA71" s="876"/>
      <c r="AB71" s="876"/>
      <c r="AC71" s="876"/>
      <c r="AD71" s="876"/>
    </row>
    <row r="72" spans="1:30">
      <c r="A72" s="876"/>
      <c r="B72" s="1254" t="s">
        <v>1362</v>
      </c>
      <c r="C72" s="1254">
        <f t="shared" ref="C72:R72" si="4">+C35*C$47</f>
        <v>0</v>
      </c>
      <c r="D72" s="1254">
        <f t="shared" si="4"/>
        <v>0</v>
      </c>
      <c r="E72" s="1254">
        <f t="shared" si="4"/>
        <v>131.072</v>
      </c>
      <c r="F72" s="1254">
        <f t="shared" si="4"/>
        <v>117.98400000000001</v>
      </c>
      <c r="G72" s="1254">
        <f t="shared" si="4"/>
        <v>117.98400000000001</v>
      </c>
      <c r="H72" s="1254">
        <f t="shared" si="4"/>
        <v>0</v>
      </c>
      <c r="I72" s="1254">
        <f t="shared" si="4"/>
        <v>0</v>
      </c>
      <c r="J72" s="1254">
        <f t="shared" si="4"/>
        <v>0</v>
      </c>
      <c r="K72" s="1254">
        <f t="shared" si="4"/>
        <v>0</v>
      </c>
      <c r="L72" s="1254">
        <f t="shared" si="4"/>
        <v>0</v>
      </c>
      <c r="M72" s="1254">
        <f t="shared" si="4"/>
        <v>0</v>
      </c>
      <c r="N72" s="1254">
        <f t="shared" si="4"/>
        <v>0</v>
      </c>
      <c r="O72" s="1254">
        <f t="shared" si="4"/>
        <v>0</v>
      </c>
      <c r="P72" s="1254">
        <f t="shared" si="4"/>
        <v>13.120000000000001</v>
      </c>
      <c r="Q72" s="1254">
        <f t="shared" si="4"/>
        <v>13.428800000000001</v>
      </c>
      <c r="R72" s="1254">
        <f t="shared" si="4"/>
        <v>0</v>
      </c>
      <c r="S72" s="876"/>
      <c r="T72" s="1253">
        <v>-84</v>
      </c>
      <c r="U72" s="998"/>
      <c r="V72" s="1232">
        <f>+(6*T78+4*T76-2*T72)/2</f>
        <v>-1428.498</v>
      </c>
      <c r="W72" s="1232">
        <f>+(6*U78+4*T76-2*T72)/2</f>
        <v>-1560.51</v>
      </c>
      <c r="X72" s="876"/>
      <c r="Y72" s="876"/>
      <c r="Z72" s="876"/>
      <c r="AA72" s="876"/>
      <c r="AB72" s="876"/>
      <c r="AC72" s="876"/>
      <c r="AD72" s="876"/>
    </row>
    <row r="73" spans="1:30">
      <c r="A73" s="876"/>
      <c r="B73" s="1254" t="s">
        <v>1363</v>
      </c>
      <c r="C73" s="1254">
        <f t="shared" ref="C73:R73" si="5">+C36*C$47</f>
        <v>0</v>
      </c>
      <c r="D73" s="1254">
        <f t="shared" si="5"/>
        <v>0</v>
      </c>
      <c r="E73" s="1254">
        <f t="shared" si="5"/>
        <v>28.672000000000001</v>
      </c>
      <c r="F73" s="1254">
        <f t="shared" si="5"/>
        <v>25.809000000000001</v>
      </c>
      <c r="G73" s="1254">
        <f t="shared" si="5"/>
        <v>25.809000000000001</v>
      </c>
      <c r="H73" s="1254">
        <f t="shared" si="5"/>
        <v>0</v>
      </c>
      <c r="I73" s="1254">
        <f t="shared" si="5"/>
        <v>0</v>
      </c>
      <c r="J73" s="1254">
        <f t="shared" si="5"/>
        <v>0</v>
      </c>
      <c r="K73" s="1254">
        <f t="shared" si="5"/>
        <v>0</v>
      </c>
      <c r="L73" s="1254">
        <f t="shared" si="5"/>
        <v>0</v>
      </c>
      <c r="M73" s="1254">
        <f t="shared" si="5"/>
        <v>0</v>
      </c>
      <c r="N73" s="1254">
        <f t="shared" si="5"/>
        <v>0</v>
      </c>
      <c r="O73" s="1254">
        <f t="shared" si="5"/>
        <v>0</v>
      </c>
      <c r="P73" s="1254">
        <f t="shared" si="5"/>
        <v>2.87</v>
      </c>
      <c r="Q73" s="1254">
        <f t="shared" si="5"/>
        <v>3.052</v>
      </c>
      <c r="R73" s="1254">
        <f t="shared" si="5"/>
        <v>0</v>
      </c>
      <c r="S73" s="876"/>
      <c r="T73" s="1253">
        <v>-104.7</v>
      </c>
      <c r="U73" s="998"/>
      <c r="V73" s="1232">
        <f>3*T76+4*T78-T73</f>
        <v>-2043.1339999999998</v>
      </c>
      <c r="W73" s="1232">
        <f>3*T76+4*U78-T73</f>
        <v>-2219.15</v>
      </c>
      <c r="X73" s="876"/>
      <c r="Y73" s="876"/>
      <c r="Z73" s="876"/>
      <c r="AA73" s="876"/>
      <c r="AB73" s="876"/>
      <c r="AC73" s="876"/>
      <c r="AD73" s="876"/>
    </row>
    <row r="74" spans="1:30">
      <c r="A74" s="876"/>
      <c r="B74" s="1254" t="s">
        <v>1364</v>
      </c>
      <c r="C74" s="1254">
        <f t="shared" ref="C74:R74" si="6">+C37*C$47</f>
        <v>0</v>
      </c>
      <c r="D74" s="1254">
        <f t="shared" si="6"/>
        <v>0</v>
      </c>
      <c r="E74" s="1254">
        <f t="shared" si="6"/>
        <v>16.384</v>
      </c>
      <c r="F74" s="1254">
        <f t="shared" si="6"/>
        <v>14.748000000000001</v>
      </c>
      <c r="G74" s="1254">
        <f t="shared" si="6"/>
        <v>14.748000000000001</v>
      </c>
      <c r="H74" s="1254">
        <f t="shared" si="6"/>
        <v>0</v>
      </c>
      <c r="I74" s="1254">
        <f t="shared" si="6"/>
        <v>0</v>
      </c>
      <c r="J74" s="1254">
        <f t="shared" si="6"/>
        <v>0</v>
      </c>
      <c r="K74" s="1254">
        <f t="shared" si="6"/>
        <v>0</v>
      </c>
      <c r="L74" s="1254">
        <f t="shared" si="6"/>
        <v>0</v>
      </c>
      <c r="M74" s="1254">
        <f t="shared" si="6"/>
        <v>0</v>
      </c>
      <c r="N74" s="1254">
        <f t="shared" si="6"/>
        <v>0</v>
      </c>
      <c r="O74" s="1254">
        <f t="shared" si="6"/>
        <v>0</v>
      </c>
      <c r="P74" s="1254">
        <f t="shared" si="6"/>
        <v>1.6400000000000001</v>
      </c>
      <c r="Q74" s="1254">
        <f t="shared" si="6"/>
        <v>1.8311999999999999</v>
      </c>
      <c r="R74" s="1254">
        <f t="shared" si="6"/>
        <v>0</v>
      </c>
      <c r="S74" s="876"/>
      <c r="T74" s="1253">
        <v>-125.6</v>
      </c>
      <c r="U74" s="998"/>
      <c r="V74" s="1232">
        <f>4*T76+5*T78-T74</f>
        <v>-2657.57</v>
      </c>
      <c r="W74" s="1232">
        <f>4*T76+5*U78-T74</f>
        <v>-2877.5899999999997</v>
      </c>
      <c r="X74" s="876"/>
      <c r="Y74" s="876"/>
      <c r="Z74" s="876"/>
      <c r="AA74" s="876"/>
      <c r="AB74" s="876"/>
      <c r="AC74" s="876"/>
      <c r="AD74" s="876"/>
    </row>
    <row r="75" spans="1:30">
      <c r="A75" s="876"/>
      <c r="B75" s="1254" t="s">
        <v>1365</v>
      </c>
      <c r="C75" s="1254">
        <f t="shared" ref="C75:R75" si="7">+C38*C$47</f>
        <v>0</v>
      </c>
      <c r="D75" s="1254">
        <f t="shared" si="7"/>
        <v>0</v>
      </c>
      <c r="E75" s="1254">
        <f t="shared" si="7"/>
        <v>0</v>
      </c>
      <c r="F75" s="1254">
        <f t="shared" si="7"/>
        <v>0</v>
      </c>
      <c r="G75" s="1254">
        <f t="shared" si="7"/>
        <v>0</v>
      </c>
      <c r="H75" s="1254">
        <f t="shared" si="7"/>
        <v>0</v>
      </c>
      <c r="I75" s="1254">
        <f t="shared" si="7"/>
        <v>1.393</v>
      </c>
      <c r="J75" s="1254">
        <f t="shared" si="7"/>
        <v>2795.1207999999997</v>
      </c>
      <c r="K75" s="1254">
        <f t="shared" si="7"/>
        <v>2795.1207999999997</v>
      </c>
      <c r="L75" s="1254">
        <f t="shared" si="7"/>
        <v>78.27</v>
      </c>
      <c r="M75" s="1254">
        <f t="shared" si="7"/>
        <v>0</v>
      </c>
      <c r="N75" s="1254">
        <f t="shared" si="7"/>
        <v>0</v>
      </c>
      <c r="O75" s="1254">
        <f t="shared" si="7"/>
        <v>78.021500000000003</v>
      </c>
      <c r="P75" s="1254">
        <f t="shared" si="7"/>
        <v>0</v>
      </c>
      <c r="Q75" s="1254">
        <f t="shared" si="7"/>
        <v>78.131200000000007</v>
      </c>
      <c r="R75" s="1254">
        <f t="shared" si="7"/>
        <v>0</v>
      </c>
      <c r="S75" s="876"/>
      <c r="T75" s="1253">
        <v>-110.53</v>
      </c>
      <c r="U75" s="998"/>
      <c r="V75" s="1231"/>
      <c r="W75" s="1231"/>
      <c r="X75" s="876"/>
      <c r="Y75" s="876"/>
      <c r="Z75" s="876"/>
      <c r="AA75" s="876"/>
      <c r="AB75" s="876"/>
      <c r="AC75" s="876"/>
      <c r="AD75" s="876"/>
    </row>
    <row r="76" spans="1:30">
      <c r="A76" s="876"/>
      <c r="B76" s="1254" t="s">
        <v>1366</v>
      </c>
      <c r="C76" s="1254">
        <f t="shared" ref="C76:R76" si="8">+C39*C$47</f>
        <v>5.3417999999999992</v>
      </c>
      <c r="D76" s="1254">
        <f t="shared" si="8"/>
        <v>5.3417999999999992</v>
      </c>
      <c r="E76" s="1254">
        <f t="shared" si="8"/>
        <v>40.96</v>
      </c>
      <c r="F76" s="1254">
        <f t="shared" si="8"/>
        <v>36.869999999999997</v>
      </c>
      <c r="G76" s="1254">
        <f t="shared" si="8"/>
        <v>36.869999999999997</v>
      </c>
      <c r="H76" s="1254">
        <f t="shared" si="8"/>
        <v>0</v>
      </c>
      <c r="I76" s="1254">
        <f t="shared" si="8"/>
        <v>242.38199999999998</v>
      </c>
      <c r="J76" s="1254">
        <f t="shared" si="8"/>
        <v>242.03559999999999</v>
      </c>
      <c r="K76" s="1254">
        <f t="shared" si="8"/>
        <v>242.03559999999999</v>
      </c>
      <c r="L76" s="1254">
        <f t="shared" si="8"/>
        <v>2960.1713999999997</v>
      </c>
      <c r="M76" s="1254">
        <f t="shared" si="8"/>
        <v>0</v>
      </c>
      <c r="N76" s="1254">
        <f t="shared" si="8"/>
        <v>0</v>
      </c>
      <c r="O76" s="1254">
        <f t="shared" si="8"/>
        <v>2960.2610000000004</v>
      </c>
      <c r="P76" s="1254">
        <f t="shared" si="8"/>
        <v>4.0999999999999996</v>
      </c>
      <c r="Q76" s="1254">
        <f t="shared" si="8"/>
        <v>2963.4919999999997</v>
      </c>
      <c r="R76" s="1254">
        <f t="shared" si="8"/>
        <v>4274.3289999999997</v>
      </c>
      <c r="S76" s="876"/>
      <c r="T76" s="1253">
        <v>-393.51</v>
      </c>
      <c r="U76" s="998"/>
      <c r="V76" s="1231"/>
      <c r="W76" s="1231"/>
      <c r="X76" s="876"/>
      <c r="Y76" s="876"/>
      <c r="Z76" s="876"/>
      <c r="AA76" s="876"/>
      <c r="AB76" s="876"/>
      <c r="AC76" s="876"/>
      <c r="AD76" s="876"/>
    </row>
    <row r="77" spans="1:30">
      <c r="A77" s="876"/>
      <c r="B77" s="1254" t="s">
        <v>1367</v>
      </c>
      <c r="C77" s="1254">
        <f t="shared" ref="C77:R77" si="9">+C40*C$47</f>
        <v>0</v>
      </c>
      <c r="D77" s="1254">
        <f t="shared" si="9"/>
        <v>0</v>
      </c>
      <c r="E77" s="1254">
        <f t="shared" si="9"/>
        <v>0</v>
      </c>
      <c r="F77" s="1254">
        <f t="shared" si="9"/>
        <v>0</v>
      </c>
      <c r="G77" s="1254">
        <f t="shared" si="9"/>
        <v>0</v>
      </c>
      <c r="H77" s="1254">
        <f t="shared" si="9"/>
        <v>0</v>
      </c>
      <c r="I77" s="1254">
        <f t="shared" si="9"/>
        <v>611.52700000000004</v>
      </c>
      <c r="J77" s="1254">
        <f t="shared" si="9"/>
        <v>8996.3071</v>
      </c>
      <c r="K77" s="1254">
        <f t="shared" si="9"/>
        <v>8996.3071</v>
      </c>
      <c r="L77" s="1254">
        <f t="shared" si="9"/>
        <v>11713.888199999999</v>
      </c>
      <c r="M77" s="1254">
        <f t="shared" si="9"/>
        <v>9957.0082000000002</v>
      </c>
      <c r="N77" s="1254">
        <f t="shared" si="9"/>
        <v>9957.0082000000002</v>
      </c>
      <c r="O77" s="1254">
        <f t="shared" si="9"/>
        <v>1756.9075</v>
      </c>
      <c r="P77" s="1254">
        <f t="shared" si="9"/>
        <v>0</v>
      </c>
      <c r="Q77" s="1254">
        <f t="shared" si="9"/>
        <v>1756.7311999999999</v>
      </c>
      <c r="R77" s="1254">
        <f t="shared" si="9"/>
        <v>0</v>
      </c>
      <c r="S77" s="876"/>
      <c r="T77" s="1253">
        <v>0</v>
      </c>
      <c r="U77" s="998"/>
      <c r="V77" s="1232">
        <f>T78</f>
        <v>-241.82599999999999</v>
      </c>
      <c r="W77" s="1232">
        <f>+U78</f>
        <v>-285.83</v>
      </c>
      <c r="X77" s="876"/>
      <c r="Y77" s="876"/>
      <c r="Z77" s="876"/>
      <c r="AA77" s="876"/>
      <c r="AB77" s="876"/>
      <c r="AC77" s="876"/>
      <c r="AD77" s="876"/>
    </row>
    <row r="78" spans="1:30">
      <c r="A78" s="876"/>
      <c r="B78" s="1254" t="s">
        <v>1368</v>
      </c>
      <c r="C78" s="1254">
        <f t="shared" ref="C78:R78" si="10">+C41*C$47</f>
        <v>176.27940000000001</v>
      </c>
      <c r="D78" s="1254">
        <f t="shared" si="10"/>
        <v>176.27940000000001</v>
      </c>
      <c r="E78" s="1254">
        <f t="shared" si="10"/>
        <v>0</v>
      </c>
      <c r="F78" s="1254">
        <f t="shared" si="10"/>
        <v>0</v>
      </c>
      <c r="G78" s="1254">
        <f t="shared" si="10"/>
        <v>0</v>
      </c>
      <c r="H78" s="1254">
        <f t="shared" si="10"/>
        <v>9830</v>
      </c>
      <c r="I78" s="1254">
        <f t="shared" si="10"/>
        <v>9416.68</v>
      </c>
      <c r="J78" s="1254">
        <f t="shared" si="10"/>
        <v>6622.7966999999999</v>
      </c>
      <c r="K78" s="1254">
        <f t="shared" si="10"/>
        <v>6622.7966999999999</v>
      </c>
      <c r="L78" s="1254">
        <f t="shared" si="10"/>
        <v>39.134999999999998</v>
      </c>
      <c r="M78" s="1254">
        <f t="shared" si="10"/>
        <v>0</v>
      </c>
      <c r="N78" s="1254">
        <f t="shared" si="10"/>
        <v>0</v>
      </c>
      <c r="O78" s="1254">
        <f t="shared" si="10"/>
        <v>39.295499999999997</v>
      </c>
      <c r="P78" s="1254">
        <f t="shared" si="10"/>
        <v>0</v>
      </c>
      <c r="Q78" s="1254">
        <f t="shared" si="10"/>
        <v>39.675999999999995</v>
      </c>
      <c r="R78" s="1254">
        <f t="shared" si="10"/>
        <v>4400.8564999999999</v>
      </c>
      <c r="S78" s="876"/>
      <c r="T78" s="1253">
        <v>-241.82599999999999</v>
      </c>
      <c r="U78" s="1253">
        <v>-285.83</v>
      </c>
      <c r="V78" s="1230"/>
      <c r="W78" s="1230"/>
      <c r="X78" s="876"/>
      <c r="Y78" s="876"/>
      <c r="Z78" s="876"/>
      <c r="AA78" s="876"/>
      <c r="AB78" s="876"/>
      <c r="AC78" s="876"/>
      <c r="AD78" s="876"/>
    </row>
    <row r="79" spans="1:30">
      <c r="A79" s="876"/>
      <c r="B79" s="1254" t="s">
        <v>1369</v>
      </c>
      <c r="C79" s="1254">
        <f t="shared" ref="C79:R79" si="11">+C42*C$47</f>
        <v>13767.599200000001</v>
      </c>
      <c r="D79" s="1254">
        <f t="shared" si="11"/>
        <v>13767.599200000001</v>
      </c>
      <c r="E79" s="1254">
        <f t="shared" si="11"/>
        <v>65.536000000000001</v>
      </c>
      <c r="F79" s="1254">
        <f t="shared" si="11"/>
        <v>58.992000000000004</v>
      </c>
      <c r="G79" s="1254">
        <f t="shared" si="11"/>
        <v>58.992000000000004</v>
      </c>
      <c r="H79" s="1254">
        <f t="shared" si="11"/>
        <v>0</v>
      </c>
      <c r="I79" s="1254">
        <f t="shared" si="11"/>
        <v>58.505999999999993</v>
      </c>
      <c r="J79" s="1254">
        <f t="shared" si="11"/>
        <v>58.557000000000002</v>
      </c>
      <c r="K79" s="1254">
        <f t="shared" si="11"/>
        <v>58.557000000000002</v>
      </c>
      <c r="L79" s="1254">
        <f t="shared" si="11"/>
        <v>59.485199999999999</v>
      </c>
      <c r="M79" s="1254">
        <f t="shared" si="11"/>
        <v>1.9918</v>
      </c>
      <c r="N79" s="1254">
        <f t="shared" si="11"/>
        <v>1.9918</v>
      </c>
      <c r="O79" s="1254">
        <f t="shared" si="11"/>
        <v>56.95</v>
      </c>
      <c r="P79" s="1254">
        <f t="shared" si="11"/>
        <v>6.5600000000000005</v>
      </c>
      <c r="Q79" s="1254">
        <f t="shared" si="11"/>
        <v>63.4816</v>
      </c>
      <c r="R79" s="1254">
        <f t="shared" si="11"/>
        <v>13830.606</v>
      </c>
      <c r="S79" s="876"/>
      <c r="T79" s="1253">
        <v>0</v>
      </c>
      <c r="U79" s="998"/>
      <c r="V79" s="1230"/>
      <c r="W79" s="1230"/>
      <c r="X79" s="876"/>
      <c r="Y79" s="876"/>
      <c r="Z79" s="876"/>
      <c r="AA79" s="876"/>
      <c r="AB79" s="876"/>
      <c r="AC79" s="876"/>
      <c r="AD79" s="876"/>
    </row>
    <row r="80" spans="1:30">
      <c r="A80" s="876"/>
      <c r="B80" s="1254" t="s">
        <v>1370</v>
      </c>
      <c r="C80" s="1254">
        <f t="shared" ref="C80:R80" si="12">+C43*C$47</f>
        <v>3692.9643999999998</v>
      </c>
      <c r="D80" s="1254">
        <f t="shared" si="12"/>
        <v>3692.9643999999998</v>
      </c>
      <c r="E80" s="1254">
        <f t="shared" si="12"/>
        <v>0</v>
      </c>
      <c r="F80" s="1254">
        <f t="shared" si="12"/>
        <v>0</v>
      </c>
      <c r="G80" s="1254">
        <f t="shared" si="12"/>
        <v>0</v>
      </c>
      <c r="H80" s="1254">
        <f t="shared" si="12"/>
        <v>0</v>
      </c>
      <c r="I80" s="1254">
        <f t="shared" si="12"/>
        <v>0</v>
      </c>
      <c r="J80" s="1254">
        <f t="shared" si="12"/>
        <v>0</v>
      </c>
      <c r="K80" s="1254">
        <f t="shared" si="12"/>
        <v>0</v>
      </c>
      <c r="L80" s="1254">
        <f t="shared" si="12"/>
        <v>0</v>
      </c>
      <c r="M80" s="1254">
        <f t="shared" si="12"/>
        <v>0</v>
      </c>
      <c r="N80" s="1254">
        <f t="shared" si="12"/>
        <v>0</v>
      </c>
      <c r="O80" s="1254">
        <f t="shared" si="12"/>
        <v>0</v>
      </c>
      <c r="P80" s="1254">
        <f t="shared" si="12"/>
        <v>0</v>
      </c>
      <c r="Q80" s="1254">
        <f t="shared" si="12"/>
        <v>0</v>
      </c>
      <c r="R80" s="1254">
        <f t="shared" si="12"/>
        <v>335.87299999999999</v>
      </c>
      <c r="S80" s="876"/>
      <c r="T80" s="1253">
        <v>0</v>
      </c>
      <c r="U80" s="998"/>
      <c r="V80" s="1230"/>
      <c r="W80" s="1230"/>
      <c r="X80" s="876"/>
      <c r="Y80" s="876"/>
      <c r="Z80" s="876"/>
      <c r="AA80" s="876"/>
      <c r="AB80" s="876"/>
      <c r="AC80" s="876"/>
      <c r="AD80" s="876"/>
    </row>
    <row r="81" spans="1:30">
      <c r="A81" s="876"/>
      <c r="B81" s="1254" t="s">
        <v>1371</v>
      </c>
      <c r="C81" s="1254">
        <f t="shared" ref="C81:R81" si="13">+C44*C$47</f>
        <v>0</v>
      </c>
      <c r="D81" s="1254">
        <f t="shared" si="13"/>
        <v>0</v>
      </c>
      <c r="E81" s="1254">
        <f t="shared" si="13"/>
        <v>0</v>
      </c>
      <c r="F81" s="1254">
        <f t="shared" si="13"/>
        <v>0</v>
      </c>
      <c r="G81" s="1254">
        <f t="shared" si="13"/>
        <v>0</v>
      </c>
      <c r="H81" s="1254">
        <f t="shared" si="13"/>
        <v>0</v>
      </c>
      <c r="I81" s="1254">
        <f t="shared" si="13"/>
        <v>0</v>
      </c>
      <c r="J81" s="1254">
        <f t="shared" si="13"/>
        <v>0</v>
      </c>
      <c r="K81" s="1254">
        <f t="shared" si="13"/>
        <v>0</v>
      </c>
      <c r="L81" s="1254">
        <f t="shared" si="13"/>
        <v>0</v>
      </c>
      <c r="M81" s="1254">
        <f t="shared" si="13"/>
        <v>0</v>
      </c>
      <c r="N81" s="1254">
        <f t="shared" si="13"/>
        <v>0</v>
      </c>
      <c r="O81" s="1254">
        <f t="shared" si="13"/>
        <v>0</v>
      </c>
      <c r="P81" s="1254">
        <f t="shared" si="13"/>
        <v>0</v>
      </c>
      <c r="Q81" s="1254">
        <f t="shared" si="13"/>
        <v>0</v>
      </c>
      <c r="R81" s="1254">
        <f t="shared" si="13"/>
        <v>0</v>
      </c>
      <c r="S81" s="876"/>
      <c r="T81" s="1253">
        <v>-296.81</v>
      </c>
      <c r="U81" s="998"/>
      <c r="V81" s="1230"/>
      <c r="W81" s="1230"/>
      <c r="X81" s="876"/>
      <c r="Y81" s="876"/>
      <c r="Z81" s="876"/>
      <c r="AA81" s="876"/>
      <c r="AB81" s="876"/>
      <c r="AC81" s="876"/>
      <c r="AD81" s="876"/>
    </row>
    <row r="82" spans="1:30">
      <c r="A82" s="876"/>
      <c r="B82" s="1254" t="s">
        <v>58</v>
      </c>
      <c r="C82" s="1254">
        <f t="shared" ref="C82:R82" si="14">+C45*C$47</f>
        <v>17806</v>
      </c>
      <c r="D82" s="1254">
        <f t="shared" si="14"/>
        <v>17806</v>
      </c>
      <c r="E82" s="1254">
        <f t="shared" si="14"/>
        <v>4096</v>
      </c>
      <c r="F82" s="1254">
        <f t="shared" si="14"/>
        <v>3687</v>
      </c>
      <c r="G82" s="1254">
        <f t="shared" si="14"/>
        <v>3687</v>
      </c>
      <c r="H82" s="1254">
        <f t="shared" si="14"/>
        <v>9830</v>
      </c>
      <c r="I82" s="1254">
        <f t="shared" si="14"/>
        <v>13930</v>
      </c>
      <c r="J82" s="1254">
        <f t="shared" si="14"/>
        <v>19519</v>
      </c>
      <c r="K82" s="1254">
        <f t="shared" si="14"/>
        <v>19519</v>
      </c>
      <c r="L82" s="1254">
        <f t="shared" si="14"/>
        <v>15654</v>
      </c>
      <c r="M82" s="1254">
        <f t="shared" si="14"/>
        <v>9959</v>
      </c>
      <c r="N82" s="1254">
        <f t="shared" si="14"/>
        <v>9959</v>
      </c>
      <c r="O82" s="1254">
        <f t="shared" si="14"/>
        <v>5695</v>
      </c>
      <c r="P82" s="1254">
        <f t="shared" si="14"/>
        <v>410</v>
      </c>
      <c r="Q82" s="1254">
        <f t="shared" si="14"/>
        <v>6104</v>
      </c>
      <c r="R82" s="1254">
        <f t="shared" si="14"/>
        <v>23005</v>
      </c>
      <c r="S82" s="876"/>
      <c r="T82" s="876"/>
      <c r="U82" s="876"/>
      <c r="V82" s="877"/>
      <c r="W82" s="876"/>
      <c r="X82" s="876"/>
      <c r="Y82" s="876"/>
      <c r="Z82" s="876"/>
      <c r="AA82" s="876"/>
      <c r="AB82" s="876"/>
      <c r="AC82" s="876"/>
      <c r="AD82" s="876"/>
    </row>
    <row r="83" spans="1:30">
      <c r="A83" s="876"/>
      <c r="B83" s="876"/>
      <c r="C83" s="876"/>
      <c r="D83" s="876"/>
      <c r="E83" s="876"/>
      <c r="F83" s="876"/>
      <c r="G83" s="876"/>
      <c r="H83" s="876"/>
      <c r="I83" s="876"/>
      <c r="J83" s="876"/>
      <c r="K83" s="876"/>
      <c r="L83" s="876"/>
      <c r="M83" s="876"/>
      <c r="N83" s="876"/>
      <c r="O83" s="876"/>
      <c r="P83" s="876"/>
      <c r="Q83" s="876"/>
      <c r="R83" s="876"/>
      <c r="S83" s="876"/>
      <c r="T83" s="876"/>
      <c r="U83" s="876"/>
      <c r="V83" s="877"/>
      <c r="W83" s="876"/>
      <c r="X83" s="876"/>
      <c r="Y83" s="876"/>
      <c r="Z83" s="876"/>
      <c r="AA83" s="876"/>
      <c r="AB83" s="876"/>
      <c r="AC83" s="876"/>
      <c r="AD83" s="876"/>
    </row>
    <row r="84" spans="1:30">
      <c r="A84" s="876"/>
      <c r="B84" s="876"/>
      <c r="C84" s="876"/>
      <c r="D84" s="876"/>
      <c r="E84" s="876"/>
      <c r="F84" s="876"/>
      <c r="G84" s="876"/>
      <c r="H84" s="876"/>
      <c r="I84" s="876"/>
      <c r="J84" s="876"/>
      <c r="K84" s="876"/>
      <c r="L84" s="876"/>
      <c r="M84" s="876"/>
      <c r="N84" s="876"/>
      <c r="O84" s="876"/>
      <c r="P84" s="876"/>
      <c r="Q84" s="876"/>
      <c r="R84" s="876"/>
      <c r="S84" s="876"/>
      <c r="T84" s="876"/>
      <c r="U84" s="876"/>
      <c r="V84" s="877"/>
      <c r="W84" s="876"/>
      <c r="X84" s="876"/>
      <c r="Y84" s="876"/>
      <c r="Z84" s="876"/>
      <c r="AA84" s="876"/>
      <c r="AB84" s="876"/>
      <c r="AC84" s="876"/>
      <c r="AD84" s="876"/>
    </row>
    <row r="85" spans="1:30">
      <c r="A85" s="876"/>
      <c r="B85" s="876"/>
      <c r="C85" s="876"/>
      <c r="D85" s="876"/>
      <c r="E85" s="876"/>
      <c r="F85" s="876"/>
      <c r="G85" s="876"/>
      <c r="H85" s="876"/>
      <c r="I85" s="876"/>
      <c r="J85" s="876"/>
      <c r="K85" s="876"/>
      <c r="L85" s="876"/>
      <c r="M85" s="876"/>
      <c r="N85" s="876"/>
      <c r="O85" s="876"/>
      <c r="P85" s="876"/>
      <c r="Q85" s="876"/>
      <c r="R85" s="876"/>
      <c r="S85" s="876"/>
      <c r="T85" s="876"/>
      <c r="U85" s="876"/>
      <c r="V85" s="877"/>
      <c r="W85" s="876"/>
      <c r="X85" s="876"/>
      <c r="Y85" s="876"/>
      <c r="Z85" s="876"/>
      <c r="AA85" s="876"/>
      <c r="AB85" s="876"/>
      <c r="AC85" s="876"/>
      <c r="AD85" s="876"/>
    </row>
    <row r="86" spans="1:30">
      <c r="A86" s="876"/>
      <c r="B86" s="876"/>
      <c r="C86" s="876"/>
      <c r="D86" s="876"/>
      <c r="E86" s="876"/>
      <c r="F86" s="876"/>
      <c r="G86" s="876"/>
      <c r="H86" s="876"/>
      <c r="I86" s="876"/>
      <c r="J86" s="876"/>
      <c r="K86" s="876"/>
      <c r="L86" s="876"/>
      <c r="M86" s="876"/>
      <c r="N86" s="876"/>
      <c r="O86" s="876"/>
      <c r="P86" s="876"/>
      <c r="Q86" s="876"/>
      <c r="R86" s="876"/>
      <c r="S86" s="876"/>
      <c r="T86" s="876"/>
      <c r="U86" s="876"/>
      <c r="V86" s="876"/>
      <c r="W86" s="876"/>
      <c r="X86" s="876"/>
      <c r="Y86" s="876"/>
      <c r="Z86" s="876"/>
      <c r="AA86" s="876"/>
      <c r="AB86" s="876"/>
      <c r="AC86" s="876"/>
      <c r="AD86" s="876"/>
    </row>
    <row r="87" spans="1:30">
      <c r="A87" s="876"/>
      <c r="B87" s="876"/>
      <c r="C87" s="876"/>
      <c r="D87" s="876"/>
      <c r="E87" s="876"/>
      <c r="F87" s="876"/>
      <c r="G87" s="876"/>
      <c r="H87" s="876"/>
      <c r="I87" s="876"/>
      <c r="J87" s="876"/>
      <c r="K87" s="876"/>
      <c r="L87" s="876"/>
      <c r="M87" s="876"/>
      <c r="N87" s="876"/>
      <c r="O87" s="876"/>
      <c r="P87" s="876"/>
      <c r="Q87" s="876"/>
      <c r="R87" s="876"/>
      <c r="S87" s="876"/>
      <c r="T87" s="876"/>
      <c r="U87" s="876"/>
      <c r="V87" s="876"/>
      <c r="W87" s="876"/>
      <c r="X87" s="876"/>
      <c r="Y87" s="876"/>
      <c r="Z87" s="876"/>
      <c r="AA87" s="876"/>
      <c r="AB87" s="876"/>
      <c r="AC87" s="876"/>
      <c r="AD87" s="876"/>
    </row>
    <row r="88" spans="1:30" ht="14" thickBot="1">
      <c r="A88" s="876"/>
      <c r="B88" s="876"/>
      <c r="C88" s="876"/>
      <c r="D88" s="876"/>
      <c r="E88" s="876"/>
      <c r="F88" s="876"/>
      <c r="G88" s="876"/>
      <c r="H88" s="876"/>
      <c r="I88" s="876"/>
      <c r="J88" s="876"/>
      <c r="K88" s="876"/>
      <c r="L88" s="876"/>
      <c r="M88" s="876"/>
      <c r="N88" s="876"/>
      <c r="O88" s="876"/>
      <c r="P88" s="876"/>
      <c r="Q88" s="876"/>
      <c r="R88" s="876"/>
      <c r="S88" s="876"/>
      <c r="T88" s="876"/>
      <c r="U88" s="876"/>
      <c r="V88" s="876"/>
      <c r="W88" s="876"/>
      <c r="X88" s="876"/>
      <c r="Y88" s="876"/>
      <c r="Z88" s="876"/>
      <c r="AA88" s="876"/>
      <c r="AB88" s="876"/>
      <c r="AC88" s="876"/>
      <c r="AD88" s="876"/>
    </row>
    <row r="89" spans="1:30" ht="14">
      <c r="A89" s="876"/>
      <c r="B89" s="1442" t="s">
        <v>1399</v>
      </c>
      <c r="C89" s="1443"/>
      <c r="D89" s="876"/>
      <c r="E89" s="876"/>
      <c r="F89" s="876"/>
      <c r="G89" s="876"/>
      <c r="H89" s="876"/>
      <c r="I89" s="876"/>
      <c r="J89" s="876"/>
      <c r="K89" s="876"/>
      <c r="L89" s="876"/>
      <c r="M89" s="876"/>
      <c r="N89" s="876"/>
      <c r="O89" s="876"/>
      <c r="P89" s="876"/>
      <c r="Q89" s="876"/>
      <c r="R89" s="876"/>
      <c r="S89" s="876"/>
      <c r="T89" s="876"/>
      <c r="U89" s="876"/>
      <c r="V89" s="876"/>
      <c r="W89" s="876"/>
      <c r="X89" s="876"/>
      <c r="Y89" s="876"/>
      <c r="Z89" s="876"/>
      <c r="AA89" s="876"/>
      <c r="AB89" s="876"/>
      <c r="AC89" s="876"/>
      <c r="AD89" s="876"/>
    </row>
    <row r="90" spans="1:30" ht="14">
      <c r="A90" s="876"/>
      <c r="B90" s="1438" t="s">
        <v>1400</v>
      </c>
      <c r="C90" s="1438"/>
      <c r="D90" s="998" t="s">
        <v>1408</v>
      </c>
      <c r="E90" s="876"/>
      <c r="F90" s="876"/>
      <c r="G90" s="876"/>
      <c r="H90" s="876"/>
      <c r="I90" s="876"/>
      <c r="J90" s="876"/>
      <c r="K90" s="876"/>
      <c r="L90" s="876"/>
      <c r="M90" s="876"/>
      <c r="N90" s="876"/>
      <c r="O90" s="876"/>
      <c r="P90" s="876"/>
      <c r="Q90" s="876"/>
      <c r="R90" s="876"/>
      <c r="S90" s="876"/>
      <c r="T90" s="876"/>
      <c r="U90" s="876"/>
      <c r="V90" s="876"/>
      <c r="W90" s="876"/>
      <c r="X90" s="876"/>
      <c r="Y90" s="876"/>
      <c r="Z90" s="876"/>
      <c r="AA90" s="876"/>
      <c r="AB90" s="876"/>
      <c r="AC90" s="876"/>
      <c r="AD90" s="876"/>
    </row>
    <row r="91" spans="1:30" ht="15">
      <c r="A91" s="876"/>
      <c r="B91" s="1291" t="s">
        <v>1401</v>
      </c>
      <c r="C91" s="1292">
        <v>1410</v>
      </c>
      <c r="D91" s="1266">
        <f t="shared" ref="D91:D96" si="15">+C91</f>
        <v>1410</v>
      </c>
      <c r="E91" s="876"/>
      <c r="F91" s="876"/>
      <c r="G91" s="876"/>
      <c r="H91" s="876"/>
      <c r="I91" s="876"/>
      <c r="J91" s="876"/>
      <c r="K91" s="876"/>
      <c r="L91" s="876"/>
      <c r="M91" s="876"/>
      <c r="N91" s="876"/>
      <c r="O91" s="876"/>
      <c r="P91" s="876"/>
      <c r="Q91" s="876"/>
      <c r="R91" s="876"/>
      <c r="S91" s="876"/>
      <c r="T91" s="876"/>
      <c r="U91" s="876"/>
      <c r="V91" s="876"/>
      <c r="W91" s="876"/>
      <c r="X91" s="876"/>
      <c r="Y91" s="876"/>
      <c r="Z91" s="876"/>
      <c r="AA91" s="876"/>
      <c r="AB91" s="876"/>
      <c r="AC91" s="876"/>
      <c r="AD91" s="876"/>
    </row>
    <row r="92" spans="1:30" ht="15">
      <c r="A92" s="876"/>
      <c r="B92" s="1291" t="s">
        <v>1402</v>
      </c>
      <c r="C92" s="1293">
        <v>280</v>
      </c>
      <c r="D92" s="1266">
        <f t="shared" si="15"/>
        <v>280</v>
      </c>
      <c r="E92" s="876"/>
      <c r="F92" s="876"/>
      <c r="G92" s="876"/>
      <c r="H92" s="876"/>
      <c r="I92" s="876"/>
      <c r="J92" s="876"/>
      <c r="K92" s="876"/>
      <c r="L92" s="876"/>
      <c r="M92" s="876"/>
      <c r="N92" s="876"/>
      <c r="O92" s="876"/>
      <c r="P92" s="876"/>
      <c r="Q92" s="876"/>
      <c r="R92" s="876"/>
      <c r="S92" s="876"/>
      <c r="T92" s="876"/>
      <c r="U92" s="876"/>
      <c r="V92" s="876"/>
      <c r="W92" s="876"/>
      <c r="X92" s="876"/>
      <c r="Y92" s="876"/>
      <c r="Z92" s="876"/>
      <c r="AA92" s="876"/>
      <c r="AB92" s="876"/>
      <c r="AC92" s="876"/>
      <c r="AD92" s="876"/>
    </row>
    <row r="93" spans="1:30" ht="15">
      <c r="A93" s="876"/>
      <c r="B93" s="1291" t="s">
        <v>1403</v>
      </c>
      <c r="C93" s="1293">
        <v>140</v>
      </c>
      <c r="D93" s="1266">
        <f t="shared" si="15"/>
        <v>140</v>
      </c>
      <c r="E93" s="876"/>
      <c r="F93" s="876"/>
      <c r="G93" s="876"/>
      <c r="H93" s="876"/>
      <c r="I93" s="876"/>
      <c r="J93" s="876"/>
      <c r="K93" s="876"/>
      <c r="L93" s="876"/>
      <c r="M93" s="876"/>
      <c r="N93" s="876"/>
      <c r="O93" s="876"/>
      <c r="P93" s="876"/>
      <c r="Q93" s="876"/>
      <c r="R93" s="876"/>
      <c r="S93" s="876"/>
      <c r="T93" s="876"/>
      <c r="U93" s="876"/>
      <c r="V93" s="876"/>
      <c r="W93" s="876"/>
      <c r="X93" s="876"/>
      <c r="Y93" s="876"/>
      <c r="Z93" s="876"/>
      <c r="AA93" s="876"/>
      <c r="AB93" s="876"/>
      <c r="AC93" s="876"/>
      <c r="AD93" s="876"/>
    </row>
    <row r="94" spans="1:30" ht="17">
      <c r="A94" s="876"/>
      <c r="B94" s="1291" t="s">
        <v>1443</v>
      </c>
      <c r="C94" s="1293">
        <v>0</v>
      </c>
      <c r="D94" s="1266">
        <f t="shared" si="15"/>
        <v>0</v>
      </c>
      <c r="E94" s="876"/>
      <c r="F94" s="876"/>
      <c r="G94" s="876"/>
      <c r="H94" s="876"/>
      <c r="I94" s="876"/>
      <c r="J94" s="876"/>
      <c r="K94" s="876"/>
      <c r="L94" s="876"/>
      <c r="M94" s="876"/>
      <c r="N94" s="876"/>
      <c r="O94" s="876"/>
      <c r="P94" s="876"/>
      <c r="Q94" s="876"/>
      <c r="R94" s="876"/>
      <c r="S94" s="876"/>
      <c r="T94" s="876"/>
      <c r="U94" s="876"/>
      <c r="V94" s="876"/>
      <c r="W94" s="876"/>
      <c r="X94" s="876"/>
      <c r="Y94" s="876"/>
      <c r="Z94" s="876"/>
      <c r="AA94" s="876"/>
      <c r="AB94" s="876"/>
      <c r="AC94" s="876"/>
      <c r="AD94" s="876"/>
    </row>
    <row r="95" spans="1:30" ht="15">
      <c r="A95" s="876"/>
      <c r="B95" s="1291" t="s">
        <v>1404</v>
      </c>
      <c r="C95" s="1293">
        <v>320</v>
      </c>
      <c r="D95" s="1254">
        <f t="shared" si="15"/>
        <v>320</v>
      </c>
      <c r="E95" s="876"/>
      <c r="F95" s="876"/>
      <c r="G95" s="876"/>
      <c r="H95" s="876"/>
      <c r="I95" s="876"/>
      <c r="J95" s="876"/>
      <c r="K95" s="876"/>
      <c r="L95" s="876"/>
      <c r="M95" s="876"/>
      <c r="N95" s="876"/>
      <c r="O95" s="876"/>
      <c r="P95" s="876"/>
      <c r="Q95" s="876"/>
      <c r="R95" s="876"/>
      <c r="S95" s="876"/>
      <c r="T95" s="876"/>
      <c r="U95" s="876"/>
      <c r="V95" s="876"/>
      <c r="W95" s="876"/>
      <c r="X95" s="876"/>
      <c r="Y95" s="876"/>
      <c r="Z95" s="876"/>
      <c r="AA95" s="876"/>
      <c r="AB95" s="876"/>
      <c r="AC95" s="876"/>
      <c r="AD95" s="876"/>
    </row>
    <row r="96" spans="1:30" ht="15">
      <c r="A96" s="876"/>
      <c r="B96" s="1291" t="s">
        <v>1405</v>
      </c>
      <c r="C96" s="1293">
        <v>130</v>
      </c>
      <c r="D96" s="1254">
        <f t="shared" si="15"/>
        <v>130</v>
      </c>
      <c r="E96" s="876"/>
      <c r="F96" s="876"/>
      <c r="G96" s="876"/>
      <c r="H96" s="876"/>
      <c r="I96" s="876"/>
      <c r="J96" s="876"/>
      <c r="K96" s="876"/>
      <c r="L96" s="876"/>
      <c r="M96" s="876"/>
      <c r="N96" s="876"/>
      <c r="O96" s="876"/>
      <c r="P96" s="876"/>
      <c r="Q96" s="876"/>
      <c r="R96" s="876"/>
      <c r="S96" s="876"/>
      <c r="T96" s="876"/>
      <c r="U96" s="876"/>
      <c r="V96" s="876"/>
      <c r="W96" s="876"/>
      <c r="X96" s="876"/>
      <c r="Y96" s="876"/>
      <c r="Z96" s="876"/>
      <c r="AA96" s="876"/>
      <c r="AB96" s="876"/>
      <c r="AC96" s="876"/>
      <c r="AD96" s="876"/>
    </row>
    <row r="97" spans="1:30" ht="15">
      <c r="A97" s="876"/>
      <c r="B97" s="1291" t="s">
        <v>1406</v>
      </c>
      <c r="C97" s="1292">
        <v>10010</v>
      </c>
      <c r="D97" s="1236">
        <f>+C97*0</f>
        <v>0</v>
      </c>
      <c r="E97" s="877" t="s">
        <v>1424</v>
      </c>
      <c r="F97" s="876"/>
      <c r="G97" s="876"/>
      <c r="H97" s="876"/>
      <c r="I97" s="876"/>
      <c r="J97" s="876"/>
      <c r="K97" s="876"/>
      <c r="L97" s="876"/>
      <c r="M97" s="876"/>
      <c r="N97" s="876"/>
      <c r="O97" s="876"/>
      <c r="P97" s="876"/>
      <c r="Q97" s="876"/>
      <c r="R97" s="876"/>
      <c r="S97" s="876"/>
      <c r="T97" s="876"/>
      <c r="U97" s="876"/>
      <c r="V97" s="876"/>
      <c r="W97" s="876"/>
      <c r="X97" s="876"/>
      <c r="Y97" s="876"/>
      <c r="Z97" s="876"/>
      <c r="AA97" s="876"/>
      <c r="AB97" s="876"/>
      <c r="AC97" s="876"/>
      <c r="AD97" s="876"/>
    </row>
    <row r="98" spans="1:30" ht="17">
      <c r="A98" s="876"/>
      <c r="B98" s="1291" t="s">
        <v>1444</v>
      </c>
      <c r="C98" s="1293">
        <v>290</v>
      </c>
      <c r="D98" s="1254">
        <f>+C98</f>
        <v>290</v>
      </c>
      <c r="E98" s="876"/>
      <c r="F98" s="876"/>
      <c r="G98" s="876"/>
      <c r="H98" s="876"/>
      <c r="I98" s="876"/>
      <c r="J98" s="876"/>
      <c r="K98" s="876"/>
      <c r="L98" s="876"/>
      <c r="M98" s="876"/>
      <c r="N98" s="876"/>
      <c r="O98" s="876"/>
      <c r="P98" s="876"/>
      <c r="Q98" s="876"/>
      <c r="R98" s="876"/>
      <c r="S98" s="876"/>
      <c r="T98" s="876"/>
      <c r="U98" s="876"/>
      <c r="V98" s="876"/>
      <c r="W98" s="876"/>
      <c r="X98" s="876"/>
      <c r="Y98" s="876"/>
      <c r="Z98" s="876"/>
      <c r="AA98" s="876"/>
      <c r="AB98" s="876"/>
      <c r="AC98" s="876"/>
      <c r="AD98" s="876"/>
    </row>
    <row r="99" spans="1:30" ht="16" thickBot="1">
      <c r="A99" s="876"/>
      <c r="B99" s="1297" t="s">
        <v>1407</v>
      </c>
      <c r="C99" s="1298">
        <v>70</v>
      </c>
      <c r="D99" s="1299">
        <f>+C99</f>
        <v>70</v>
      </c>
      <c r="E99" s="876"/>
      <c r="F99" s="876"/>
      <c r="G99" s="876"/>
      <c r="H99" s="876"/>
      <c r="I99" s="876"/>
      <c r="J99" s="876"/>
      <c r="K99" s="876"/>
      <c r="L99" s="876"/>
      <c r="M99" s="876"/>
      <c r="N99" s="876"/>
      <c r="O99" s="876"/>
      <c r="P99" s="876"/>
      <c r="Q99" s="876"/>
      <c r="R99" s="876"/>
      <c r="S99" s="876"/>
      <c r="T99" s="876"/>
      <c r="U99" s="876"/>
      <c r="V99" s="876"/>
      <c r="W99" s="876"/>
      <c r="X99" s="876"/>
      <c r="Y99" s="876"/>
      <c r="Z99" s="876"/>
      <c r="AA99" s="876"/>
      <c r="AB99" s="876"/>
      <c r="AC99" s="876"/>
      <c r="AD99" s="876"/>
    </row>
    <row r="100" spans="1:30" ht="16" thickTop="1">
      <c r="A100" s="876"/>
      <c r="B100" s="1294" t="s">
        <v>1445</v>
      </c>
      <c r="C100" s="1295"/>
      <c r="D100" s="1296">
        <f>+SUM(D91:D99)</f>
        <v>2640</v>
      </c>
      <c r="E100" s="876"/>
      <c r="F100" s="876"/>
      <c r="G100" s="876"/>
      <c r="H100" s="876"/>
      <c r="I100" s="876"/>
      <c r="J100" s="876"/>
      <c r="K100" s="876"/>
      <c r="L100" s="876"/>
      <c r="M100" s="876"/>
      <c r="N100" s="876"/>
      <c r="O100" s="876"/>
      <c r="P100" s="876"/>
      <c r="Q100" s="876"/>
      <c r="R100" s="876"/>
      <c r="S100" s="876"/>
      <c r="T100" s="876"/>
      <c r="U100" s="876"/>
      <c r="V100" s="876"/>
      <c r="W100" s="876"/>
      <c r="X100" s="876"/>
      <c r="Y100" s="876"/>
      <c r="Z100" s="876"/>
      <c r="AA100" s="876"/>
      <c r="AB100" s="876"/>
      <c r="AC100" s="876"/>
      <c r="AD100" s="876"/>
    </row>
    <row r="101" spans="1:30">
      <c r="A101" s="876"/>
      <c r="B101" s="876"/>
      <c r="C101" s="876"/>
      <c r="D101" s="876"/>
      <c r="E101" s="876"/>
      <c r="F101" s="876"/>
      <c r="G101" s="876"/>
      <c r="H101" s="876"/>
      <c r="I101" s="876"/>
      <c r="J101" s="876"/>
      <c r="K101" s="876"/>
      <c r="L101" s="876"/>
      <c r="M101" s="876"/>
      <c r="N101" s="876"/>
      <c r="O101" s="876"/>
      <c r="P101" s="876"/>
      <c r="Q101" s="876"/>
      <c r="R101" s="876"/>
      <c r="S101" s="876"/>
      <c r="T101" s="876"/>
      <c r="U101" s="876"/>
      <c r="V101" s="876"/>
      <c r="W101" s="876"/>
      <c r="X101" s="876"/>
      <c r="Y101" s="876"/>
      <c r="Z101" s="876"/>
      <c r="AA101" s="876"/>
      <c r="AB101" s="876"/>
      <c r="AC101" s="876"/>
      <c r="AD101" s="876"/>
    </row>
    <row r="102" spans="1:30" ht="14" thickBot="1">
      <c r="A102" s="876"/>
      <c r="B102" s="876"/>
      <c r="C102" s="876"/>
      <c r="D102" s="876"/>
      <c r="E102" s="876"/>
      <c r="F102" s="876"/>
      <c r="G102" s="876"/>
      <c r="H102" s="876"/>
      <c r="I102" s="876"/>
      <c r="J102" s="876"/>
      <c r="K102" s="876"/>
      <c r="L102" s="876"/>
      <c r="M102" s="876"/>
      <c r="N102" s="876"/>
      <c r="O102" s="876"/>
      <c r="P102" s="876"/>
      <c r="Q102" s="876"/>
      <c r="R102" s="876"/>
      <c r="S102" s="876"/>
      <c r="T102" s="876"/>
      <c r="U102" s="876"/>
      <c r="V102" s="876"/>
      <c r="W102" s="876"/>
      <c r="X102" s="876"/>
      <c r="Y102" s="876"/>
      <c r="Z102" s="876"/>
      <c r="AA102" s="876"/>
      <c r="AB102" s="876"/>
      <c r="AC102" s="876"/>
      <c r="AD102" s="876"/>
    </row>
    <row r="103" spans="1:30" ht="18" thickBot="1">
      <c r="A103" s="876"/>
      <c r="B103" s="1423" t="s">
        <v>128</v>
      </c>
      <c r="C103" s="1424" t="s">
        <v>1456</v>
      </c>
      <c r="D103" s="1424" t="s">
        <v>1457</v>
      </c>
      <c r="E103" s="876"/>
      <c r="F103" s="876"/>
      <c r="G103" s="876"/>
      <c r="H103" s="876"/>
      <c r="I103" s="876"/>
      <c r="J103" s="876"/>
      <c r="K103" s="876"/>
      <c r="L103" s="876"/>
      <c r="M103" s="876"/>
      <c r="N103" s="876"/>
      <c r="O103" s="876"/>
      <c r="P103" s="876"/>
      <c r="Q103" s="876"/>
      <c r="R103" s="876"/>
      <c r="S103" s="876"/>
      <c r="T103" s="876"/>
      <c r="U103" s="876"/>
      <c r="V103" s="876"/>
      <c r="W103" s="876"/>
      <c r="X103" s="876"/>
      <c r="Y103" s="876"/>
      <c r="Z103" s="876"/>
      <c r="AA103" s="876"/>
      <c r="AB103" s="876"/>
      <c r="AC103" s="876"/>
      <c r="AD103" s="876"/>
    </row>
    <row r="104" spans="1:30" ht="15" thickBot="1">
      <c r="A104" s="876"/>
      <c r="B104" s="1435" t="s">
        <v>1458</v>
      </c>
      <c r="C104" s="1436"/>
      <c r="D104" s="1437"/>
      <c r="E104" s="876"/>
      <c r="F104" s="876"/>
      <c r="G104" s="876"/>
      <c r="H104" s="876"/>
      <c r="I104" s="876"/>
      <c r="J104" s="876"/>
      <c r="K104" s="876"/>
      <c r="L104" s="876"/>
      <c r="M104" s="876"/>
      <c r="N104" s="876"/>
      <c r="O104" s="876"/>
      <c r="P104" s="876"/>
      <c r="Q104" s="876"/>
      <c r="R104" s="876"/>
      <c r="S104" s="876"/>
      <c r="T104" s="876"/>
      <c r="U104" s="876"/>
      <c r="V104" s="876"/>
      <c r="W104" s="876"/>
      <c r="X104" s="876"/>
      <c r="Y104" s="876"/>
      <c r="Z104" s="876"/>
      <c r="AA104" s="876"/>
      <c r="AB104" s="876"/>
      <c r="AC104" s="876"/>
      <c r="AD104" s="876"/>
    </row>
    <row r="105" spans="1:30" ht="16" thickBot="1">
      <c r="A105" s="876"/>
      <c r="B105" s="1425" t="s">
        <v>1459</v>
      </c>
      <c r="C105" s="1426">
        <v>2641</v>
      </c>
      <c r="D105" s="1426">
        <v>5</v>
      </c>
      <c r="E105" s="876"/>
      <c r="F105" s="876"/>
      <c r="G105" s="876"/>
      <c r="H105" s="876"/>
      <c r="I105" s="876"/>
      <c r="J105" s="876"/>
      <c r="K105" s="876"/>
      <c r="L105" s="876"/>
      <c r="M105" s="876"/>
      <c r="N105" s="876"/>
      <c r="O105" s="876"/>
      <c r="P105" s="876"/>
      <c r="Q105" s="876"/>
      <c r="R105" s="876"/>
      <c r="S105" s="876"/>
      <c r="T105" s="876"/>
      <c r="U105" s="876"/>
      <c r="V105" s="876"/>
      <c r="W105" s="876"/>
      <c r="X105" s="876"/>
      <c r="Y105" s="876"/>
      <c r="Z105" s="876"/>
      <c r="AA105" s="876"/>
      <c r="AB105" s="876"/>
      <c r="AC105" s="876"/>
      <c r="AD105" s="876"/>
    </row>
    <row r="106" spans="1:30" ht="16" thickBot="1">
      <c r="A106" s="876"/>
      <c r="B106" s="1425" t="s">
        <v>1460</v>
      </c>
      <c r="C106" s="1426">
        <v>282</v>
      </c>
      <c r="D106" s="1426">
        <v>1</v>
      </c>
      <c r="E106" s="876"/>
      <c r="F106" s="876"/>
      <c r="G106" s="876"/>
      <c r="H106" s="876"/>
      <c r="I106" s="876"/>
      <c r="J106" s="876"/>
      <c r="K106" s="876"/>
      <c r="L106" s="876"/>
      <c r="M106" s="876"/>
      <c r="N106" s="876"/>
      <c r="O106" s="876"/>
      <c r="P106" s="876"/>
      <c r="Q106" s="876"/>
      <c r="R106" s="876"/>
      <c r="S106" s="876"/>
      <c r="T106" s="876"/>
      <c r="U106" s="876"/>
      <c r="V106" s="876"/>
      <c r="W106" s="876"/>
      <c r="X106" s="876"/>
      <c r="Y106" s="876"/>
      <c r="Z106" s="876"/>
      <c r="AA106" s="876"/>
      <c r="AB106" s="876"/>
      <c r="AC106" s="876"/>
      <c r="AD106" s="876"/>
    </row>
    <row r="107" spans="1:30" ht="16" thickBot="1">
      <c r="A107" s="876"/>
      <c r="B107" s="1425" t="s">
        <v>1461</v>
      </c>
      <c r="C107" s="1426">
        <v>993</v>
      </c>
      <c r="D107" s="1426">
        <v>2</v>
      </c>
      <c r="E107" s="876"/>
      <c r="F107" s="876"/>
      <c r="G107" s="876"/>
      <c r="H107" s="876"/>
      <c r="I107" s="876"/>
      <c r="J107" s="876"/>
      <c r="K107" s="876"/>
      <c r="L107" s="876"/>
      <c r="M107" s="876"/>
      <c r="N107" s="876"/>
      <c r="O107" s="876"/>
      <c r="P107" s="876"/>
      <c r="Q107" s="876"/>
      <c r="R107" s="876"/>
      <c r="S107" s="876"/>
      <c r="T107" s="876"/>
      <c r="U107" s="876"/>
      <c r="V107" s="876"/>
      <c r="W107" s="876"/>
      <c r="X107" s="876"/>
      <c r="Y107" s="876"/>
      <c r="Z107" s="876"/>
      <c r="AA107" s="876"/>
      <c r="AB107" s="876"/>
      <c r="AC107" s="876"/>
      <c r="AD107" s="876"/>
    </row>
    <row r="108" spans="1:30" ht="16" thickBot="1">
      <c r="A108" s="876"/>
      <c r="B108" s="1425" t="s">
        <v>1462</v>
      </c>
      <c r="C108" s="1426">
        <v>2</v>
      </c>
      <c r="D108" s="1426">
        <v>0</v>
      </c>
      <c r="E108" s="876"/>
      <c r="F108" s="876"/>
      <c r="G108" s="876"/>
      <c r="H108" s="876"/>
      <c r="I108" s="876"/>
      <c r="J108" s="876"/>
      <c r="K108" s="876"/>
      <c r="L108" s="876"/>
      <c r="M108" s="876"/>
      <c r="N108" s="876"/>
      <c r="O108" s="876"/>
      <c r="P108" s="876"/>
      <c r="Q108" s="876"/>
      <c r="R108" s="876"/>
      <c r="S108" s="876"/>
      <c r="T108" s="876"/>
      <c r="U108" s="876"/>
      <c r="V108" s="876"/>
      <c r="W108" s="876"/>
      <c r="X108" s="876"/>
      <c r="Y108" s="876"/>
      <c r="Z108" s="876"/>
      <c r="AA108" s="876"/>
      <c r="AB108" s="876"/>
      <c r="AC108" s="876"/>
      <c r="AD108" s="876"/>
    </row>
    <row r="109" spans="1:30" ht="16" thickBot="1">
      <c r="A109" s="876"/>
      <c r="B109" s="1425" t="s">
        <v>1463</v>
      </c>
      <c r="C109" s="1426">
        <v>2838</v>
      </c>
      <c r="D109" s="1426">
        <v>6</v>
      </c>
      <c r="E109" s="876"/>
      <c r="F109" s="876"/>
      <c r="G109" s="876"/>
      <c r="H109" s="876"/>
      <c r="I109" s="876"/>
      <c r="J109" s="876"/>
      <c r="K109" s="876"/>
      <c r="L109" s="876"/>
      <c r="M109" s="876"/>
      <c r="N109" s="876"/>
      <c r="O109" s="876"/>
      <c r="P109" s="876"/>
      <c r="Q109" s="876"/>
      <c r="R109" s="876"/>
      <c r="S109" s="876"/>
      <c r="T109" s="876"/>
      <c r="U109" s="876"/>
      <c r="V109" s="876"/>
      <c r="W109" s="876"/>
      <c r="X109" s="876"/>
      <c r="Y109" s="876"/>
      <c r="Z109" s="876"/>
      <c r="AA109" s="876"/>
      <c r="AB109" s="876"/>
      <c r="AC109" s="876"/>
      <c r="AD109" s="876"/>
    </row>
    <row r="110" spans="1:30" ht="16" thickBot="1">
      <c r="A110" s="876"/>
      <c r="B110" s="1425" t="s">
        <v>1464</v>
      </c>
      <c r="C110" s="1426">
        <v>5352</v>
      </c>
      <c r="D110" s="1426">
        <v>11</v>
      </c>
      <c r="E110" s="876"/>
      <c r="F110" s="876"/>
      <c r="G110" s="876"/>
      <c r="H110" s="876"/>
      <c r="I110" s="876"/>
      <c r="J110" s="876"/>
      <c r="K110" s="876"/>
      <c r="L110" s="876"/>
      <c r="M110" s="876"/>
      <c r="N110" s="876"/>
      <c r="O110" s="876"/>
      <c r="P110" s="876"/>
      <c r="Q110" s="876"/>
      <c r="R110" s="876"/>
      <c r="S110" s="876"/>
      <c r="T110" s="876"/>
      <c r="U110" s="876"/>
      <c r="V110" s="876"/>
      <c r="W110" s="876"/>
      <c r="X110" s="876"/>
      <c r="Y110" s="876"/>
      <c r="Z110" s="876"/>
      <c r="AA110" s="876"/>
      <c r="AB110" s="876"/>
      <c r="AC110" s="876"/>
      <c r="AD110" s="876"/>
    </row>
    <row r="111" spans="1:30" ht="16" thickBot="1">
      <c r="A111" s="876"/>
      <c r="B111" s="1427" t="s">
        <v>58</v>
      </c>
      <c r="C111" s="1428">
        <v>12107</v>
      </c>
      <c r="D111" s="1428">
        <v>25</v>
      </c>
      <c r="E111" s="876"/>
      <c r="F111" s="876"/>
      <c r="G111" s="876"/>
      <c r="H111" s="876"/>
      <c r="I111" s="876"/>
      <c r="J111" s="876"/>
      <c r="K111" s="876"/>
      <c r="L111" s="876"/>
      <c r="M111" s="876"/>
      <c r="N111" s="876"/>
      <c r="O111" s="876"/>
      <c r="P111" s="876"/>
      <c r="Q111" s="876"/>
      <c r="R111" s="876"/>
      <c r="S111" s="876"/>
      <c r="T111" s="876"/>
      <c r="U111" s="876"/>
      <c r="V111" s="876"/>
      <c r="W111" s="876"/>
      <c r="X111" s="876"/>
      <c r="Y111" s="876"/>
      <c r="Z111" s="876"/>
      <c r="AA111" s="876"/>
      <c r="AB111" s="876"/>
      <c r="AC111" s="876"/>
      <c r="AD111" s="876"/>
    </row>
    <row r="112" spans="1:30" ht="15" thickBot="1">
      <c r="A112" s="876"/>
      <c r="B112" s="1435" t="s">
        <v>1465</v>
      </c>
      <c r="C112" s="1436"/>
      <c r="D112" s="1437"/>
      <c r="E112" s="876"/>
      <c r="F112" s="876"/>
      <c r="G112" s="876"/>
      <c r="H112" s="876"/>
      <c r="I112" s="876"/>
      <c r="J112" s="876"/>
      <c r="K112" s="876"/>
      <c r="L112" s="876"/>
      <c r="M112" s="876"/>
      <c r="N112" s="876"/>
      <c r="O112" s="876"/>
      <c r="P112" s="876"/>
      <c r="Q112" s="876"/>
      <c r="R112" s="876"/>
      <c r="S112" s="876"/>
      <c r="T112" s="876"/>
      <c r="U112" s="876"/>
      <c r="V112" s="876"/>
      <c r="W112" s="876"/>
      <c r="X112" s="876"/>
      <c r="Y112" s="876"/>
      <c r="Z112" s="876"/>
      <c r="AA112" s="876"/>
      <c r="AB112" s="876"/>
      <c r="AC112" s="876"/>
      <c r="AD112" s="876"/>
    </row>
    <row r="113" spans="1:30" ht="31" thickBot="1">
      <c r="A113" s="876"/>
      <c r="B113" s="1425" t="s">
        <v>1466</v>
      </c>
      <c r="C113" s="1426">
        <v>540</v>
      </c>
      <c r="D113" s="1426">
        <v>1</v>
      </c>
      <c r="E113" s="876"/>
      <c r="F113" s="876"/>
      <c r="G113" s="876"/>
      <c r="H113" s="876"/>
      <c r="I113" s="876"/>
      <c r="J113" s="876"/>
      <c r="K113" s="876"/>
      <c r="L113" s="876"/>
      <c r="M113" s="876"/>
      <c r="N113" s="876"/>
      <c r="O113" s="876"/>
      <c r="P113" s="876"/>
      <c r="Q113" s="876"/>
      <c r="R113" s="876"/>
      <c r="S113" s="876"/>
      <c r="T113" s="876"/>
      <c r="U113" s="876"/>
      <c r="V113" s="876"/>
      <c r="W113" s="876"/>
      <c r="X113" s="876"/>
      <c r="Y113" s="876"/>
      <c r="Z113" s="876"/>
      <c r="AA113" s="876"/>
      <c r="AB113" s="876"/>
      <c r="AC113" s="876"/>
      <c r="AD113" s="876"/>
    </row>
    <row r="114" spans="1:30" ht="16" thickBot="1">
      <c r="A114" s="876"/>
      <c r="B114" s="1425" t="s">
        <v>1467</v>
      </c>
      <c r="C114" s="1426">
        <v>1338</v>
      </c>
      <c r="D114" s="1426">
        <v>3</v>
      </c>
      <c r="E114" s="876"/>
      <c r="F114" s="876"/>
      <c r="G114" s="876"/>
      <c r="H114" s="876"/>
      <c r="I114" s="876"/>
      <c r="J114" s="876"/>
      <c r="K114" s="876"/>
      <c r="L114" s="876"/>
      <c r="M114" s="876"/>
      <c r="N114" s="876"/>
      <c r="O114" s="876"/>
      <c r="P114" s="876"/>
      <c r="Q114" s="876"/>
      <c r="R114" s="876"/>
      <c r="S114" s="876"/>
      <c r="T114" s="876"/>
      <c r="U114" s="876"/>
      <c r="V114" s="876"/>
      <c r="W114" s="876"/>
      <c r="X114" s="876"/>
      <c r="Y114" s="876"/>
      <c r="Z114" s="876"/>
      <c r="AA114" s="876"/>
      <c r="AB114" s="876"/>
      <c r="AC114" s="876"/>
      <c r="AD114" s="876"/>
    </row>
    <row r="115" spans="1:30" ht="16" thickBot="1">
      <c r="A115" s="876"/>
      <c r="B115" s="1427" t="s">
        <v>58</v>
      </c>
      <c r="C115" s="1428">
        <v>1878</v>
      </c>
      <c r="D115" s="1428">
        <v>4</v>
      </c>
      <c r="E115" s="876"/>
      <c r="F115" s="876"/>
      <c r="G115" s="876"/>
      <c r="H115" s="876"/>
      <c r="I115" s="876"/>
      <c r="J115" s="876"/>
      <c r="K115" s="876"/>
      <c r="L115" s="876"/>
      <c r="M115" s="876"/>
      <c r="N115" s="876"/>
      <c r="O115" s="876"/>
      <c r="P115" s="876"/>
      <c r="Q115" s="876"/>
      <c r="R115" s="876"/>
      <c r="S115" s="876"/>
      <c r="T115" s="876"/>
      <c r="U115" s="876"/>
      <c r="V115" s="876"/>
      <c r="W115" s="876"/>
      <c r="X115" s="876"/>
      <c r="Y115" s="876"/>
      <c r="Z115" s="876"/>
      <c r="AA115" s="876"/>
      <c r="AB115" s="876"/>
      <c r="AC115" s="876"/>
      <c r="AD115" s="876"/>
    </row>
    <row r="116" spans="1:30" ht="15" thickBot="1">
      <c r="A116" s="876"/>
      <c r="B116" s="1435" t="s">
        <v>1468</v>
      </c>
      <c r="C116" s="1436"/>
      <c r="D116" s="1437"/>
      <c r="E116" s="876"/>
      <c r="F116" s="876"/>
      <c r="G116" s="876"/>
      <c r="H116" s="876"/>
      <c r="I116" s="876"/>
      <c r="J116" s="876"/>
      <c r="K116" s="876"/>
      <c r="L116" s="876"/>
      <c r="M116" s="876"/>
      <c r="N116" s="876"/>
      <c r="O116" s="876"/>
      <c r="P116" s="876"/>
      <c r="Q116" s="876"/>
      <c r="R116" s="876"/>
      <c r="S116" s="876"/>
      <c r="T116" s="876"/>
      <c r="U116" s="876"/>
      <c r="V116" s="876"/>
      <c r="W116" s="876"/>
      <c r="X116" s="876"/>
      <c r="Y116" s="876"/>
      <c r="Z116" s="876"/>
      <c r="AA116" s="876"/>
      <c r="AB116" s="876"/>
      <c r="AC116" s="876"/>
      <c r="AD116" s="876"/>
    </row>
    <row r="117" spans="1:30" ht="16" thickBot="1">
      <c r="A117" s="876"/>
      <c r="B117" s="1425" t="s">
        <v>1469</v>
      </c>
      <c r="C117" s="1426">
        <v>15295</v>
      </c>
      <c r="D117" s="1426">
        <v>32</v>
      </c>
      <c r="E117" s="876"/>
      <c r="F117" s="876"/>
      <c r="G117" s="876"/>
      <c r="H117" s="876"/>
      <c r="I117" s="876"/>
      <c r="J117" s="876"/>
      <c r="K117" s="876"/>
      <c r="L117" s="876"/>
      <c r="M117" s="876"/>
      <c r="N117" s="876"/>
      <c r="O117" s="876"/>
      <c r="P117" s="876"/>
      <c r="Q117" s="876"/>
      <c r="R117" s="876"/>
      <c r="S117" s="876"/>
      <c r="T117" s="876"/>
      <c r="U117" s="876"/>
      <c r="V117" s="876"/>
      <c r="W117" s="876"/>
      <c r="X117" s="876"/>
      <c r="Y117" s="876"/>
      <c r="Z117" s="876"/>
      <c r="AA117" s="876"/>
      <c r="AB117" s="876"/>
      <c r="AC117" s="876"/>
      <c r="AD117" s="876"/>
    </row>
    <row r="118" spans="1:30" ht="16" thickBot="1">
      <c r="A118" s="876"/>
      <c r="B118" s="1425" t="s">
        <v>1470</v>
      </c>
      <c r="C118" s="1426">
        <v>300</v>
      </c>
      <c r="D118" s="1426">
        <v>1</v>
      </c>
      <c r="E118" s="876"/>
      <c r="F118" s="876"/>
      <c r="G118" s="876"/>
      <c r="H118" s="876"/>
      <c r="I118" s="876"/>
      <c r="J118" s="876"/>
      <c r="K118" s="876"/>
      <c r="L118" s="876"/>
      <c r="M118" s="876"/>
      <c r="N118" s="876"/>
      <c r="O118" s="876"/>
      <c r="P118" s="876"/>
      <c r="Q118" s="876"/>
      <c r="R118" s="876"/>
      <c r="S118" s="876"/>
      <c r="T118" s="876"/>
      <c r="U118" s="876"/>
      <c r="V118" s="876"/>
      <c r="W118" s="876"/>
      <c r="X118" s="876"/>
      <c r="Y118" s="876"/>
      <c r="Z118" s="876"/>
      <c r="AA118" s="876"/>
      <c r="AB118" s="876"/>
      <c r="AC118" s="876"/>
      <c r="AD118" s="876"/>
    </row>
    <row r="119" spans="1:30" ht="16" thickBot="1">
      <c r="A119" s="876"/>
      <c r="B119" s="1425" t="s">
        <v>1471</v>
      </c>
      <c r="C119" s="1426">
        <v>40137</v>
      </c>
      <c r="D119" s="1426">
        <v>83</v>
      </c>
      <c r="E119" s="876"/>
      <c r="F119" s="876"/>
      <c r="G119" s="876"/>
      <c r="H119" s="876"/>
      <c r="I119" s="876"/>
      <c r="J119" s="876"/>
      <c r="K119" s="876"/>
      <c r="L119" s="876"/>
      <c r="M119" s="876"/>
      <c r="N119" s="876"/>
      <c r="O119" s="876"/>
      <c r="P119" s="876"/>
      <c r="Q119" s="876"/>
      <c r="R119" s="876"/>
      <c r="S119" s="876"/>
      <c r="T119" s="876"/>
      <c r="U119" s="876"/>
      <c r="V119" s="876"/>
      <c r="W119" s="876"/>
      <c r="X119" s="876"/>
      <c r="Y119" s="876"/>
      <c r="Z119" s="876"/>
      <c r="AA119" s="876"/>
      <c r="AB119" s="876"/>
      <c r="AC119" s="876"/>
      <c r="AD119" s="876"/>
    </row>
    <row r="120" spans="1:30" ht="16" thickBot="1">
      <c r="A120" s="876"/>
      <c r="B120" s="1425" t="s">
        <v>1472</v>
      </c>
      <c r="C120" s="1426">
        <v>7225</v>
      </c>
      <c r="D120" s="1426">
        <v>15</v>
      </c>
      <c r="E120" s="876"/>
      <c r="F120" s="876"/>
      <c r="G120" s="876"/>
      <c r="H120" s="876"/>
      <c r="I120" s="876"/>
      <c r="J120" s="876"/>
      <c r="K120" s="876"/>
      <c r="L120" s="876"/>
      <c r="M120" s="876"/>
      <c r="N120" s="876"/>
      <c r="O120" s="876"/>
      <c r="P120" s="876"/>
      <c r="Q120" s="876"/>
      <c r="R120" s="876"/>
      <c r="S120" s="876"/>
      <c r="T120" s="876"/>
      <c r="U120" s="876"/>
      <c r="V120" s="876"/>
      <c r="W120" s="876"/>
      <c r="X120" s="876"/>
      <c r="Y120" s="876"/>
      <c r="Z120" s="876"/>
      <c r="AA120" s="876"/>
      <c r="AB120" s="876"/>
      <c r="AC120" s="876"/>
      <c r="AD120" s="876"/>
    </row>
    <row r="121" spans="1:30" ht="16" thickBot="1">
      <c r="A121" s="876"/>
      <c r="B121" s="1427" t="s">
        <v>1473</v>
      </c>
      <c r="C121" s="1428">
        <v>344520</v>
      </c>
      <c r="D121" s="1428">
        <v>713</v>
      </c>
      <c r="E121" s="876"/>
      <c r="F121" s="876"/>
      <c r="G121" s="876"/>
      <c r="H121" s="876"/>
      <c r="I121" s="876"/>
      <c r="J121" s="876"/>
      <c r="K121" s="876"/>
      <c r="L121" s="876"/>
      <c r="M121" s="876"/>
      <c r="N121" s="876"/>
      <c r="O121" s="876"/>
      <c r="P121" s="876"/>
      <c r="Q121" s="876"/>
      <c r="R121" s="876"/>
      <c r="S121" s="876"/>
      <c r="T121" s="876"/>
      <c r="U121" s="876"/>
      <c r="V121" s="876"/>
      <c r="W121" s="876"/>
      <c r="X121" s="876"/>
      <c r="Y121" s="876"/>
      <c r="Z121" s="876"/>
      <c r="AA121" s="876"/>
      <c r="AB121" s="876"/>
      <c r="AC121" s="876"/>
      <c r="AD121" s="876"/>
    </row>
    <row r="122" spans="1:30" ht="16" thickBot="1">
      <c r="A122" s="876"/>
      <c r="B122" s="1425" t="s">
        <v>1474</v>
      </c>
      <c r="C122" s="1429">
        <v>1.07</v>
      </c>
      <c r="D122" s="1429"/>
      <c r="E122" s="876"/>
      <c r="F122" s="876"/>
      <c r="G122" s="876"/>
      <c r="H122" s="876"/>
      <c r="I122" s="876"/>
      <c r="J122" s="876"/>
      <c r="K122" s="876"/>
      <c r="L122" s="876"/>
      <c r="M122" s="876"/>
      <c r="N122" s="876"/>
      <c r="O122" s="876"/>
      <c r="P122" s="876"/>
      <c r="Q122" s="876"/>
      <c r="R122" s="876"/>
      <c r="S122" s="876"/>
      <c r="T122" s="876"/>
      <c r="U122" s="876"/>
      <c r="V122" s="876"/>
      <c r="W122" s="876"/>
      <c r="X122" s="876"/>
      <c r="Y122" s="876"/>
      <c r="Z122" s="876"/>
      <c r="AA122" s="876"/>
      <c r="AB122" s="876"/>
      <c r="AC122" s="876"/>
      <c r="AD122" s="876"/>
    </row>
    <row r="123" spans="1:30" ht="16" thickBot="1">
      <c r="A123" s="876"/>
      <c r="B123" s="1427" t="s">
        <v>1475</v>
      </c>
      <c r="C123" s="1428">
        <v>368568</v>
      </c>
      <c r="D123" s="1428">
        <v>763</v>
      </c>
      <c r="E123" s="876"/>
      <c r="F123" s="876"/>
      <c r="G123" s="876"/>
      <c r="H123" s="876"/>
      <c r="I123" s="876"/>
      <c r="J123" s="876"/>
      <c r="K123" s="876"/>
      <c r="L123" s="876"/>
      <c r="M123" s="876"/>
      <c r="N123" s="876"/>
      <c r="O123" s="876"/>
      <c r="P123" s="876"/>
      <c r="Q123" s="876"/>
      <c r="R123" s="876"/>
      <c r="S123" s="876"/>
      <c r="T123" s="876"/>
      <c r="U123" s="876"/>
      <c r="V123" s="876"/>
      <c r="W123" s="876"/>
      <c r="X123" s="876"/>
      <c r="Y123" s="876"/>
      <c r="Z123" s="876"/>
      <c r="AA123" s="876"/>
      <c r="AB123" s="876"/>
      <c r="AC123" s="876"/>
      <c r="AD123" s="876"/>
    </row>
    <row r="124" spans="1:30">
      <c r="A124" s="876"/>
      <c r="B124" s="876"/>
      <c r="C124" s="876"/>
      <c r="D124" s="876"/>
      <c r="E124" s="876"/>
      <c r="F124" s="876"/>
      <c r="G124" s="876"/>
      <c r="H124" s="876"/>
      <c r="I124" s="876"/>
      <c r="J124" s="876"/>
      <c r="K124" s="876"/>
      <c r="L124" s="876"/>
      <c r="M124" s="876"/>
      <c r="N124" s="876"/>
      <c r="O124" s="876"/>
      <c r="P124" s="876"/>
      <c r="Q124" s="876"/>
      <c r="R124" s="876"/>
      <c r="S124" s="876"/>
      <c r="T124" s="876"/>
      <c r="U124" s="876"/>
      <c r="V124" s="876"/>
      <c r="W124" s="876"/>
      <c r="X124" s="876"/>
      <c r="Y124" s="876"/>
      <c r="Z124" s="876"/>
      <c r="AA124" s="876"/>
      <c r="AB124" s="876"/>
      <c r="AC124" s="876"/>
      <c r="AD124" s="876"/>
    </row>
    <row r="125" spans="1:30">
      <c r="A125" s="876"/>
      <c r="B125" s="876"/>
      <c r="C125" s="876"/>
      <c r="D125" s="876"/>
      <c r="E125" s="876"/>
      <c r="F125" s="876"/>
      <c r="G125" s="876"/>
      <c r="H125" s="876"/>
      <c r="I125" s="876"/>
      <c r="J125" s="876"/>
      <c r="K125" s="876"/>
      <c r="L125" s="876"/>
      <c r="M125" s="876"/>
      <c r="N125" s="876"/>
      <c r="O125" s="876"/>
      <c r="P125" s="876"/>
      <c r="Q125" s="876"/>
      <c r="R125" s="876"/>
      <c r="S125" s="876"/>
      <c r="T125" s="876"/>
      <c r="U125" s="876"/>
      <c r="V125" s="876"/>
      <c r="W125" s="876"/>
      <c r="X125" s="876"/>
      <c r="Y125" s="876"/>
      <c r="Z125" s="876"/>
      <c r="AA125" s="876"/>
      <c r="AB125" s="876"/>
      <c r="AC125" s="876"/>
      <c r="AD125" s="876"/>
    </row>
    <row r="126" spans="1:30">
      <c r="A126" s="876"/>
      <c r="B126" s="876"/>
      <c r="C126" s="876"/>
      <c r="D126" s="876"/>
      <c r="E126" s="876"/>
      <c r="F126" s="876"/>
      <c r="G126" s="876"/>
      <c r="H126" s="876"/>
      <c r="I126" s="876"/>
      <c r="J126" s="876"/>
      <c r="K126" s="876"/>
      <c r="L126" s="876"/>
      <c r="M126" s="876"/>
      <c r="N126" s="876"/>
      <c r="O126" s="876"/>
      <c r="P126" s="876"/>
      <c r="Q126" s="876"/>
      <c r="R126" s="876"/>
      <c r="S126" s="876"/>
      <c r="T126" s="876"/>
      <c r="U126" s="876"/>
      <c r="V126" s="876"/>
      <c r="W126" s="876"/>
      <c r="X126" s="876"/>
      <c r="Y126" s="876"/>
      <c r="Z126" s="876"/>
      <c r="AA126" s="876"/>
      <c r="AB126" s="876"/>
      <c r="AC126" s="876"/>
      <c r="AD126" s="876"/>
    </row>
    <row r="127" spans="1:30">
      <c r="A127" s="876"/>
      <c r="B127" s="876"/>
      <c r="C127" s="876"/>
      <c r="D127" s="876"/>
      <c r="E127" s="876"/>
      <c r="F127" s="876"/>
      <c r="G127" s="876"/>
      <c r="H127" s="876"/>
      <c r="I127" s="876"/>
      <c r="J127" s="876"/>
      <c r="K127" s="876"/>
      <c r="L127" s="876"/>
      <c r="M127" s="876"/>
      <c r="N127" s="876"/>
      <c r="O127" s="876"/>
      <c r="P127" s="876"/>
      <c r="Q127" s="876"/>
      <c r="R127" s="876"/>
      <c r="S127" s="876"/>
      <c r="T127" s="876"/>
      <c r="U127" s="876"/>
      <c r="V127" s="876"/>
      <c r="W127" s="876"/>
      <c r="X127" s="876"/>
      <c r="Y127" s="876"/>
      <c r="Z127" s="876"/>
      <c r="AA127" s="876"/>
      <c r="AB127" s="876"/>
      <c r="AC127" s="876"/>
      <c r="AD127" s="876"/>
    </row>
    <row r="128" spans="1:30">
      <c r="A128" s="876"/>
      <c r="B128" s="876"/>
      <c r="C128" s="876"/>
      <c r="D128" s="876"/>
      <c r="E128" s="876"/>
      <c r="F128" s="876"/>
      <c r="G128" s="876"/>
      <c r="H128" s="876"/>
      <c r="I128" s="876"/>
      <c r="J128" s="876"/>
      <c r="K128" s="876"/>
      <c r="L128" s="876"/>
      <c r="M128" s="876"/>
      <c r="N128" s="876"/>
      <c r="O128" s="876"/>
      <c r="P128" s="876"/>
      <c r="Q128" s="876"/>
      <c r="R128" s="876"/>
      <c r="S128" s="876"/>
      <c r="T128" s="876"/>
      <c r="U128" s="876"/>
      <c r="V128" s="876"/>
      <c r="W128" s="876"/>
      <c r="X128" s="876"/>
      <c r="Y128" s="876"/>
      <c r="Z128" s="876"/>
      <c r="AA128" s="876"/>
      <c r="AB128" s="876"/>
      <c r="AC128" s="876"/>
      <c r="AD128" s="876"/>
    </row>
    <row r="129" spans="1:30">
      <c r="A129" s="876"/>
      <c r="B129" s="876"/>
      <c r="C129" s="876"/>
      <c r="D129" s="876"/>
      <c r="E129" s="876"/>
      <c r="F129" s="876"/>
      <c r="G129" s="876"/>
      <c r="H129" s="876"/>
      <c r="I129" s="876"/>
      <c r="J129" s="876"/>
      <c r="K129" s="876"/>
      <c r="L129" s="876"/>
      <c r="M129" s="876"/>
      <c r="N129" s="876"/>
      <c r="O129" s="876"/>
      <c r="P129" s="876"/>
      <c r="Q129" s="876"/>
      <c r="R129" s="876"/>
      <c r="S129" s="876"/>
      <c r="T129" s="876"/>
      <c r="U129" s="876"/>
      <c r="V129" s="876"/>
      <c r="W129" s="876"/>
      <c r="X129" s="876"/>
      <c r="Y129" s="876"/>
      <c r="Z129" s="876"/>
      <c r="AA129" s="876"/>
      <c r="AB129" s="876"/>
      <c r="AC129" s="876"/>
      <c r="AD129" s="876"/>
    </row>
    <row r="130" spans="1:30">
      <c r="A130" s="876"/>
      <c r="B130" s="876"/>
      <c r="C130" s="876"/>
      <c r="D130" s="876"/>
      <c r="E130" s="876"/>
      <c r="F130" s="876"/>
      <c r="G130" s="876"/>
      <c r="H130" s="876"/>
      <c r="I130" s="876"/>
      <c r="J130" s="876"/>
      <c r="K130" s="876"/>
      <c r="L130" s="876"/>
      <c r="M130" s="876"/>
      <c r="N130" s="876"/>
      <c r="O130" s="876"/>
      <c r="P130" s="876"/>
      <c r="Q130" s="876"/>
      <c r="R130" s="876"/>
      <c r="S130" s="876"/>
      <c r="T130" s="876"/>
      <c r="U130" s="876"/>
      <c r="V130" s="876"/>
      <c r="W130" s="876"/>
      <c r="X130" s="876"/>
      <c r="Y130" s="876"/>
      <c r="Z130" s="876"/>
      <c r="AA130" s="876"/>
      <c r="AB130" s="876"/>
      <c r="AC130" s="876"/>
      <c r="AD130" s="876"/>
    </row>
    <row r="131" spans="1:30">
      <c r="A131" s="876"/>
      <c r="B131" s="876"/>
      <c r="C131" s="876"/>
      <c r="D131" s="876"/>
      <c r="E131" s="876"/>
      <c r="F131" s="876"/>
      <c r="G131" s="876"/>
      <c r="H131" s="876"/>
      <c r="I131" s="876"/>
      <c r="J131" s="876"/>
      <c r="K131" s="876"/>
      <c r="L131" s="876"/>
      <c r="M131" s="876"/>
      <c r="N131" s="876"/>
      <c r="O131" s="876"/>
      <c r="P131" s="876"/>
      <c r="Q131" s="876"/>
      <c r="R131" s="876"/>
      <c r="S131" s="876"/>
      <c r="T131" s="876"/>
      <c r="U131" s="876"/>
      <c r="V131" s="876"/>
      <c r="W131" s="876"/>
      <c r="X131" s="876"/>
      <c r="Y131" s="876"/>
      <c r="Z131" s="876"/>
      <c r="AA131" s="876"/>
      <c r="AB131" s="876"/>
      <c r="AC131" s="876"/>
      <c r="AD131" s="876"/>
    </row>
    <row r="132" spans="1:30">
      <c r="A132" s="876"/>
      <c r="B132" s="876"/>
      <c r="C132" s="876"/>
      <c r="D132" s="876"/>
      <c r="E132" s="876"/>
      <c r="F132" s="876"/>
      <c r="G132" s="876"/>
      <c r="H132" s="876"/>
      <c r="I132" s="876"/>
      <c r="J132" s="876"/>
      <c r="K132" s="876"/>
      <c r="L132" s="876"/>
      <c r="M132" s="876"/>
      <c r="N132" s="876"/>
      <c r="O132" s="876"/>
      <c r="P132" s="876"/>
      <c r="Q132" s="876"/>
      <c r="R132" s="876"/>
      <c r="S132" s="876"/>
      <c r="T132" s="876"/>
      <c r="U132" s="876"/>
      <c r="V132" s="876"/>
      <c r="W132" s="876"/>
      <c r="X132" s="876"/>
      <c r="Y132" s="876"/>
      <c r="Z132" s="876"/>
      <c r="AA132" s="876"/>
      <c r="AB132" s="876"/>
      <c r="AC132" s="876"/>
      <c r="AD132" s="876"/>
    </row>
    <row r="133" spans="1:30">
      <c r="A133" s="876"/>
      <c r="B133" s="876"/>
      <c r="C133" s="876"/>
      <c r="D133" s="876"/>
      <c r="E133" s="876"/>
      <c r="F133" s="876"/>
      <c r="G133" s="876"/>
      <c r="H133" s="876"/>
      <c r="I133" s="876"/>
      <c r="J133" s="876"/>
      <c r="K133" s="876"/>
      <c r="L133" s="876"/>
      <c r="M133" s="876"/>
      <c r="N133" s="876"/>
      <c r="O133" s="876"/>
      <c r="P133" s="876"/>
      <c r="Q133" s="876"/>
      <c r="R133" s="876"/>
      <c r="S133" s="876"/>
      <c r="T133" s="876"/>
      <c r="U133" s="876"/>
      <c r="V133" s="876"/>
      <c r="W133" s="876"/>
      <c r="X133" s="876"/>
      <c r="Y133" s="876"/>
      <c r="Z133" s="876"/>
      <c r="AA133" s="876"/>
      <c r="AB133" s="876"/>
      <c r="AC133" s="876"/>
      <c r="AD133" s="876"/>
    </row>
    <row r="134" spans="1:30">
      <c r="A134" s="876"/>
      <c r="B134" s="876"/>
      <c r="C134" s="876"/>
      <c r="D134" s="876"/>
      <c r="E134" s="876"/>
      <c r="F134" s="876"/>
      <c r="G134" s="876"/>
      <c r="H134" s="876"/>
      <c r="I134" s="876"/>
      <c r="J134" s="876"/>
      <c r="K134" s="876"/>
      <c r="L134" s="876"/>
      <c r="M134" s="876"/>
      <c r="N134" s="876"/>
      <c r="O134" s="876"/>
      <c r="P134" s="876"/>
      <c r="Q134" s="876"/>
      <c r="R134" s="876"/>
      <c r="S134" s="876"/>
      <c r="T134" s="876"/>
      <c r="U134" s="876"/>
      <c r="V134" s="876"/>
      <c r="W134" s="876"/>
      <c r="X134" s="876"/>
      <c r="Y134" s="876"/>
      <c r="Z134" s="876"/>
      <c r="AA134" s="876"/>
      <c r="AB134" s="876"/>
      <c r="AC134" s="876"/>
      <c r="AD134" s="876"/>
    </row>
    <row r="135" spans="1:30">
      <c r="A135" s="876"/>
      <c r="B135" s="876"/>
      <c r="C135" s="876"/>
      <c r="D135" s="876"/>
      <c r="E135" s="876"/>
      <c r="F135" s="876"/>
      <c r="G135" s="876"/>
      <c r="H135" s="876"/>
      <c r="I135" s="876"/>
      <c r="J135" s="876"/>
      <c r="K135" s="876"/>
      <c r="L135" s="876"/>
      <c r="M135" s="876"/>
      <c r="N135" s="876"/>
      <c r="O135" s="876"/>
      <c r="P135" s="876"/>
      <c r="Q135" s="876"/>
      <c r="R135" s="876"/>
      <c r="S135" s="876"/>
      <c r="T135" s="876"/>
      <c r="U135" s="876"/>
      <c r="V135" s="876"/>
      <c r="W135" s="876"/>
      <c r="X135" s="876"/>
      <c r="Y135" s="876"/>
      <c r="Z135" s="876"/>
      <c r="AA135" s="876"/>
      <c r="AB135" s="876"/>
      <c r="AC135" s="876"/>
      <c r="AD135" s="876"/>
    </row>
    <row r="136" spans="1:30">
      <c r="A136" s="876"/>
      <c r="B136" s="876"/>
      <c r="C136" s="876"/>
      <c r="D136" s="876"/>
      <c r="E136" s="876"/>
      <c r="F136" s="876"/>
      <c r="G136" s="876"/>
      <c r="H136" s="876"/>
      <c r="I136" s="876"/>
      <c r="J136" s="876"/>
      <c r="K136" s="876"/>
      <c r="L136" s="876"/>
      <c r="M136" s="876"/>
      <c r="N136" s="876"/>
      <c r="O136" s="876"/>
      <c r="P136" s="876"/>
      <c r="Q136" s="876"/>
      <c r="R136" s="876"/>
      <c r="S136" s="876"/>
      <c r="T136" s="876"/>
      <c r="U136" s="876"/>
      <c r="V136" s="876"/>
      <c r="W136" s="876"/>
      <c r="X136" s="876"/>
      <c r="Y136" s="876"/>
      <c r="Z136" s="876"/>
      <c r="AA136" s="876"/>
      <c r="AB136" s="876"/>
      <c r="AC136" s="876"/>
      <c r="AD136" s="876"/>
    </row>
    <row r="137" spans="1:30">
      <c r="A137" s="876"/>
      <c r="B137" s="876"/>
      <c r="C137" s="876"/>
      <c r="D137" s="876"/>
      <c r="E137" s="876"/>
      <c r="F137" s="876"/>
      <c r="G137" s="876"/>
      <c r="H137" s="876"/>
      <c r="I137" s="876"/>
      <c r="J137" s="876"/>
      <c r="K137" s="876"/>
      <c r="L137" s="876"/>
      <c r="M137" s="876"/>
      <c r="N137" s="876"/>
      <c r="O137" s="876"/>
      <c r="P137" s="876"/>
      <c r="Q137" s="876"/>
      <c r="R137" s="876"/>
      <c r="S137" s="876"/>
      <c r="T137" s="876"/>
      <c r="U137" s="876"/>
      <c r="V137" s="876"/>
      <c r="W137" s="876"/>
      <c r="X137" s="876"/>
      <c r="Y137" s="876"/>
      <c r="Z137" s="876"/>
      <c r="AA137" s="876"/>
      <c r="AB137" s="876"/>
      <c r="AC137" s="876"/>
      <c r="AD137" s="876"/>
    </row>
    <row r="138" spans="1:30">
      <c r="A138" s="876"/>
      <c r="B138" s="876"/>
      <c r="C138" s="876"/>
      <c r="D138" s="876"/>
      <c r="E138" s="876"/>
      <c r="F138" s="876"/>
      <c r="G138" s="876"/>
      <c r="H138" s="876"/>
      <c r="I138" s="876"/>
      <c r="J138" s="876"/>
      <c r="K138" s="876"/>
      <c r="L138" s="876"/>
      <c r="M138" s="876"/>
      <c r="N138" s="876"/>
      <c r="O138" s="876"/>
      <c r="P138" s="876"/>
      <c r="Q138" s="876"/>
      <c r="R138" s="876"/>
      <c r="S138" s="876"/>
      <c r="T138" s="876"/>
      <c r="U138" s="876"/>
      <c r="V138" s="876"/>
      <c r="W138" s="876"/>
      <c r="X138" s="876"/>
      <c r="Y138" s="876"/>
      <c r="Z138" s="876"/>
      <c r="AA138" s="876"/>
      <c r="AB138" s="876"/>
      <c r="AC138" s="876"/>
      <c r="AD138" s="876"/>
    </row>
    <row r="139" spans="1:30">
      <c r="A139" s="876"/>
      <c r="B139" s="876"/>
      <c r="C139" s="876"/>
      <c r="D139" s="876"/>
      <c r="E139" s="876"/>
      <c r="F139" s="876"/>
      <c r="G139" s="876"/>
      <c r="H139" s="876"/>
      <c r="I139" s="876"/>
      <c r="J139" s="876"/>
      <c r="K139" s="876"/>
      <c r="L139" s="876"/>
      <c r="M139" s="876"/>
      <c r="N139" s="876"/>
      <c r="O139" s="876"/>
      <c r="P139" s="876"/>
      <c r="Q139" s="876"/>
      <c r="R139" s="876"/>
      <c r="S139" s="876"/>
      <c r="T139" s="876"/>
      <c r="U139" s="876"/>
      <c r="V139" s="876"/>
      <c r="W139" s="876"/>
      <c r="X139" s="876"/>
      <c r="Y139" s="876"/>
      <c r="Z139" s="876"/>
      <c r="AA139" s="876"/>
      <c r="AB139" s="876"/>
      <c r="AC139" s="876"/>
      <c r="AD139" s="876"/>
    </row>
    <row r="140" spans="1:30">
      <c r="A140" s="876"/>
      <c r="B140" s="876"/>
      <c r="C140" s="876"/>
      <c r="D140" s="876"/>
      <c r="E140" s="876"/>
      <c r="F140" s="876"/>
      <c r="G140" s="876"/>
      <c r="H140" s="876"/>
      <c r="I140" s="876"/>
      <c r="J140" s="876"/>
      <c r="K140" s="876"/>
      <c r="L140" s="876"/>
      <c r="M140" s="876"/>
      <c r="N140" s="876"/>
      <c r="O140" s="876"/>
      <c r="P140" s="876"/>
      <c r="Q140" s="876"/>
      <c r="R140" s="876"/>
      <c r="S140" s="876"/>
      <c r="T140" s="876"/>
      <c r="U140" s="876"/>
      <c r="V140" s="876"/>
      <c r="W140" s="876"/>
      <c r="X140" s="876"/>
      <c r="Y140" s="876"/>
      <c r="Z140" s="876"/>
      <c r="AA140" s="876"/>
      <c r="AB140" s="876"/>
      <c r="AC140" s="876"/>
      <c r="AD140" s="876"/>
    </row>
    <row r="141" spans="1:30">
      <c r="A141" s="876"/>
      <c r="B141" s="876"/>
      <c r="C141" s="876"/>
      <c r="D141" s="876"/>
      <c r="E141" s="876"/>
      <c r="F141" s="876"/>
      <c r="G141" s="876"/>
      <c r="H141" s="876"/>
      <c r="I141" s="876"/>
      <c r="J141" s="876"/>
      <c r="K141" s="876"/>
      <c r="L141" s="876"/>
      <c r="M141" s="876"/>
      <c r="N141" s="876"/>
      <c r="O141" s="876"/>
      <c r="P141" s="876"/>
      <c r="Q141" s="876"/>
      <c r="R141" s="876"/>
      <c r="S141" s="876"/>
      <c r="T141" s="876"/>
      <c r="U141" s="876"/>
      <c r="V141" s="876"/>
      <c r="W141" s="876"/>
      <c r="X141" s="876"/>
      <c r="Y141" s="876"/>
      <c r="Z141" s="876"/>
      <c r="AA141" s="876"/>
      <c r="AB141" s="876"/>
      <c r="AC141" s="876"/>
      <c r="AD141" s="876"/>
    </row>
    <row r="142" spans="1:30">
      <c r="A142" s="876"/>
      <c r="B142" s="876"/>
      <c r="C142" s="876"/>
      <c r="D142" s="876"/>
      <c r="E142" s="876"/>
      <c r="F142" s="876"/>
      <c r="G142" s="876"/>
      <c r="H142" s="876"/>
      <c r="I142" s="876"/>
      <c r="J142" s="876"/>
      <c r="K142" s="876"/>
      <c r="L142" s="876"/>
      <c r="M142" s="876"/>
      <c r="N142" s="876"/>
      <c r="O142" s="876"/>
      <c r="P142" s="876"/>
      <c r="Q142" s="876"/>
      <c r="R142" s="876"/>
      <c r="S142" s="876"/>
      <c r="T142" s="876"/>
      <c r="U142" s="876"/>
      <c r="V142" s="876"/>
      <c r="W142" s="876"/>
      <c r="X142" s="876"/>
      <c r="Y142" s="876"/>
      <c r="Z142" s="876"/>
      <c r="AA142" s="876"/>
      <c r="AB142" s="876"/>
      <c r="AC142" s="876"/>
      <c r="AD142" s="876"/>
    </row>
    <row r="143" spans="1:30">
      <c r="A143" s="876"/>
      <c r="B143" s="876"/>
      <c r="C143" s="876"/>
      <c r="D143" s="876"/>
      <c r="E143" s="876"/>
      <c r="F143" s="876"/>
      <c r="G143" s="876"/>
      <c r="H143" s="876"/>
      <c r="I143" s="876"/>
      <c r="J143" s="876"/>
      <c r="K143" s="876"/>
      <c r="L143" s="876"/>
      <c r="M143" s="876"/>
      <c r="N143" s="876"/>
      <c r="O143" s="876"/>
      <c r="P143" s="876"/>
      <c r="Q143" s="876"/>
      <c r="R143" s="876"/>
      <c r="S143" s="876"/>
      <c r="T143" s="876"/>
      <c r="U143" s="876"/>
      <c r="V143" s="876"/>
      <c r="W143" s="876"/>
      <c r="X143" s="876"/>
      <c r="Y143" s="876"/>
      <c r="Z143" s="876"/>
      <c r="AA143" s="876"/>
      <c r="AB143" s="876"/>
      <c r="AC143" s="876"/>
      <c r="AD143" s="876"/>
    </row>
    <row r="144" spans="1:30">
      <c r="A144" s="876"/>
      <c r="B144" s="876"/>
      <c r="C144" s="876"/>
      <c r="D144" s="876"/>
      <c r="E144" s="876"/>
      <c r="F144" s="876"/>
      <c r="G144" s="876"/>
      <c r="H144" s="876"/>
      <c r="I144" s="876"/>
      <c r="J144" s="876"/>
      <c r="K144" s="876"/>
      <c r="L144" s="876"/>
      <c r="M144" s="876"/>
      <c r="N144" s="876"/>
      <c r="O144" s="876"/>
      <c r="P144" s="876"/>
      <c r="Q144" s="876"/>
      <c r="R144" s="876"/>
      <c r="S144" s="876"/>
      <c r="T144" s="876"/>
      <c r="U144" s="876"/>
      <c r="V144" s="876"/>
      <c r="W144" s="876"/>
      <c r="X144" s="876"/>
      <c r="Y144" s="876"/>
      <c r="Z144" s="876"/>
      <c r="AA144" s="876"/>
      <c r="AB144" s="876"/>
      <c r="AC144" s="876"/>
      <c r="AD144" s="876"/>
    </row>
    <row r="145" spans="1:30">
      <c r="A145" s="876"/>
      <c r="B145" s="876"/>
      <c r="C145" s="876"/>
      <c r="D145" s="876"/>
      <c r="E145" s="876"/>
      <c r="F145" s="876"/>
      <c r="G145" s="876"/>
      <c r="H145" s="876"/>
      <c r="I145" s="876"/>
      <c r="J145" s="876"/>
      <c r="K145" s="876"/>
      <c r="L145" s="876"/>
      <c r="M145" s="876"/>
      <c r="N145" s="876"/>
      <c r="O145" s="876"/>
      <c r="P145" s="876"/>
      <c r="Q145" s="876"/>
      <c r="R145" s="876"/>
      <c r="S145" s="876"/>
      <c r="T145" s="876"/>
      <c r="U145" s="876"/>
      <c r="V145" s="876"/>
      <c r="W145" s="876"/>
      <c r="X145" s="876"/>
      <c r="Y145" s="876"/>
      <c r="Z145" s="876"/>
      <c r="AA145" s="876"/>
      <c r="AB145" s="876"/>
      <c r="AC145" s="876"/>
      <c r="AD145" s="876"/>
    </row>
    <row r="146" spans="1:30">
      <c r="A146" s="876"/>
      <c r="B146" s="876"/>
      <c r="C146" s="876"/>
      <c r="D146" s="876"/>
      <c r="E146" s="876"/>
      <c r="F146" s="876"/>
      <c r="G146" s="876"/>
      <c r="H146" s="876"/>
      <c r="I146" s="876"/>
      <c r="J146" s="876"/>
      <c r="K146" s="876"/>
      <c r="L146" s="876"/>
      <c r="M146" s="876"/>
      <c r="N146" s="876"/>
      <c r="O146" s="876"/>
      <c r="P146" s="876"/>
      <c r="Q146" s="876"/>
      <c r="R146" s="876"/>
      <c r="S146" s="876"/>
      <c r="T146" s="876"/>
      <c r="U146" s="876"/>
      <c r="V146" s="876"/>
      <c r="W146" s="876"/>
      <c r="X146" s="876"/>
      <c r="Y146" s="876"/>
      <c r="Z146" s="876"/>
      <c r="AA146" s="876"/>
      <c r="AB146" s="876"/>
      <c r="AC146" s="876"/>
      <c r="AD146" s="876"/>
    </row>
    <row r="147" spans="1:30">
      <c r="A147" s="876"/>
      <c r="B147" s="876"/>
      <c r="C147" s="876"/>
      <c r="D147" s="876"/>
      <c r="E147" s="876"/>
      <c r="F147" s="876"/>
      <c r="G147" s="876"/>
      <c r="H147" s="876"/>
      <c r="I147" s="876"/>
      <c r="J147" s="876"/>
      <c r="K147" s="876"/>
      <c r="L147" s="876"/>
      <c r="M147" s="876"/>
      <c r="N147" s="876"/>
      <c r="O147" s="876"/>
      <c r="P147" s="876"/>
      <c r="Q147" s="876"/>
      <c r="R147" s="876"/>
      <c r="S147" s="876"/>
      <c r="T147" s="876"/>
      <c r="U147" s="876"/>
      <c r="V147" s="876"/>
      <c r="W147" s="876"/>
      <c r="X147" s="876"/>
      <c r="Y147" s="876"/>
      <c r="Z147" s="876"/>
      <c r="AA147" s="876"/>
      <c r="AB147" s="876"/>
      <c r="AC147" s="876"/>
      <c r="AD147" s="876"/>
    </row>
    <row r="148" spans="1:30">
      <c r="A148" s="876"/>
      <c r="B148" s="876"/>
      <c r="C148" s="876"/>
      <c r="D148" s="876"/>
      <c r="E148" s="876"/>
      <c r="F148" s="876"/>
      <c r="G148" s="876"/>
      <c r="H148" s="876"/>
      <c r="I148" s="876"/>
      <c r="J148" s="876"/>
      <c r="K148" s="876"/>
      <c r="L148" s="876"/>
      <c r="M148" s="876"/>
      <c r="N148" s="876"/>
      <c r="O148" s="876"/>
      <c r="P148" s="876"/>
      <c r="Q148" s="876"/>
      <c r="R148" s="876"/>
      <c r="S148" s="876"/>
      <c r="T148" s="876"/>
      <c r="U148" s="876"/>
      <c r="V148" s="876"/>
      <c r="W148" s="876"/>
      <c r="X148" s="876"/>
      <c r="Y148" s="876"/>
      <c r="Z148" s="876"/>
      <c r="AA148" s="876"/>
      <c r="AB148" s="876"/>
      <c r="AC148" s="876"/>
      <c r="AD148" s="876"/>
    </row>
    <row r="149" spans="1:30">
      <c r="A149" s="876"/>
      <c r="B149" s="876"/>
      <c r="C149" s="876"/>
      <c r="D149" s="876"/>
      <c r="E149" s="876"/>
      <c r="F149" s="876"/>
      <c r="G149" s="876"/>
      <c r="H149" s="876"/>
      <c r="I149" s="876"/>
      <c r="J149" s="876"/>
      <c r="K149" s="876"/>
      <c r="L149" s="876"/>
      <c r="M149" s="876"/>
      <c r="N149" s="876"/>
      <c r="O149" s="876"/>
      <c r="P149" s="876"/>
      <c r="Q149" s="876"/>
      <c r="R149" s="876"/>
      <c r="S149" s="876"/>
      <c r="T149" s="876"/>
      <c r="U149" s="876"/>
      <c r="V149" s="876"/>
      <c r="W149" s="876"/>
      <c r="X149" s="876"/>
      <c r="Y149" s="876"/>
      <c r="Z149" s="876"/>
      <c r="AA149" s="876"/>
      <c r="AB149" s="876"/>
      <c r="AC149" s="876"/>
      <c r="AD149" s="876"/>
    </row>
    <row r="150" spans="1:30">
      <c r="A150" s="876"/>
      <c r="B150" s="876"/>
      <c r="C150" s="876"/>
      <c r="D150" s="876"/>
      <c r="E150" s="876"/>
      <c r="F150" s="876"/>
      <c r="G150" s="876"/>
      <c r="H150" s="876"/>
      <c r="I150" s="876"/>
      <c r="J150" s="876"/>
      <c r="K150" s="876"/>
      <c r="L150" s="876"/>
      <c r="M150" s="876"/>
      <c r="N150" s="876"/>
      <c r="O150" s="876"/>
      <c r="P150" s="876"/>
      <c r="Q150" s="876"/>
      <c r="R150" s="876"/>
      <c r="S150" s="876"/>
      <c r="T150" s="876"/>
      <c r="U150" s="876"/>
      <c r="V150" s="876"/>
      <c r="W150" s="876"/>
      <c r="X150" s="876"/>
      <c r="Y150" s="876"/>
      <c r="Z150" s="876"/>
      <c r="AA150" s="876"/>
      <c r="AB150" s="876"/>
      <c r="AC150" s="876"/>
      <c r="AD150" s="876"/>
    </row>
    <row r="151" spans="1:30">
      <c r="A151" s="876"/>
      <c r="B151" s="876"/>
      <c r="C151" s="876"/>
      <c r="D151" s="876"/>
      <c r="E151" s="876"/>
      <c r="F151" s="876"/>
      <c r="G151" s="876"/>
      <c r="H151" s="876"/>
      <c r="I151" s="876"/>
      <c r="J151" s="876"/>
      <c r="K151" s="876"/>
      <c r="L151" s="876"/>
      <c r="M151" s="876"/>
      <c r="N151" s="876"/>
      <c r="O151" s="876"/>
      <c r="P151" s="876"/>
      <c r="Q151" s="876"/>
      <c r="R151" s="876"/>
      <c r="S151" s="876"/>
      <c r="T151" s="876"/>
      <c r="U151" s="876"/>
      <c r="V151" s="876"/>
      <c r="W151" s="876"/>
      <c r="X151" s="876"/>
      <c r="Y151" s="876"/>
      <c r="Z151" s="876"/>
      <c r="AA151" s="876"/>
      <c r="AB151" s="876"/>
      <c r="AC151" s="876"/>
      <c r="AD151" s="876"/>
    </row>
    <row r="152" spans="1:30">
      <c r="A152" s="876"/>
      <c r="B152" s="876"/>
      <c r="C152" s="876"/>
      <c r="D152" s="876"/>
      <c r="E152" s="876"/>
      <c r="F152" s="876"/>
      <c r="G152" s="876"/>
      <c r="H152" s="876"/>
      <c r="I152" s="876"/>
      <c r="J152" s="876"/>
      <c r="K152" s="876"/>
      <c r="L152" s="876"/>
      <c r="M152" s="876"/>
      <c r="N152" s="876"/>
      <c r="O152" s="876"/>
      <c r="P152" s="876"/>
      <c r="Q152" s="876"/>
      <c r="R152" s="876"/>
      <c r="S152" s="876"/>
      <c r="T152" s="876"/>
      <c r="U152" s="876"/>
      <c r="V152" s="876"/>
      <c r="W152" s="876"/>
      <c r="X152" s="876"/>
      <c r="Y152" s="876"/>
      <c r="Z152" s="876"/>
      <c r="AA152" s="876"/>
      <c r="AB152" s="876"/>
      <c r="AC152" s="876"/>
      <c r="AD152" s="876"/>
    </row>
    <row r="153" spans="1:30">
      <c r="A153" s="876"/>
      <c r="B153" s="876"/>
      <c r="C153" s="876"/>
      <c r="D153" s="876"/>
      <c r="E153" s="876"/>
      <c r="F153" s="876"/>
      <c r="G153" s="876"/>
      <c r="H153" s="876"/>
      <c r="I153" s="876"/>
      <c r="J153" s="876"/>
      <c r="K153" s="876"/>
      <c r="L153" s="876"/>
      <c r="M153" s="876"/>
      <c r="N153" s="876"/>
      <c r="O153" s="876"/>
      <c r="P153" s="876"/>
      <c r="Q153" s="876"/>
      <c r="R153" s="876"/>
      <c r="S153" s="876"/>
      <c r="T153" s="876"/>
      <c r="U153" s="876"/>
      <c r="V153" s="876"/>
      <c r="W153" s="876"/>
      <c r="X153" s="876"/>
      <c r="Y153" s="876"/>
      <c r="Z153" s="876"/>
      <c r="AA153" s="876"/>
      <c r="AB153" s="876"/>
      <c r="AC153" s="876"/>
      <c r="AD153" s="876"/>
    </row>
    <row r="154" spans="1:30">
      <c r="A154" s="876"/>
      <c r="B154" s="876"/>
      <c r="C154" s="876"/>
      <c r="D154" s="876"/>
      <c r="E154" s="876"/>
      <c r="F154" s="876"/>
      <c r="G154" s="876"/>
      <c r="H154" s="876"/>
      <c r="I154" s="876"/>
      <c r="J154" s="876"/>
      <c r="K154" s="876"/>
      <c r="L154" s="876"/>
      <c r="M154" s="876"/>
      <c r="N154" s="876"/>
      <c r="O154" s="876"/>
      <c r="P154" s="876"/>
      <c r="Q154" s="876"/>
      <c r="R154" s="876"/>
      <c r="S154" s="876"/>
      <c r="T154" s="876"/>
      <c r="U154" s="876"/>
      <c r="V154" s="876"/>
      <c r="W154" s="876"/>
      <c r="X154" s="876"/>
      <c r="Y154" s="876"/>
      <c r="Z154" s="876"/>
      <c r="AA154" s="876"/>
      <c r="AB154" s="876"/>
      <c r="AC154" s="876"/>
      <c r="AD154" s="876"/>
    </row>
    <row r="155" spans="1:30">
      <c r="A155" s="876"/>
      <c r="B155" s="876"/>
      <c r="C155" s="876"/>
      <c r="D155" s="876"/>
      <c r="E155" s="876"/>
      <c r="F155" s="876"/>
      <c r="G155" s="876"/>
      <c r="H155" s="876"/>
      <c r="I155" s="876"/>
      <c r="J155" s="876"/>
      <c r="K155" s="876"/>
      <c r="L155" s="876"/>
      <c r="M155" s="876"/>
      <c r="N155" s="876"/>
      <c r="O155" s="876"/>
      <c r="P155" s="876"/>
      <c r="Q155" s="876"/>
      <c r="R155" s="876"/>
      <c r="S155" s="876"/>
      <c r="T155" s="876"/>
      <c r="U155" s="876"/>
      <c r="V155" s="876"/>
      <c r="W155" s="876"/>
      <c r="X155" s="876"/>
      <c r="Y155" s="876"/>
      <c r="Z155" s="876"/>
      <c r="AA155" s="876"/>
      <c r="AB155" s="876"/>
      <c r="AC155" s="876"/>
      <c r="AD155" s="876"/>
    </row>
    <row r="156" spans="1:30">
      <c r="A156" s="876"/>
      <c r="B156" s="876"/>
      <c r="C156" s="876"/>
      <c r="D156" s="876"/>
      <c r="E156" s="876"/>
      <c r="F156" s="876"/>
      <c r="G156" s="876"/>
      <c r="H156" s="876"/>
      <c r="I156" s="876"/>
      <c r="J156" s="876"/>
      <c r="K156" s="876"/>
      <c r="L156" s="876"/>
      <c r="M156" s="876"/>
      <c r="N156" s="876"/>
      <c r="O156" s="876"/>
      <c r="P156" s="876"/>
      <c r="Q156" s="876"/>
      <c r="R156" s="876"/>
      <c r="S156" s="876"/>
      <c r="T156" s="876"/>
      <c r="U156" s="876"/>
      <c r="V156" s="876"/>
      <c r="W156" s="876"/>
      <c r="X156" s="876"/>
      <c r="Y156" s="876"/>
      <c r="Z156" s="876"/>
      <c r="AA156" s="876"/>
      <c r="AB156" s="876"/>
      <c r="AC156" s="876"/>
      <c r="AD156" s="876"/>
    </row>
    <row r="157" spans="1:30">
      <c r="A157" s="876"/>
      <c r="B157" s="876"/>
      <c r="C157" s="876"/>
      <c r="D157" s="876"/>
      <c r="E157" s="876"/>
      <c r="F157" s="876"/>
      <c r="G157" s="876"/>
      <c r="H157" s="876"/>
      <c r="I157" s="876"/>
      <c r="J157" s="876"/>
      <c r="K157" s="876"/>
      <c r="L157" s="876"/>
      <c r="M157" s="876"/>
      <c r="N157" s="876"/>
      <c r="O157" s="876"/>
      <c r="P157" s="876"/>
      <c r="Q157" s="876"/>
      <c r="R157" s="876"/>
      <c r="S157" s="876"/>
      <c r="T157" s="876"/>
      <c r="U157" s="876"/>
      <c r="V157" s="876"/>
      <c r="W157" s="876"/>
      <c r="X157" s="876"/>
      <c r="Y157" s="876"/>
      <c r="Z157" s="876"/>
      <c r="AA157" s="876"/>
      <c r="AB157" s="876"/>
      <c r="AC157" s="876"/>
      <c r="AD157" s="876"/>
    </row>
    <row r="158" spans="1:30">
      <c r="A158" s="876"/>
      <c r="B158" s="876"/>
      <c r="C158" s="876"/>
      <c r="D158" s="876"/>
      <c r="E158" s="876"/>
      <c r="F158" s="876"/>
      <c r="G158" s="876"/>
      <c r="H158" s="876"/>
      <c r="I158" s="876"/>
      <c r="J158" s="876"/>
      <c r="K158" s="876"/>
      <c r="L158" s="876"/>
      <c r="M158" s="876"/>
      <c r="N158" s="876"/>
      <c r="O158" s="876"/>
      <c r="P158" s="876"/>
      <c r="Q158" s="876"/>
      <c r="R158" s="876"/>
      <c r="S158" s="876"/>
      <c r="T158" s="876"/>
      <c r="U158" s="876"/>
      <c r="V158" s="876"/>
      <c r="W158" s="876"/>
      <c r="X158" s="876"/>
      <c r="Y158" s="876"/>
      <c r="Z158" s="876"/>
      <c r="AA158" s="876"/>
      <c r="AB158" s="876"/>
      <c r="AC158" s="876"/>
      <c r="AD158" s="876"/>
    </row>
    <row r="159" spans="1:30">
      <c r="A159" s="876"/>
      <c r="B159" s="876"/>
      <c r="C159" s="876"/>
      <c r="D159" s="876"/>
      <c r="E159" s="876"/>
      <c r="F159" s="876"/>
      <c r="G159" s="876"/>
      <c r="H159" s="876"/>
      <c r="I159" s="876"/>
      <c r="J159" s="876"/>
      <c r="K159" s="876"/>
      <c r="L159" s="876"/>
      <c r="M159" s="876"/>
      <c r="N159" s="876"/>
      <c r="O159" s="876"/>
      <c r="P159" s="876"/>
      <c r="Q159" s="876"/>
      <c r="R159" s="876"/>
      <c r="S159" s="876"/>
      <c r="T159" s="876"/>
      <c r="U159" s="876"/>
      <c r="V159" s="876"/>
      <c r="W159" s="876"/>
      <c r="X159" s="876"/>
      <c r="Y159" s="876"/>
      <c r="Z159" s="876"/>
      <c r="AA159" s="876"/>
      <c r="AB159" s="876"/>
      <c r="AC159" s="876"/>
      <c r="AD159" s="876"/>
    </row>
    <row r="160" spans="1:30">
      <c r="A160" s="876"/>
      <c r="B160" s="876"/>
      <c r="C160" s="876"/>
      <c r="D160" s="876"/>
      <c r="E160" s="876"/>
      <c r="F160" s="876"/>
      <c r="G160" s="876"/>
      <c r="H160" s="876"/>
      <c r="I160" s="876"/>
      <c r="J160" s="876"/>
      <c r="K160" s="876"/>
      <c r="L160" s="876"/>
      <c r="M160" s="876"/>
      <c r="N160" s="876"/>
      <c r="O160" s="876"/>
      <c r="P160" s="876"/>
      <c r="Q160" s="876"/>
      <c r="R160" s="876"/>
      <c r="S160" s="876"/>
      <c r="T160" s="876"/>
      <c r="U160" s="876"/>
      <c r="V160" s="876"/>
      <c r="W160" s="876"/>
      <c r="X160" s="876"/>
      <c r="Y160" s="876"/>
      <c r="Z160" s="876"/>
      <c r="AA160" s="876"/>
      <c r="AB160" s="876"/>
      <c r="AC160" s="876"/>
      <c r="AD160" s="876"/>
    </row>
    <row r="161" spans="1:30">
      <c r="A161" s="876"/>
      <c r="B161" s="876"/>
      <c r="C161" s="876"/>
      <c r="D161" s="876"/>
      <c r="E161" s="876"/>
      <c r="F161" s="876"/>
      <c r="G161" s="876"/>
      <c r="H161" s="876"/>
      <c r="I161" s="876"/>
      <c r="J161" s="876"/>
      <c r="K161" s="876"/>
      <c r="L161" s="876"/>
      <c r="M161" s="876"/>
      <c r="N161" s="876"/>
      <c r="O161" s="876"/>
      <c r="P161" s="876"/>
      <c r="Q161" s="876"/>
      <c r="R161" s="876"/>
      <c r="S161" s="876"/>
      <c r="T161" s="876"/>
      <c r="U161" s="876"/>
      <c r="V161" s="876"/>
      <c r="W161" s="876"/>
      <c r="X161" s="876"/>
      <c r="Y161" s="876"/>
      <c r="Z161" s="876"/>
      <c r="AA161" s="876"/>
      <c r="AB161" s="876"/>
      <c r="AC161" s="876"/>
      <c r="AD161" s="876"/>
    </row>
    <row r="162" spans="1:30">
      <c r="A162" s="876"/>
      <c r="B162" s="876"/>
      <c r="C162" s="876"/>
      <c r="D162" s="876"/>
      <c r="E162" s="876"/>
      <c r="F162" s="876"/>
      <c r="G162" s="876"/>
      <c r="H162" s="876"/>
      <c r="I162" s="876"/>
      <c r="J162" s="876"/>
      <c r="K162" s="876"/>
      <c r="L162" s="876"/>
      <c r="M162" s="876"/>
      <c r="N162" s="876"/>
      <c r="O162" s="876"/>
      <c r="P162" s="876"/>
      <c r="Q162" s="876"/>
      <c r="R162" s="876"/>
      <c r="S162" s="876"/>
      <c r="T162" s="876"/>
      <c r="U162" s="876"/>
      <c r="V162" s="876"/>
      <c r="W162" s="876"/>
      <c r="X162" s="876"/>
      <c r="Y162" s="876"/>
      <c r="Z162" s="876"/>
      <c r="AA162" s="876"/>
      <c r="AB162" s="876"/>
      <c r="AC162" s="876"/>
      <c r="AD162" s="876"/>
    </row>
    <row r="163" spans="1:30">
      <c r="A163" s="876"/>
      <c r="B163" s="876"/>
      <c r="C163" s="876"/>
      <c r="D163" s="876"/>
      <c r="E163" s="876"/>
      <c r="F163" s="876"/>
      <c r="G163" s="876"/>
      <c r="H163" s="876"/>
      <c r="I163" s="876"/>
      <c r="J163" s="876"/>
      <c r="K163" s="876"/>
      <c r="L163" s="876"/>
      <c r="M163" s="876"/>
      <c r="N163" s="876"/>
      <c r="O163" s="876"/>
      <c r="P163" s="876"/>
      <c r="Q163" s="876"/>
      <c r="R163" s="876"/>
      <c r="S163" s="876"/>
      <c r="T163" s="876"/>
      <c r="U163" s="876"/>
      <c r="V163" s="876"/>
      <c r="W163" s="876"/>
      <c r="X163" s="876"/>
      <c r="Y163" s="876"/>
      <c r="Z163" s="876"/>
      <c r="AA163" s="876"/>
      <c r="AB163" s="876"/>
      <c r="AC163" s="876"/>
      <c r="AD163" s="876"/>
    </row>
    <row r="164" spans="1:30">
      <c r="A164" s="876"/>
      <c r="B164" s="876"/>
      <c r="C164" s="876"/>
      <c r="D164" s="876"/>
      <c r="E164" s="876"/>
      <c r="F164" s="876"/>
      <c r="G164" s="876"/>
      <c r="H164" s="876"/>
      <c r="I164" s="876"/>
      <c r="J164" s="876"/>
      <c r="K164" s="876"/>
      <c r="L164" s="876"/>
      <c r="M164" s="876"/>
      <c r="N164" s="876"/>
      <c r="O164" s="876"/>
      <c r="P164" s="876"/>
      <c r="Q164" s="876"/>
      <c r="R164" s="876"/>
      <c r="S164" s="876"/>
      <c r="T164" s="876"/>
      <c r="U164" s="876"/>
      <c r="V164" s="876"/>
      <c r="W164" s="876"/>
      <c r="X164" s="876"/>
      <c r="Y164" s="876"/>
      <c r="Z164" s="876"/>
      <c r="AA164" s="876"/>
      <c r="AB164" s="876"/>
      <c r="AC164" s="876"/>
      <c r="AD164" s="876"/>
    </row>
    <row r="165" spans="1:30">
      <c r="A165" s="876"/>
      <c r="B165" s="876"/>
      <c r="C165" s="876"/>
      <c r="D165" s="876"/>
      <c r="E165" s="876"/>
      <c r="F165" s="876"/>
      <c r="G165" s="876"/>
      <c r="H165" s="876"/>
      <c r="I165" s="876"/>
      <c r="J165" s="876"/>
      <c r="K165" s="876"/>
      <c r="L165" s="876"/>
      <c r="M165" s="876"/>
      <c r="N165" s="876"/>
      <c r="O165" s="876"/>
      <c r="P165" s="876"/>
      <c r="Q165" s="876"/>
      <c r="R165" s="876"/>
      <c r="S165" s="876"/>
      <c r="T165" s="876"/>
      <c r="U165" s="876"/>
      <c r="V165" s="876"/>
      <c r="W165" s="876"/>
      <c r="X165" s="876"/>
      <c r="Y165" s="876"/>
      <c r="Z165" s="876"/>
      <c r="AA165" s="876"/>
      <c r="AB165" s="876"/>
      <c r="AC165" s="876"/>
      <c r="AD165" s="876"/>
    </row>
    <row r="166" spans="1:30">
      <c r="A166" s="876"/>
      <c r="B166" s="876"/>
      <c r="C166" s="876"/>
      <c r="D166" s="876"/>
      <c r="E166" s="876"/>
      <c r="F166" s="876"/>
      <c r="G166" s="876"/>
      <c r="H166" s="876"/>
      <c r="I166" s="876"/>
      <c r="J166" s="876"/>
      <c r="K166" s="876"/>
      <c r="L166" s="876"/>
      <c r="M166" s="876"/>
      <c r="N166" s="876"/>
      <c r="O166" s="876"/>
      <c r="P166" s="876"/>
      <c r="Q166" s="876"/>
      <c r="R166" s="876"/>
      <c r="S166" s="876"/>
      <c r="T166" s="876"/>
      <c r="U166" s="876"/>
      <c r="V166" s="876"/>
      <c r="W166" s="876"/>
      <c r="X166" s="876"/>
      <c r="Y166" s="876"/>
      <c r="Z166" s="876"/>
      <c r="AA166" s="876"/>
      <c r="AB166" s="876"/>
      <c r="AC166" s="876"/>
      <c r="AD166" s="876"/>
    </row>
    <row r="167" spans="1:30">
      <c r="A167" s="876"/>
      <c r="B167" s="876"/>
      <c r="C167" s="876"/>
      <c r="D167" s="876"/>
      <c r="E167" s="876"/>
      <c r="F167" s="876"/>
      <c r="G167" s="876"/>
      <c r="H167" s="876"/>
      <c r="I167" s="876"/>
      <c r="J167" s="876"/>
      <c r="K167" s="876"/>
      <c r="L167" s="876"/>
      <c r="M167" s="876"/>
      <c r="N167" s="876"/>
      <c r="O167" s="876"/>
      <c r="P167" s="876"/>
      <c r="Q167" s="876"/>
      <c r="R167" s="876"/>
      <c r="S167" s="876"/>
      <c r="T167" s="876"/>
      <c r="U167" s="876"/>
      <c r="V167" s="876"/>
      <c r="W167" s="876"/>
      <c r="X167" s="876"/>
      <c r="Y167" s="876"/>
      <c r="Z167" s="876"/>
      <c r="AA167" s="876"/>
      <c r="AB167" s="876"/>
      <c r="AC167" s="876"/>
      <c r="AD167" s="876"/>
    </row>
    <row r="168" spans="1:30">
      <c r="A168" s="876"/>
      <c r="B168" s="876"/>
      <c r="C168" s="876"/>
      <c r="D168" s="876"/>
      <c r="E168" s="876"/>
      <c r="F168" s="876"/>
      <c r="G168" s="876"/>
      <c r="H168" s="876"/>
      <c r="I168" s="876"/>
      <c r="J168" s="876"/>
      <c r="K168" s="876"/>
      <c r="L168" s="876"/>
      <c r="M168" s="876"/>
      <c r="N168" s="876"/>
      <c r="O168" s="876"/>
      <c r="P168" s="876"/>
      <c r="Q168" s="876"/>
      <c r="R168" s="876"/>
      <c r="S168" s="876"/>
      <c r="T168" s="876"/>
      <c r="U168" s="876"/>
      <c r="V168" s="876"/>
      <c r="W168" s="876"/>
      <c r="X168" s="876"/>
      <c r="Y168" s="876"/>
      <c r="Z168" s="876"/>
      <c r="AA168" s="876"/>
      <c r="AB168" s="876"/>
      <c r="AC168" s="876"/>
      <c r="AD168" s="876"/>
    </row>
    <row r="169" spans="1:30">
      <c r="A169" s="876"/>
      <c r="B169" s="876"/>
      <c r="C169" s="876"/>
      <c r="D169" s="876"/>
      <c r="E169" s="876"/>
      <c r="F169" s="876"/>
      <c r="G169" s="876"/>
      <c r="H169" s="876"/>
      <c r="I169" s="876"/>
      <c r="J169" s="876"/>
      <c r="K169" s="876"/>
      <c r="L169" s="876"/>
      <c r="M169" s="876"/>
      <c r="N169" s="876"/>
      <c r="O169" s="876"/>
      <c r="P169" s="876"/>
      <c r="Q169" s="876"/>
      <c r="R169" s="876"/>
      <c r="S169" s="876"/>
      <c r="T169" s="876"/>
      <c r="U169" s="876"/>
      <c r="V169" s="876"/>
      <c r="W169" s="876"/>
      <c r="X169" s="876"/>
      <c r="Y169" s="876"/>
      <c r="Z169" s="876"/>
      <c r="AA169" s="876"/>
      <c r="AB169" s="876"/>
      <c r="AC169" s="876"/>
      <c r="AD169" s="876"/>
    </row>
    <row r="170" spans="1:30">
      <c r="A170" s="876"/>
      <c r="B170" s="876"/>
      <c r="C170" s="876"/>
      <c r="D170" s="876"/>
      <c r="E170" s="876"/>
      <c r="F170" s="876"/>
      <c r="G170" s="876"/>
      <c r="H170" s="876"/>
      <c r="I170" s="876"/>
      <c r="J170" s="876"/>
      <c r="K170" s="876"/>
      <c r="L170" s="876"/>
      <c r="M170" s="876"/>
      <c r="N170" s="876"/>
      <c r="O170" s="876"/>
      <c r="P170" s="876"/>
      <c r="Q170" s="876"/>
      <c r="R170" s="876"/>
      <c r="S170" s="876"/>
      <c r="T170" s="876"/>
      <c r="U170" s="876"/>
      <c r="V170" s="876"/>
      <c r="W170" s="876"/>
      <c r="X170" s="876"/>
      <c r="Y170" s="876"/>
      <c r="Z170" s="876"/>
      <c r="AA170" s="876"/>
      <c r="AB170" s="876"/>
      <c r="AC170" s="876"/>
      <c r="AD170" s="876"/>
    </row>
    <row r="171" spans="1:30">
      <c r="A171" s="876"/>
      <c r="B171" s="876"/>
      <c r="C171" s="876"/>
      <c r="D171" s="876"/>
      <c r="E171" s="876"/>
      <c r="F171" s="876"/>
      <c r="G171" s="876"/>
      <c r="H171" s="876"/>
      <c r="I171" s="876"/>
      <c r="J171" s="876"/>
      <c r="K171" s="876"/>
      <c r="L171" s="876"/>
      <c r="M171" s="876"/>
      <c r="N171" s="876"/>
      <c r="O171" s="876"/>
      <c r="P171" s="876"/>
      <c r="Q171" s="876"/>
      <c r="R171" s="876"/>
      <c r="S171" s="876"/>
      <c r="T171" s="876"/>
      <c r="U171" s="876"/>
      <c r="V171" s="876"/>
      <c r="W171" s="876"/>
      <c r="X171" s="876"/>
      <c r="Y171" s="876"/>
      <c r="Z171" s="876"/>
      <c r="AA171" s="876"/>
      <c r="AB171" s="876"/>
      <c r="AC171" s="876"/>
      <c r="AD171" s="876"/>
    </row>
    <row r="172" spans="1:30">
      <c r="A172" s="876"/>
      <c r="B172" s="876"/>
      <c r="C172" s="876"/>
      <c r="D172" s="876"/>
      <c r="E172" s="876"/>
      <c r="F172" s="876"/>
      <c r="G172" s="876"/>
      <c r="H172" s="876"/>
      <c r="I172" s="876"/>
      <c r="J172" s="876"/>
      <c r="K172" s="876"/>
      <c r="L172" s="876"/>
      <c r="M172" s="876"/>
      <c r="N172" s="876"/>
      <c r="O172" s="876"/>
      <c r="P172" s="876"/>
      <c r="Q172" s="876"/>
      <c r="R172" s="876"/>
      <c r="S172" s="876"/>
      <c r="T172" s="876"/>
      <c r="U172" s="876"/>
      <c r="V172" s="876"/>
      <c r="W172" s="876"/>
      <c r="X172" s="876"/>
      <c r="Y172" s="876"/>
      <c r="Z172" s="876"/>
      <c r="AA172" s="876"/>
      <c r="AB172" s="876"/>
      <c r="AC172" s="876"/>
      <c r="AD172" s="876"/>
    </row>
    <row r="173" spans="1:30">
      <c r="A173" s="876"/>
      <c r="B173" s="876"/>
      <c r="C173" s="876"/>
      <c r="D173" s="876"/>
      <c r="E173" s="876"/>
      <c r="F173" s="876"/>
      <c r="G173" s="876"/>
      <c r="H173" s="876"/>
      <c r="I173" s="876"/>
      <c r="J173" s="876"/>
      <c r="K173" s="876"/>
      <c r="L173" s="876"/>
      <c r="M173" s="876"/>
      <c r="N173" s="876"/>
      <c r="O173" s="876"/>
      <c r="P173" s="876"/>
      <c r="Q173" s="876"/>
      <c r="R173" s="876"/>
      <c r="S173" s="876"/>
      <c r="T173" s="876"/>
      <c r="U173" s="876"/>
      <c r="V173" s="876"/>
      <c r="W173" s="876"/>
      <c r="X173" s="876"/>
      <c r="Y173" s="876"/>
      <c r="Z173" s="876"/>
      <c r="AA173" s="876"/>
      <c r="AB173" s="876"/>
      <c r="AC173" s="876"/>
      <c r="AD173" s="876"/>
    </row>
    <row r="174" spans="1:30">
      <c r="A174" s="876"/>
      <c r="B174" s="876"/>
      <c r="C174" s="876"/>
      <c r="D174" s="876"/>
      <c r="E174" s="876"/>
      <c r="F174" s="876"/>
      <c r="G174" s="876"/>
      <c r="H174" s="876"/>
      <c r="I174" s="876"/>
      <c r="J174" s="876"/>
      <c r="K174" s="876"/>
      <c r="L174" s="876"/>
      <c r="M174" s="876"/>
      <c r="N174" s="876"/>
      <c r="O174" s="876"/>
      <c r="P174" s="876"/>
      <c r="Q174" s="876"/>
      <c r="R174" s="876"/>
      <c r="S174" s="876"/>
      <c r="T174" s="876"/>
      <c r="U174" s="876"/>
      <c r="V174" s="876"/>
      <c r="W174" s="876"/>
      <c r="X174" s="876"/>
      <c r="Y174" s="876"/>
      <c r="Z174" s="876"/>
      <c r="AA174" s="876"/>
      <c r="AB174" s="876"/>
      <c r="AC174" s="876"/>
      <c r="AD174" s="876"/>
    </row>
    <row r="175" spans="1:30">
      <c r="A175" s="876"/>
      <c r="B175" s="876"/>
      <c r="C175" s="876"/>
      <c r="D175" s="876"/>
      <c r="E175" s="876"/>
      <c r="F175" s="876"/>
      <c r="G175" s="876"/>
      <c r="H175" s="876"/>
      <c r="I175" s="876"/>
      <c r="J175" s="876"/>
      <c r="K175" s="876"/>
      <c r="L175" s="876"/>
      <c r="M175" s="876"/>
      <c r="N175" s="876"/>
      <c r="O175" s="876"/>
      <c r="P175" s="876"/>
      <c r="Q175" s="876"/>
      <c r="R175" s="876"/>
      <c r="S175" s="876"/>
      <c r="T175" s="876"/>
      <c r="U175" s="876"/>
      <c r="V175" s="876"/>
      <c r="W175" s="876"/>
      <c r="X175" s="876"/>
      <c r="Y175" s="876"/>
      <c r="Z175" s="876"/>
      <c r="AA175" s="876"/>
      <c r="AB175" s="876"/>
      <c r="AC175" s="876"/>
      <c r="AD175" s="876"/>
    </row>
    <row r="176" spans="1:30">
      <c r="A176" s="876"/>
      <c r="B176" s="876"/>
      <c r="C176" s="876"/>
      <c r="D176" s="876"/>
      <c r="E176" s="876"/>
      <c r="F176" s="876"/>
      <c r="G176" s="876"/>
      <c r="H176" s="876"/>
      <c r="I176" s="876"/>
      <c r="J176" s="876"/>
      <c r="K176" s="876"/>
      <c r="L176" s="876"/>
      <c r="M176" s="876"/>
      <c r="N176" s="876"/>
      <c r="O176" s="876"/>
      <c r="P176" s="876"/>
      <c r="Q176" s="876"/>
      <c r="R176" s="876"/>
      <c r="S176" s="876"/>
      <c r="T176" s="876"/>
      <c r="U176" s="876"/>
      <c r="V176" s="876"/>
      <c r="W176" s="876"/>
      <c r="X176" s="876"/>
      <c r="Y176" s="876"/>
      <c r="Z176" s="876"/>
      <c r="AA176" s="876"/>
      <c r="AB176" s="876"/>
      <c r="AC176" s="876"/>
      <c r="AD176" s="876"/>
    </row>
    <row r="177" spans="1:30">
      <c r="A177" s="876"/>
      <c r="B177" s="876"/>
      <c r="C177" s="876"/>
      <c r="D177" s="876"/>
      <c r="E177" s="876"/>
      <c r="F177" s="876"/>
      <c r="G177" s="876"/>
      <c r="H177" s="876"/>
      <c r="I177" s="876"/>
      <c r="J177" s="876"/>
      <c r="K177" s="876"/>
      <c r="L177" s="876"/>
      <c r="M177" s="876"/>
      <c r="N177" s="876"/>
      <c r="O177" s="876"/>
      <c r="P177" s="876"/>
      <c r="Q177" s="876"/>
      <c r="R177" s="876"/>
      <c r="S177" s="876"/>
      <c r="T177" s="876"/>
      <c r="U177" s="876"/>
      <c r="V177" s="876"/>
      <c r="W177" s="876"/>
      <c r="X177" s="876"/>
      <c r="Y177" s="876"/>
      <c r="Z177" s="876"/>
      <c r="AA177" s="876"/>
      <c r="AB177" s="876"/>
      <c r="AC177" s="876"/>
      <c r="AD177" s="876"/>
    </row>
    <row r="178" spans="1:30">
      <c r="A178" s="876"/>
      <c r="B178" s="876"/>
      <c r="C178" s="876"/>
      <c r="D178" s="876"/>
      <c r="E178" s="876"/>
      <c r="F178" s="876"/>
      <c r="G178" s="876"/>
      <c r="H178" s="876"/>
      <c r="I178" s="876"/>
      <c r="J178" s="876"/>
      <c r="K178" s="876"/>
      <c r="L178" s="876"/>
      <c r="M178" s="876"/>
      <c r="N178" s="876"/>
      <c r="O178" s="876"/>
      <c r="P178" s="876"/>
      <c r="Q178" s="876"/>
      <c r="R178" s="876"/>
      <c r="S178" s="876"/>
      <c r="T178" s="876"/>
      <c r="U178" s="876"/>
      <c r="V178" s="876"/>
      <c r="W178" s="876"/>
      <c r="X178" s="876"/>
      <c r="Y178" s="876"/>
      <c r="Z178" s="876"/>
      <c r="AA178" s="876"/>
      <c r="AB178" s="876"/>
      <c r="AC178" s="876"/>
      <c r="AD178" s="876"/>
    </row>
    <row r="179" spans="1:30">
      <c r="A179" s="876"/>
      <c r="B179" s="876"/>
      <c r="C179" s="876"/>
      <c r="D179" s="876"/>
      <c r="E179" s="876"/>
      <c r="F179" s="876"/>
      <c r="G179" s="876"/>
      <c r="H179" s="876"/>
      <c r="I179" s="876"/>
      <c r="J179" s="876"/>
      <c r="K179" s="876"/>
      <c r="L179" s="876"/>
      <c r="M179" s="876"/>
      <c r="N179" s="876"/>
      <c r="O179" s="876"/>
      <c r="P179" s="876"/>
      <c r="Q179" s="876"/>
      <c r="R179" s="876"/>
      <c r="S179" s="876"/>
      <c r="T179" s="876"/>
      <c r="U179" s="876"/>
      <c r="V179" s="876"/>
      <c r="W179" s="876"/>
      <c r="X179" s="876"/>
      <c r="Y179" s="876"/>
      <c r="Z179" s="876"/>
      <c r="AA179" s="876"/>
      <c r="AB179" s="876"/>
      <c r="AC179" s="876"/>
      <c r="AD179" s="876"/>
    </row>
    <row r="180" spans="1:30">
      <c r="A180" s="876"/>
      <c r="B180" s="876"/>
      <c r="C180" s="876"/>
      <c r="D180" s="876"/>
      <c r="E180" s="876"/>
      <c r="F180" s="876"/>
      <c r="G180" s="876"/>
      <c r="H180" s="876"/>
      <c r="I180" s="876"/>
      <c r="J180" s="876"/>
      <c r="K180" s="876"/>
      <c r="L180" s="876"/>
      <c r="M180" s="876"/>
      <c r="N180" s="876"/>
      <c r="O180" s="876"/>
      <c r="P180" s="876"/>
      <c r="Q180" s="876"/>
      <c r="R180" s="876"/>
      <c r="S180" s="876"/>
      <c r="T180" s="876"/>
      <c r="U180" s="876"/>
      <c r="V180" s="876"/>
      <c r="W180" s="876"/>
      <c r="X180" s="876"/>
      <c r="Y180" s="876"/>
      <c r="Z180" s="876"/>
      <c r="AA180" s="876"/>
      <c r="AB180" s="876"/>
      <c r="AC180" s="876"/>
      <c r="AD180" s="876"/>
    </row>
    <row r="181" spans="1:30">
      <c r="A181" s="876"/>
      <c r="B181" s="876"/>
      <c r="C181" s="876"/>
      <c r="D181" s="876"/>
      <c r="E181" s="876"/>
      <c r="F181" s="876"/>
      <c r="G181" s="876"/>
      <c r="H181" s="876"/>
      <c r="I181" s="876"/>
      <c r="J181" s="876"/>
      <c r="K181" s="876"/>
      <c r="L181" s="876"/>
      <c r="M181" s="876"/>
      <c r="N181" s="876"/>
      <c r="O181" s="876"/>
      <c r="P181" s="876"/>
      <c r="Q181" s="876"/>
      <c r="R181" s="876"/>
      <c r="S181" s="876"/>
      <c r="T181" s="876"/>
      <c r="U181" s="876"/>
      <c r="V181" s="876"/>
      <c r="W181" s="876"/>
      <c r="X181" s="876"/>
      <c r="Y181" s="876"/>
      <c r="Z181" s="876"/>
      <c r="AA181" s="876"/>
      <c r="AB181" s="876"/>
      <c r="AC181" s="876"/>
      <c r="AD181" s="876"/>
    </row>
    <row r="182" spans="1:30">
      <c r="A182" s="876"/>
      <c r="B182" s="876"/>
      <c r="C182" s="876"/>
      <c r="D182" s="876"/>
      <c r="E182" s="876"/>
      <c r="F182" s="876"/>
      <c r="G182" s="876"/>
      <c r="H182" s="876"/>
      <c r="I182" s="876"/>
      <c r="J182" s="876"/>
      <c r="K182" s="876"/>
      <c r="L182" s="876"/>
      <c r="M182" s="876"/>
      <c r="N182" s="876"/>
      <c r="O182" s="876"/>
      <c r="P182" s="876"/>
      <c r="Q182" s="876"/>
      <c r="R182" s="876"/>
      <c r="S182" s="876"/>
      <c r="T182" s="876"/>
      <c r="U182" s="876"/>
      <c r="V182" s="876"/>
      <c r="W182" s="876"/>
      <c r="X182" s="876"/>
      <c r="Y182" s="876"/>
      <c r="Z182" s="876"/>
      <c r="AA182" s="876"/>
      <c r="AB182" s="876"/>
      <c r="AC182" s="876"/>
      <c r="AD182" s="876"/>
    </row>
    <row r="183" spans="1:30">
      <c r="A183" s="876"/>
      <c r="B183" s="876"/>
      <c r="C183" s="876"/>
      <c r="D183" s="876"/>
      <c r="E183" s="876"/>
      <c r="F183" s="876"/>
      <c r="G183" s="876"/>
      <c r="H183" s="876"/>
      <c r="I183" s="876"/>
      <c r="J183" s="876"/>
      <c r="K183" s="876"/>
      <c r="L183" s="876"/>
      <c r="M183" s="876"/>
      <c r="N183" s="876"/>
      <c r="O183" s="876"/>
      <c r="P183" s="876"/>
      <c r="Q183" s="876"/>
      <c r="R183" s="876"/>
      <c r="S183" s="876"/>
      <c r="T183" s="876"/>
      <c r="U183" s="876"/>
      <c r="V183" s="876"/>
      <c r="W183" s="876"/>
      <c r="X183" s="876"/>
      <c r="Y183" s="876"/>
      <c r="Z183" s="876"/>
      <c r="AA183" s="876"/>
      <c r="AB183" s="876"/>
      <c r="AC183" s="876"/>
      <c r="AD183" s="876"/>
    </row>
    <row r="184" spans="1:30">
      <c r="A184" s="876"/>
      <c r="B184" s="876"/>
      <c r="C184" s="876"/>
      <c r="D184" s="876"/>
      <c r="E184" s="876"/>
      <c r="F184" s="876"/>
      <c r="G184" s="876"/>
      <c r="H184" s="876"/>
      <c r="I184" s="876"/>
      <c r="J184" s="876"/>
      <c r="K184" s="876"/>
      <c r="L184" s="876"/>
      <c r="M184" s="876"/>
      <c r="N184" s="876"/>
      <c r="O184" s="876"/>
      <c r="P184" s="876"/>
      <c r="Q184" s="876"/>
      <c r="R184" s="876"/>
      <c r="S184" s="876"/>
      <c r="T184" s="876"/>
      <c r="U184" s="876"/>
      <c r="V184" s="876"/>
      <c r="W184" s="876"/>
      <c r="X184" s="876"/>
      <c r="Y184" s="876"/>
      <c r="Z184" s="876"/>
      <c r="AA184" s="876"/>
      <c r="AB184" s="876"/>
      <c r="AC184" s="876"/>
      <c r="AD184" s="876"/>
    </row>
    <row r="185" spans="1:30">
      <c r="A185" s="876"/>
      <c r="B185" s="876"/>
      <c r="C185" s="876"/>
      <c r="D185" s="876"/>
      <c r="E185" s="876"/>
      <c r="F185" s="876"/>
      <c r="G185" s="876"/>
      <c r="H185" s="876"/>
      <c r="I185" s="876"/>
      <c r="J185" s="876"/>
      <c r="K185" s="876"/>
      <c r="L185" s="876"/>
      <c r="M185" s="876"/>
      <c r="N185" s="876"/>
      <c r="O185" s="876"/>
      <c r="P185" s="876"/>
      <c r="Q185" s="876"/>
      <c r="R185" s="876"/>
      <c r="S185" s="876"/>
      <c r="T185" s="876"/>
      <c r="U185" s="876"/>
      <c r="V185" s="876"/>
      <c r="W185" s="876"/>
      <c r="X185" s="876"/>
      <c r="Y185" s="876"/>
      <c r="Z185" s="876"/>
      <c r="AA185" s="876"/>
      <c r="AB185" s="876"/>
      <c r="AC185" s="876"/>
      <c r="AD185" s="876"/>
    </row>
    <row r="186" spans="1:30">
      <c r="A186" s="876"/>
      <c r="B186" s="876"/>
      <c r="C186" s="876"/>
      <c r="D186" s="876"/>
      <c r="E186" s="876"/>
      <c r="F186" s="876"/>
      <c r="G186" s="876"/>
      <c r="H186" s="876"/>
      <c r="I186" s="876"/>
      <c r="J186" s="876"/>
      <c r="K186" s="876"/>
      <c r="L186" s="876"/>
      <c r="M186" s="876"/>
      <c r="N186" s="876"/>
      <c r="O186" s="876"/>
      <c r="P186" s="876"/>
      <c r="Q186" s="876"/>
      <c r="R186" s="876"/>
      <c r="S186" s="876"/>
      <c r="T186" s="876"/>
      <c r="U186" s="876"/>
      <c r="V186" s="876"/>
      <c r="W186" s="876"/>
      <c r="X186" s="876"/>
      <c r="Y186" s="876"/>
      <c r="Z186" s="876"/>
      <c r="AA186" s="876"/>
      <c r="AB186" s="876"/>
      <c r="AC186" s="876"/>
      <c r="AD186" s="876"/>
    </row>
    <row r="187" spans="1:30">
      <c r="A187" s="876"/>
      <c r="B187" s="876"/>
      <c r="C187" s="876"/>
      <c r="D187" s="876"/>
      <c r="E187" s="876"/>
      <c r="F187" s="876"/>
      <c r="G187" s="876"/>
      <c r="H187" s="876"/>
      <c r="I187" s="876"/>
      <c r="J187" s="876"/>
      <c r="K187" s="876"/>
      <c r="L187" s="876"/>
      <c r="M187" s="876"/>
      <c r="N187" s="876"/>
      <c r="O187" s="876"/>
      <c r="P187" s="876"/>
      <c r="Q187" s="876"/>
      <c r="R187" s="876"/>
      <c r="S187" s="876"/>
      <c r="T187" s="876"/>
      <c r="U187" s="876"/>
      <c r="V187" s="876"/>
      <c r="W187" s="876"/>
      <c r="X187" s="876"/>
      <c r="Y187" s="876"/>
      <c r="Z187" s="876"/>
      <c r="AA187" s="876"/>
      <c r="AB187" s="876"/>
      <c r="AC187" s="876"/>
      <c r="AD187" s="876"/>
    </row>
    <row r="188" spans="1:30">
      <c r="A188" s="876"/>
      <c r="B188" s="876"/>
      <c r="C188" s="876"/>
      <c r="D188" s="876"/>
      <c r="E188" s="876"/>
      <c r="F188" s="876"/>
      <c r="G188" s="876"/>
      <c r="H188" s="876"/>
      <c r="I188" s="876"/>
      <c r="J188" s="876"/>
      <c r="K188" s="876"/>
      <c r="L188" s="876"/>
      <c r="M188" s="876"/>
      <c r="N188" s="876"/>
      <c r="O188" s="876"/>
      <c r="P188" s="876"/>
      <c r="Q188" s="876"/>
      <c r="R188" s="876"/>
      <c r="S188" s="876"/>
      <c r="T188" s="876"/>
      <c r="U188" s="876"/>
      <c r="V188" s="876"/>
      <c r="W188" s="876"/>
      <c r="X188" s="876"/>
      <c r="Y188" s="876"/>
      <c r="Z188" s="876"/>
      <c r="AA188" s="876"/>
      <c r="AB188" s="876"/>
      <c r="AC188" s="876"/>
      <c r="AD188" s="876"/>
    </row>
    <row r="189" spans="1:30">
      <c r="A189" s="876"/>
      <c r="B189" s="876"/>
      <c r="C189" s="876"/>
      <c r="D189" s="876"/>
      <c r="E189" s="876"/>
      <c r="F189" s="876"/>
      <c r="G189" s="876"/>
      <c r="H189" s="876"/>
      <c r="I189" s="876"/>
      <c r="J189" s="876"/>
      <c r="K189" s="876"/>
      <c r="L189" s="876"/>
      <c r="M189" s="876"/>
      <c r="N189" s="876"/>
      <c r="O189" s="876"/>
      <c r="P189" s="876"/>
      <c r="Q189" s="876"/>
      <c r="R189" s="876"/>
      <c r="S189" s="876"/>
      <c r="T189" s="876"/>
      <c r="U189" s="876"/>
      <c r="V189" s="876"/>
      <c r="W189" s="876"/>
      <c r="X189" s="876"/>
      <c r="Y189" s="876"/>
      <c r="Z189" s="876"/>
      <c r="AA189" s="876"/>
      <c r="AB189" s="876"/>
      <c r="AC189" s="876"/>
      <c r="AD189" s="876"/>
    </row>
    <row r="190" spans="1:30">
      <c r="A190" s="876"/>
      <c r="B190" s="876"/>
      <c r="C190" s="876"/>
      <c r="D190" s="876"/>
      <c r="E190" s="876"/>
      <c r="F190" s="876"/>
      <c r="G190" s="876"/>
      <c r="H190" s="876"/>
      <c r="I190" s="876"/>
      <c r="J190" s="876"/>
      <c r="K190" s="876"/>
      <c r="L190" s="876"/>
      <c r="M190" s="876"/>
      <c r="N190" s="876"/>
      <c r="O190" s="876"/>
      <c r="P190" s="876"/>
      <c r="Q190" s="876"/>
      <c r="R190" s="876"/>
      <c r="S190" s="876"/>
      <c r="T190" s="876"/>
      <c r="U190" s="876"/>
      <c r="V190" s="876"/>
      <c r="W190" s="876"/>
      <c r="X190" s="876"/>
      <c r="Y190" s="876"/>
      <c r="Z190" s="876"/>
      <c r="AA190" s="876"/>
      <c r="AB190" s="876"/>
      <c r="AC190" s="876"/>
      <c r="AD190" s="876"/>
    </row>
    <row r="191" spans="1:30">
      <c r="A191" s="876"/>
      <c r="B191" s="876"/>
      <c r="C191" s="876"/>
      <c r="D191" s="876"/>
      <c r="E191" s="876"/>
      <c r="F191" s="876"/>
      <c r="G191" s="876"/>
      <c r="H191" s="876"/>
      <c r="I191" s="876"/>
      <c r="J191" s="876"/>
      <c r="K191" s="876"/>
      <c r="L191" s="876"/>
      <c r="M191" s="876"/>
      <c r="N191" s="876"/>
      <c r="O191" s="876"/>
      <c r="P191" s="876"/>
      <c r="Q191" s="876"/>
      <c r="R191" s="876"/>
      <c r="S191" s="876"/>
      <c r="T191" s="876"/>
      <c r="U191" s="876"/>
      <c r="V191" s="876"/>
      <c r="W191" s="876"/>
      <c r="X191" s="876"/>
      <c r="Y191" s="876"/>
      <c r="Z191" s="876"/>
      <c r="AA191" s="876"/>
      <c r="AB191" s="876"/>
      <c r="AC191" s="876"/>
      <c r="AD191" s="876"/>
    </row>
    <row r="192" spans="1:30">
      <c r="A192" s="876"/>
      <c r="B192" s="876"/>
      <c r="C192" s="876"/>
      <c r="D192" s="876"/>
      <c r="E192" s="876"/>
      <c r="F192" s="876"/>
      <c r="G192" s="876"/>
      <c r="H192" s="876"/>
      <c r="I192" s="876"/>
      <c r="J192" s="876"/>
      <c r="K192" s="876"/>
      <c r="L192" s="876"/>
      <c r="M192" s="876"/>
      <c r="N192" s="876"/>
      <c r="O192" s="876"/>
      <c r="P192" s="876"/>
      <c r="Q192" s="876"/>
      <c r="R192" s="876"/>
      <c r="S192" s="876"/>
      <c r="T192" s="876"/>
      <c r="U192" s="876"/>
      <c r="V192" s="876"/>
      <c r="W192" s="876"/>
      <c r="X192" s="876"/>
      <c r="Y192" s="876"/>
      <c r="Z192" s="876"/>
      <c r="AA192" s="876"/>
      <c r="AB192" s="876"/>
      <c r="AC192" s="876"/>
      <c r="AD192" s="876"/>
    </row>
    <row r="193" spans="1:30">
      <c r="A193" s="876"/>
      <c r="B193" s="876"/>
      <c r="C193" s="876"/>
      <c r="D193" s="876"/>
      <c r="E193" s="876"/>
      <c r="F193" s="876"/>
      <c r="G193" s="876"/>
      <c r="H193" s="876"/>
      <c r="I193" s="876"/>
      <c r="J193" s="876"/>
      <c r="K193" s="876"/>
      <c r="L193" s="876"/>
      <c r="M193" s="876"/>
      <c r="N193" s="876"/>
      <c r="O193" s="876"/>
      <c r="P193" s="876"/>
      <c r="Q193" s="876"/>
      <c r="R193" s="876"/>
      <c r="S193" s="876"/>
      <c r="T193" s="876"/>
      <c r="U193" s="876"/>
      <c r="V193" s="876"/>
      <c r="W193" s="876"/>
      <c r="X193" s="876"/>
      <c r="Y193" s="876"/>
      <c r="Z193" s="876"/>
      <c r="AA193" s="876"/>
      <c r="AB193" s="876"/>
      <c r="AC193" s="876"/>
      <c r="AD193" s="876"/>
    </row>
    <row r="194" spans="1:30">
      <c r="A194" s="876"/>
      <c r="B194" s="876"/>
      <c r="C194" s="876"/>
      <c r="D194" s="876"/>
      <c r="E194" s="876"/>
      <c r="F194" s="876"/>
      <c r="G194" s="876"/>
      <c r="H194" s="876"/>
      <c r="I194" s="876"/>
      <c r="J194" s="876"/>
      <c r="K194" s="876"/>
      <c r="L194" s="876"/>
      <c r="M194" s="876"/>
      <c r="N194" s="876"/>
      <c r="O194" s="876"/>
      <c r="P194" s="876"/>
      <c r="Q194" s="876"/>
      <c r="R194" s="876"/>
      <c r="S194" s="876"/>
      <c r="T194" s="876"/>
      <c r="U194" s="876"/>
      <c r="V194" s="876"/>
      <c r="W194" s="876"/>
      <c r="X194" s="876"/>
      <c r="Y194" s="876"/>
      <c r="Z194" s="876"/>
      <c r="AA194" s="876"/>
      <c r="AB194" s="876"/>
      <c r="AC194" s="876"/>
      <c r="AD194" s="876"/>
    </row>
    <row r="195" spans="1:30">
      <c r="A195" s="876"/>
      <c r="B195" s="876"/>
      <c r="C195" s="876"/>
      <c r="D195" s="876"/>
      <c r="E195" s="876"/>
      <c r="F195" s="876"/>
      <c r="G195" s="876"/>
      <c r="H195" s="876"/>
      <c r="I195" s="876"/>
      <c r="J195" s="876"/>
      <c r="K195" s="876"/>
      <c r="L195" s="876"/>
      <c r="M195" s="876"/>
      <c r="N195" s="876"/>
      <c r="O195" s="876"/>
      <c r="P195" s="876"/>
      <c r="Q195" s="876"/>
      <c r="R195" s="876"/>
      <c r="S195" s="876"/>
      <c r="T195" s="876"/>
      <c r="U195" s="876"/>
      <c r="V195" s="876"/>
      <c r="W195" s="876"/>
      <c r="X195" s="876"/>
      <c r="Y195" s="876"/>
      <c r="Z195" s="876"/>
      <c r="AA195" s="876"/>
      <c r="AB195" s="876"/>
      <c r="AC195" s="876"/>
      <c r="AD195" s="876"/>
    </row>
    <row r="196" spans="1:30">
      <c r="A196" s="876"/>
      <c r="B196" s="876"/>
      <c r="C196" s="876"/>
      <c r="D196" s="876"/>
      <c r="E196" s="876"/>
      <c r="F196" s="876"/>
      <c r="G196" s="876"/>
      <c r="H196" s="876"/>
      <c r="I196" s="876"/>
      <c r="J196" s="876"/>
      <c r="K196" s="876"/>
      <c r="L196" s="876"/>
      <c r="M196" s="876"/>
      <c r="N196" s="876"/>
      <c r="O196" s="876"/>
      <c r="P196" s="876"/>
      <c r="Q196" s="876"/>
      <c r="R196" s="876"/>
      <c r="S196" s="876"/>
      <c r="T196" s="876"/>
      <c r="U196" s="876"/>
      <c r="V196" s="876"/>
      <c r="W196" s="876"/>
      <c r="X196" s="876"/>
      <c r="Y196" s="876"/>
      <c r="Z196" s="876"/>
      <c r="AA196" s="876"/>
      <c r="AB196" s="876"/>
      <c r="AC196" s="876"/>
      <c r="AD196" s="876"/>
    </row>
    <row r="197" spans="1:30">
      <c r="A197" s="876"/>
      <c r="B197" s="876"/>
      <c r="C197" s="876"/>
      <c r="D197" s="876"/>
      <c r="E197" s="876"/>
      <c r="F197" s="876"/>
      <c r="G197" s="876"/>
      <c r="H197" s="876"/>
      <c r="I197" s="876"/>
      <c r="J197" s="876"/>
      <c r="K197" s="876"/>
      <c r="L197" s="876"/>
      <c r="M197" s="876"/>
      <c r="N197" s="876"/>
      <c r="O197" s="876"/>
      <c r="P197" s="876"/>
      <c r="Q197" s="876"/>
      <c r="R197" s="876"/>
      <c r="S197" s="876"/>
      <c r="T197" s="876"/>
      <c r="U197" s="876"/>
      <c r="V197" s="876"/>
      <c r="W197" s="876"/>
      <c r="X197" s="876"/>
      <c r="Y197" s="876"/>
      <c r="Z197" s="876"/>
      <c r="AA197" s="876"/>
      <c r="AB197" s="876"/>
      <c r="AC197" s="876"/>
      <c r="AD197" s="876"/>
    </row>
    <row r="198" spans="1:30">
      <c r="A198" s="876"/>
      <c r="B198" s="876"/>
      <c r="C198" s="876"/>
      <c r="D198" s="876"/>
      <c r="E198" s="876"/>
      <c r="F198" s="876"/>
      <c r="G198" s="876"/>
      <c r="H198" s="876"/>
      <c r="I198" s="876"/>
      <c r="J198" s="876"/>
      <c r="K198" s="876"/>
      <c r="L198" s="876"/>
      <c r="M198" s="876"/>
      <c r="N198" s="876"/>
      <c r="O198" s="876"/>
      <c r="P198" s="876"/>
      <c r="Q198" s="876"/>
      <c r="R198" s="876"/>
      <c r="S198" s="876"/>
      <c r="T198" s="876"/>
      <c r="U198" s="876"/>
      <c r="V198" s="876"/>
      <c r="W198" s="876"/>
      <c r="X198" s="876"/>
      <c r="Y198" s="876"/>
      <c r="Z198" s="876"/>
      <c r="AA198" s="876"/>
      <c r="AB198" s="876"/>
      <c r="AC198" s="876"/>
      <c r="AD198" s="876"/>
    </row>
    <row r="199" spans="1:30">
      <c r="A199" s="876"/>
      <c r="B199" s="876"/>
      <c r="C199" s="876"/>
      <c r="D199" s="876"/>
      <c r="E199" s="876"/>
      <c r="F199" s="876"/>
      <c r="G199" s="876"/>
      <c r="H199" s="876"/>
      <c r="I199" s="876"/>
      <c r="J199" s="876"/>
      <c r="K199" s="876"/>
      <c r="L199" s="876"/>
      <c r="M199" s="876"/>
      <c r="N199" s="876"/>
      <c r="O199" s="876"/>
      <c r="P199" s="876"/>
      <c r="Q199" s="876"/>
      <c r="R199" s="876"/>
      <c r="S199" s="876"/>
      <c r="T199" s="876"/>
      <c r="U199" s="876"/>
      <c r="V199" s="876"/>
      <c r="W199" s="876"/>
      <c r="X199" s="876"/>
      <c r="Y199" s="876"/>
      <c r="Z199" s="876"/>
      <c r="AA199" s="876"/>
      <c r="AB199" s="876"/>
      <c r="AC199" s="876"/>
      <c r="AD199" s="876"/>
    </row>
    <row r="200" spans="1:30">
      <c r="A200" s="876"/>
      <c r="B200" s="876"/>
      <c r="C200" s="876"/>
      <c r="D200" s="876"/>
      <c r="E200" s="876"/>
      <c r="F200" s="876"/>
      <c r="G200" s="876"/>
      <c r="H200" s="876"/>
      <c r="I200" s="876"/>
      <c r="J200" s="876"/>
      <c r="K200" s="876"/>
      <c r="L200" s="876"/>
      <c r="M200" s="876"/>
      <c r="N200" s="876"/>
      <c r="O200" s="876"/>
      <c r="P200" s="876"/>
      <c r="Q200" s="876"/>
      <c r="R200" s="876"/>
      <c r="S200" s="876"/>
      <c r="T200" s="876"/>
      <c r="U200" s="876"/>
      <c r="V200" s="876"/>
      <c r="W200" s="876"/>
      <c r="X200" s="876"/>
      <c r="Y200" s="876"/>
      <c r="Z200" s="876"/>
      <c r="AA200" s="876"/>
      <c r="AB200" s="876"/>
      <c r="AC200" s="876"/>
      <c r="AD200" s="876"/>
    </row>
    <row r="201" spans="1:30">
      <c r="A201" s="876"/>
      <c r="B201" s="876"/>
      <c r="C201" s="876"/>
      <c r="D201" s="876"/>
      <c r="E201" s="876"/>
      <c r="F201" s="876"/>
      <c r="G201" s="876"/>
      <c r="H201" s="876"/>
      <c r="I201" s="876"/>
      <c r="J201" s="876"/>
      <c r="K201" s="876"/>
      <c r="L201" s="876"/>
      <c r="M201" s="876"/>
      <c r="N201" s="876"/>
      <c r="O201" s="876"/>
      <c r="P201" s="876"/>
      <c r="Q201" s="876"/>
      <c r="R201" s="876"/>
      <c r="S201" s="876"/>
      <c r="T201" s="876"/>
      <c r="U201" s="876"/>
      <c r="V201" s="876"/>
      <c r="W201" s="876"/>
      <c r="X201" s="876"/>
      <c r="Y201" s="876"/>
      <c r="Z201" s="876"/>
      <c r="AA201" s="876"/>
      <c r="AB201" s="876"/>
      <c r="AC201" s="876"/>
      <c r="AD201" s="876"/>
    </row>
    <row r="202" spans="1:30">
      <c r="A202" s="876"/>
      <c r="B202" s="876"/>
      <c r="C202" s="876"/>
      <c r="D202" s="876"/>
      <c r="E202" s="876"/>
      <c r="F202" s="876"/>
      <c r="G202" s="876"/>
      <c r="H202" s="876"/>
      <c r="I202" s="876"/>
      <c r="J202" s="876"/>
      <c r="K202" s="876"/>
      <c r="L202" s="876"/>
      <c r="M202" s="876"/>
      <c r="N202" s="876"/>
      <c r="O202" s="876"/>
      <c r="P202" s="876"/>
      <c r="Q202" s="876"/>
      <c r="R202" s="876"/>
      <c r="S202" s="876"/>
      <c r="T202" s="876"/>
      <c r="U202" s="876"/>
      <c r="V202" s="876"/>
      <c r="W202" s="876"/>
      <c r="X202" s="876"/>
      <c r="Y202" s="876"/>
      <c r="Z202" s="876"/>
      <c r="AA202" s="876"/>
      <c r="AB202" s="876"/>
      <c r="AC202" s="876"/>
      <c r="AD202" s="876"/>
    </row>
    <row r="203" spans="1:30">
      <c r="A203" s="876"/>
      <c r="B203" s="876"/>
      <c r="C203" s="876"/>
      <c r="D203" s="876"/>
      <c r="E203" s="876"/>
      <c r="F203" s="876"/>
      <c r="G203" s="876"/>
      <c r="H203" s="876"/>
      <c r="I203" s="876"/>
      <c r="J203" s="876"/>
      <c r="K203" s="876"/>
      <c r="L203" s="876"/>
      <c r="M203" s="876"/>
      <c r="N203" s="876"/>
      <c r="O203" s="876"/>
      <c r="P203" s="876"/>
      <c r="Q203" s="876"/>
      <c r="R203" s="876"/>
      <c r="S203" s="876"/>
      <c r="T203" s="876"/>
      <c r="U203" s="876"/>
      <c r="V203" s="876"/>
      <c r="W203" s="876"/>
      <c r="X203" s="876"/>
      <c r="Y203" s="876"/>
      <c r="Z203" s="876"/>
      <c r="AA203" s="876"/>
      <c r="AB203" s="876"/>
      <c r="AC203" s="876"/>
      <c r="AD203" s="876"/>
    </row>
    <row r="204" spans="1:30">
      <c r="A204" s="876"/>
      <c r="B204" s="876"/>
      <c r="C204" s="876"/>
      <c r="D204" s="876"/>
      <c r="E204" s="876"/>
      <c r="F204" s="876"/>
      <c r="G204" s="876"/>
      <c r="H204" s="876"/>
      <c r="I204" s="876"/>
      <c r="J204" s="876"/>
      <c r="K204" s="876"/>
      <c r="L204" s="876"/>
      <c r="M204" s="876"/>
      <c r="N204" s="876"/>
      <c r="O204" s="876"/>
      <c r="P204" s="876"/>
      <c r="Q204" s="876"/>
      <c r="R204" s="876"/>
      <c r="S204" s="876"/>
      <c r="T204" s="876"/>
      <c r="U204" s="876"/>
      <c r="V204" s="876"/>
      <c r="W204" s="876"/>
      <c r="X204" s="876"/>
      <c r="Y204" s="876"/>
      <c r="Z204" s="876"/>
      <c r="AA204" s="876"/>
      <c r="AB204" s="876"/>
      <c r="AC204" s="876"/>
      <c r="AD204" s="876"/>
    </row>
    <row r="205" spans="1:30">
      <c r="A205" s="876"/>
      <c r="B205" s="876"/>
      <c r="C205" s="876"/>
      <c r="D205" s="876"/>
      <c r="E205" s="876"/>
      <c r="F205" s="876"/>
      <c r="G205" s="876"/>
      <c r="H205" s="876"/>
      <c r="I205" s="876"/>
      <c r="J205" s="876"/>
      <c r="K205" s="876"/>
      <c r="L205" s="876"/>
      <c r="M205" s="876"/>
      <c r="N205" s="876"/>
      <c r="O205" s="876"/>
      <c r="P205" s="876"/>
      <c r="Q205" s="876"/>
      <c r="R205" s="876"/>
      <c r="S205" s="876"/>
      <c r="T205" s="876"/>
      <c r="U205" s="876"/>
      <c r="V205" s="876"/>
      <c r="W205" s="876"/>
      <c r="X205" s="876"/>
      <c r="Y205" s="876"/>
      <c r="Z205" s="876"/>
      <c r="AA205" s="876"/>
      <c r="AB205" s="876"/>
      <c r="AC205" s="876"/>
      <c r="AD205" s="876"/>
    </row>
    <row r="206" spans="1:30">
      <c r="A206" s="876"/>
      <c r="B206" s="876"/>
      <c r="C206" s="876"/>
      <c r="D206" s="876"/>
      <c r="E206" s="876"/>
      <c r="F206" s="876"/>
      <c r="G206" s="876"/>
      <c r="H206" s="876"/>
      <c r="I206" s="876"/>
      <c r="J206" s="876"/>
      <c r="K206" s="876"/>
      <c r="L206" s="876"/>
      <c r="M206" s="876"/>
      <c r="N206" s="876"/>
      <c r="O206" s="876"/>
      <c r="P206" s="876"/>
      <c r="Q206" s="876"/>
      <c r="R206" s="876"/>
      <c r="S206" s="876"/>
      <c r="T206" s="876"/>
      <c r="U206" s="876"/>
      <c r="V206" s="876"/>
      <c r="W206" s="876"/>
      <c r="X206" s="876"/>
      <c r="Y206" s="876"/>
      <c r="Z206" s="876"/>
      <c r="AA206" s="876"/>
      <c r="AB206" s="876"/>
      <c r="AC206" s="876"/>
      <c r="AD206" s="876"/>
    </row>
    <row r="207" spans="1:30">
      <c r="A207" s="876"/>
      <c r="B207" s="876"/>
      <c r="C207" s="876"/>
      <c r="D207" s="876"/>
      <c r="E207" s="876"/>
      <c r="F207" s="876"/>
      <c r="G207" s="876"/>
      <c r="H207" s="876"/>
      <c r="I207" s="876"/>
      <c r="J207" s="876"/>
      <c r="K207" s="876"/>
      <c r="L207" s="876"/>
      <c r="M207" s="876"/>
      <c r="N207" s="876"/>
      <c r="O207" s="876"/>
      <c r="P207" s="876"/>
      <c r="Q207" s="876"/>
      <c r="R207" s="876"/>
      <c r="S207" s="876"/>
      <c r="T207" s="876"/>
      <c r="U207" s="876"/>
      <c r="V207" s="876"/>
      <c r="W207" s="876"/>
      <c r="X207" s="876"/>
      <c r="Y207" s="876"/>
      <c r="Z207" s="876"/>
      <c r="AA207" s="876"/>
      <c r="AB207" s="876"/>
      <c r="AC207" s="876"/>
      <c r="AD207" s="876"/>
    </row>
    <row r="208" spans="1:30">
      <c r="A208" s="876"/>
      <c r="B208" s="876"/>
      <c r="C208" s="876"/>
      <c r="D208" s="876"/>
      <c r="E208" s="876"/>
      <c r="F208" s="876"/>
      <c r="G208" s="876"/>
      <c r="H208" s="876"/>
      <c r="I208" s="876"/>
      <c r="J208" s="876"/>
      <c r="K208" s="876"/>
      <c r="L208" s="876"/>
      <c r="M208" s="876"/>
      <c r="N208" s="876"/>
      <c r="O208" s="876"/>
      <c r="P208" s="876"/>
      <c r="Q208" s="876"/>
      <c r="R208" s="876"/>
      <c r="S208" s="876"/>
      <c r="T208" s="876"/>
      <c r="U208" s="876"/>
      <c r="V208" s="876"/>
      <c r="W208" s="876"/>
      <c r="X208" s="876"/>
      <c r="Y208" s="876"/>
      <c r="Z208" s="876"/>
      <c r="AA208" s="876"/>
      <c r="AB208" s="876"/>
      <c r="AC208" s="876"/>
      <c r="AD208" s="876"/>
    </row>
    <row r="209" spans="1:30">
      <c r="A209" s="876"/>
      <c r="B209" s="876"/>
      <c r="C209" s="876"/>
      <c r="D209" s="876"/>
      <c r="E209" s="876"/>
      <c r="F209" s="876"/>
      <c r="G209" s="876"/>
      <c r="H209" s="876"/>
      <c r="I209" s="876"/>
      <c r="J209" s="876"/>
      <c r="K209" s="876"/>
      <c r="L209" s="876"/>
      <c r="M209" s="876"/>
      <c r="N209" s="876"/>
      <c r="O209" s="876"/>
      <c r="P209" s="876"/>
      <c r="Q209" s="876"/>
      <c r="R209" s="876"/>
      <c r="S209" s="876"/>
      <c r="T209" s="876"/>
      <c r="U209" s="876"/>
      <c r="V209" s="876"/>
      <c r="W209" s="876"/>
      <c r="X209" s="876"/>
      <c r="Y209" s="876"/>
      <c r="Z209" s="876"/>
      <c r="AA209" s="876"/>
      <c r="AB209" s="876"/>
      <c r="AC209" s="876"/>
      <c r="AD209" s="876"/>
    </row>
    <row r="210" spans="1:30">
      <c r="A210" s="876"/>
      <c r="B210" s="876"/>
      <c r="C210" s="876"/>
      <c r="D210" s="876"/>
      <c r="E210" s="876"/>
      <c r="F210" s="876"/>
      <c r="G210" s="876"/>
      <c r="H210" s="876"/>
      <c r="I210" s="876"/>
      <c r="J210" s="876"/>
      <c r="K210" s="876"/>
      <c r="L210" s="876"/>
      <c r="M210" s="876"/>
      <c r="N210" s="876"/>
      <c r="O210" s="876"/>
      <c r="P210" s="876"/>
      <c r="Q210" s="876"/>
      <c r="R210" s="876"/>
      <c r="S210" s="876"/>
      <c r="T210" s="876"/>
      <c r="U210" s="876"/>
      <c r="V210" s="876"/>
      <c r="W210" s="876"/>
      <c r="X210" s="876"/>
      <c r="Y210" s="876"/>
      <c r="Z210" s="876"/>
      <c r="AA210" s="876"/>
      <c r="AB210" s="876"/>
      <c r="AC210" s="876"/>
      <c r="AD210" s="876"/>
    </row>
    <row r="211" spans="1:30">
      <c r="A211" s="876"/>
      <c r="B211" s="876"/>
      <c r="C211" s="876"/>
      <c r="D211" s="876"/>
      <c r="E211" s="876"/>
      <c r="F211" s="876"/>
      <c r="G211" s="876"/>
      <c r="H211" s="876"/>
      <c r="I211" s="876"/>
      <c r="J211" s="876"/>
      <c r="K211" s="876"/>
      <c r="L211" s="876"/>
      <c r="M211" s="876"/>
      <c r="N211" s="876"/>
      <c r="O211" s="876"/>
      <c r="P211" s="876"/>
      <c r="Q211" s="876"/>
      <c r="R211" s="876"/>
      <c r="S211" s="876"/>
      <c r="T211" s="876"/>
      <c r="U211" s="876"/>
      <c r="V211" s="876"/>
      <c r="W211" s="876"/>
      <c r="X211" s="876"/>
      <c r="Y211" s="876"/>
      <c r="Z211" s="876"/>
      <c r="AA211" s="876"/>
      <c r="AB211" s="876"/>
      <c r="AC211" s="876"/>
      <c r="AD211" s="876"/>
    </row>
    <row r="212" spans="1:30">
      <c r="A212" s="876"/>
      <c r="B212" s="876"/>
      <c r="C212" s="876"/>
      <c r="D212" s="876"/>
      <c r="E212" s="876"/>
      <c r="F212" s="876"/>
      <c r="G212" s="876"/>
      <c r="H212" s="876"/>
      <c r="I212" s="876"/>
      <c r="J212" s="876"/>
      <c r="K212" s="876"/>
      <c r="L212" s="876"/>
      <c r="M212" s="876"/>
      <c r="N212" s="876"/>
      <c r="O212" s="876"/>
      <c r="P212" s="876"/>
      <c r="Q212" s="876"/>
      <c r="R212" s="876"/>
      <c r="S212" s="876"/>
      <c r="T212" s="876"/>
      <c r="U212" s="876"/>
      <c r="V212" s="876"/>
      <c r="W212" s="876"/>
      <c r="X212" s="876"/>
      <c r="Y212" s="876"/>
      <c r="Z212" s="876"/>
      <c r="AA212" s="876"/>
      <c r="AB212" s="876"/>
      <c r="AC212" s="876"/>
      <c r="AD212" s="876"/>
    </row>
    <row r="213" spans="1:30">
      <c r="A213" s="876"/>
      <c r="B213" s="876"/>
      <c r="C213" s="876"/>
      <c r="D213" s="876"/>
      <c r="E213" s="876"/>
      <c r="F213" s="876"/>
      <c r="G213" s="876"/>
      <c r="H213" s="876"/>
      <c r="I213" s="876"/>
      <c r="J213" s="876"/>
      <c r="K213" s="876"/>
      <c r="L213" s="876"/>
      <c r="M213" s="876"/>
      <c r="N213" s="876"/>
      <c r="O213" s="876"/>
      <c r="P213" s="876"/>
      <c r="Q213" s="876"/>
      <c r="R213" s="876"/>
      <c r="S213" s="876"/>
      <c r="T213" s="876"/>
      <c r="U213" s="876"/>
      <c r="V213" s="876"/>
      <c r="W213" s="876"/>
      <c r="X213" s="876"/>
      <c r="Y213" s="876"/>
      <c r="Z213" s="876"/>
      <c r="AA213" s="876"/>
      <c r="AB213" s="876"/>
      <c r="AC213" s="876"/>
      <c r="AD213" s="876"/>
    </row>
    <row r="214" spans="1:30">
      <c r="A214" s="876"/>
      <c r="B214" s="876"/>
      <c r="C214" s="876"/>
      <c r="D214" s="876"/>
      <c r="E214" s="876"/>
      <c r="F214" s="876"/>
      <c r="G214" s="876"/>
      <c r="H214" s="876"/>
      <c r="I214" s="876"/>
      <c r="J214" s="876"/>
      <c r="K214" s="876"/>
      <c r="L214" s="876"/>
      <c r="M214" s="876"/>
      <c r="N214" s="876"/>
      <c r="O214" s="876"/>
      <c r="P214" s="876"/>
      <c r="Q214" s="876"/>
      <c r="R214" s="876"/>
      <c r="S214" s="876"/>
      <c r="T214" s="876"/>
      <c r="U214" s="876"/>
      <c r="V214" s="876"/>
      <c r="W214" s="876"/>
      <c r="X214" s="876"/>
      <c r="Y214" s="876"/>
      <c r="Z214" s="876"/>
      <c r="AA214" s="876"/>
      <c r="AB214" s="876"/>
      <c r="AC214" s="876"/>
      <c r="AD214" s="876"/>
    </row>
    <row r="215" spans="1:30">
      <c r="A215" s="876"/>
      <c r="B215" s="876"/>
      <c r="C215" s="876"/>
      <c r="D215" s="876"/>
      <c r="E215" s="876"/>
      <c r="F215" s="876"/>
      <c r="G215" s="876"/>
      <c r="H215" s="876"/>
      <c r="I215" s="876"/>
      <c r="J215" s="876"/>
      <c r="K215" s="876"/>
      <c r="L215" s="876"/>
      <c r="M215" s="876"/>
      <c r="N215" s="876"/>
      <c r="O215" s="876"/>
      <c r="P215" s="876"/>
      <c r="Q215" s="876"/>
      <c r="R215" s="876"/>
      <c r="S215" s="876"/>
      <c r="T215" s="876"/>
      <c r="U215" s="876"/>
      <c r="V215" s="876"/>
      <c r="W215" s="876"/>
      <c r="X215" s="876"/>
      <c r="Y215" s="876"/>
      <c r="Z215" s="876"/>
      <c r="AA215" s="876"/>
      <c r="AB215" s="876"/>
      <c r="AC215" s="876"/>
      <c r="AD215" s="876"/>
    </row>
    <row r="216" spans="1:30">
      <c r="A216" s="876"/>
      <c r="B216" s="876"/>
      <c r="C216" s="876"/>
      <c r="D216" s="876"/>
      <c r="E216" s="876"/>
      <c r="F216" s="876"/>
      <c r="G216" s="876"/>
      <c r="H216" s="876"/>
      <c r="I216" s="876"/>
      <c r="J216" s="876"/>
      <c r="K216" s="876"/>
      <c r="L216" s="876"/>
      <c r="M216" s="876"/>
      <c r="N216" s="876"/>
      <c r="O216" s="876"/>
      <c r="P216" s="876"/>
      <c r="Q216" s="876"/>
      <c r="R216" s="876"/>
      <c r="S216" s="876"/>
      <c r="T216" s="876"/>
      <c r="U216" s="876"/>
      <c r="V216" s="876"/>
      <c r="W216" s="876"/>
      <c r="X216" s="876"/>
      <c r="Y216" s="876"/>
      <c r="Z216" s="876"/>
      <c r="AA216" s="876"/>
      <c r="AB216" s="876"/>
      <c r="AC216" s="876"/>
      <c r="AD216" s="876"/>
    </row>
    <row r="217" spans="1:30">
      <c r="A217" s="876"/>
      <c r="B217" s="876"/>
      <c r="C217" s="876"/>
      <c r="D217" s="876"/>
      <c r="E217" s="876"/>
      <c r="F217" s="876"/>
      <c r="G217" s="876"/>
      <c r="H217" s="876"/>
      <c r="I217" s="876"/>
      <c r="J217" s="876"/>
      <c r="K217" s="876"/>
      <c r="L217" s="876"/>
      <c r="M217" s="876"/>
      <c r="N217" s="876"/>
      <c r="O217" s="876"/>
      <c r="P217" s="876"/>
      <c r="Q217" s="876"/>
      <c r="R217" s="876"/>
      <c r="S217" s="876"/>
      <c r="T217" s="876"/>
      <c r="U217" s="876"/>
      <c r="V217" s="876"/>
      <c r="W217" s="876"/>
      <c r="X217" s="876"/>
      <c r="Y217" s="876"/>
      <c r="Z217" s="876"/>
      <c r="AA217" s="876"/>
      <c r="AB217" s="876"/>
      <c r="AC217" s="876"/>
      <c r="AD217" s="876"/>
    </row>
    <row r="218" spans="1:30">
      <c r="A218" s="876"/>
      <c r="B218" s="876"/>
      <c r="C218" s="876"/>
      <c r="D218" s="876"/>
      <c r="E218" s="876"/>
      <c r="F218" s="876"/>
      <c r="G218" s="876"/>
      <c r="H218" s="876"/>
      <c r="I218" s="876"/>
      <c r="J218" s="876"/>
      <c r="K218" s="876"/>
      <c r="L218" s="876"/>
      <c r="M218" s="876"/>
      <c r="N218" s="876"/>
      <c r="O218" s="876"/>
      <c r="P218" s="876"/>
      <c r="Q218" s="876"/>
      <c r="R218" s="876"/>
      <c r="S218" s="876"/>
      <c r="T218" s="876"/>
      <c r="U218" s="876"/>
      <c r="V218" s="876"/>
      <c r="W218" s="876"/>
      <c r="X218" s="876"/>
      <c r="Y218" s="876"/>
      <c r="Z218" s="876"/>
      <c r="AA218" s="876"/>
      <c r="AB218" s="876"/>
      <c r="AC218" s="876"/>
      <c r="AD218" s="876"/>
    </row>
    <row r="219" spans="1:30">
      <c r="A219" s="876"/>
      <c r="B219" s="876"/>
      <c r="C219" s="876"/>
      <c r="D219" s="876"/>
      <c r="E219" s="876"/>
      <c r="F219" s="876"/>
      <c r="G219" s="876"/>
      <c r="H219" s="876"/>
      <c r="I219" s="876"/>
      <c r="J219" s="876"/>
      <c r="K219" s="876"/>
      <c r="L219" s="876"/>
      <c r="M219" s="876"/>
      <c r="N219" s="876"/>
      <c r="O219" s="876"/>
      <c r="P219" s="876"/>
      <c r="Q219" s="876"/>
      <c r="R219" s="876"/>
      <c r="S219" s="876"/>
      <c r="T219" s="876"/>
      <c r="U219" s="876"/>
      <c r="V219" s="876"/>
      <c r="W219" s="876"/>
      <c r="X219" s="876"/>
      <c r="Y219" s="876"/>
      <c r="Z219" s="876"/>
      <c r="AA219" s="876"/>
      <c r="AB219" s="876"/>
      <c r="AC219" s="876"/>
      <c r="AD219" s="876"/>
    </row>
    <row r="220" spans="1:30">
      <c r="A220" s="876"/>
      <c r="B220" s="876"/>
      <c r="C220" s="876"/>
      <c r="D220" s="876"/>
      <c r="E220" s="876"/>
      <c r="F220" s="876"/>
      <c r="G220" s="876"/>
      <c r="H220" s="876"/>
      <c r="I220" s="876"/>
      <c r="J220" s="876"/>
      <c r="K220" s="876"/>
      <c r="L220" s="876"/>
      <c r="M220" s="876"/>
      <c r="N220" s="876"/>
      <c r="O220" s="876"/>
      <c r="P220" s="876"/>
      <c r="Q220" s="876"/>
      <c r="R220" s="876"/>
      <c r="S220" s="876"/>
      <c r="T220" s="876"/>
      <c r="U220" s="876"/>
      <c r="V220" s="876"/>
      <c r="W220" s="876"/>
      <c r="X220" s="876"/>
      <c r="Y220" s="876"/>
      <c r="Z220" s="876"/>
      <c r="AA220" s="876"/>
      <c r="AB220" s="876"/>
      <c r="AC220" s="876"/>
      <c r="AD220" s="876"/>
    </row>
    <row r="221" spans="1:30">
      <c r="A221" s="876"/>
      <c r="B221" s="876"/>
      <c r="C221" s="876"/>
      <c r="D221" s="876"/>
      <c r="E221" s="876"/>
      <c r="F221" s="876"/>
      <c r="G221" s="876"/>
      <c r="H221" s="876"/>
      <c r="I221" s="876"/>
      <c r="J221" s="876"/>
      <c r="K221" s="876"/>
      <c r="L221" s="876"/>
      <c r="M221" s="876"/>
      <c r="N221" s="876"/>
      <c r="O221" s="876"/>
      <c r="P221" s="876"/>
      <c r="Q221" s="876"/>
      <c r="R221" s="876"/>
      <c r="S221" s="876"/>
      <c r="T221" s="876"/>
      <c r="U221" s="876"/>
      <c r="V221" s="876"/>
      <c r="W221" s="876"/>
      <c r="X221" s="876"/>
      <c r="Y221" s="876"/>
      <c r="Z221" s="876"/>
      <c r="AA221" s="876"/>
      <c r="AB221" s="876"/>
      <c r="AC221" s="876"/>
      <c r="AD221" s="876"/>
    </row>
    <row r="222" spans="1:30">
      <c r="A222" s="876"/>
      <c r="B222" s="876"/>
      <c r="C222" s="876"/>
      <c r="D222" s="876"/>
      <c r="E222" s="876"/>
      <c r="F222" s="876"/>
      <c r="G222" s="876"/>
      <c r="H222" s="876"/>
      <c r="I222" s="876"/>
      <c r="J222" s="876"/>
      <c r="K222" s="876"/>
      <c r="L222" s="876"/>
      <c r="M222" s="876"/>
      <c r="N222" s="876"/>
      <c r="O222" s="876"/>
      <c r="P222" s="876"/>
      <c r="Q222" s="876"/>
      <c r="R222" s="876"/>
      <c r="S222" s="876"/>
      <c r="T222" s="876"/>
      <c r="U222" s="876"/>
      <c r="V222" s="876"/>
      <c r="W222" s="876"/>
      <c r="X222" s="876"/>
      <c r="Y222" s="876"/>
      <c r="Z222" s="876"/>
      <c r="AA222" s="876"/>
      <c r="AB222" s="876"/>
      <c r="AC222" s="876"/>
      <c r="AD222" s="876"/>
    </row>
    <row r="223" spans="1:30">
      <c r="A223" s="876"/>
      <c r="B223" s="876"/>
      <c r="C223" s="876"/>
      <c r="D223" s="876"/>
      <c r="E223" s="876"/>
      <c r="F223" s="876"/>
      <c r="G223" s="876"/>
      <c r="H223" s="876"/>
      <c r="I223" s="876"/>
      <c r="J223" s="876"/>
      <c r="K223" s="876"/>
      <c r="L223" s="876"/>
      <c r="M223" s="876"/>
      <c r="N223" s="876"/>
      <c r="O223" s="876"/>
      <c r="P223" s="876"/>
      <c r="Q223" s="876"/>
      <c r="R223" s="876"/>
      <c r="S223" s="876"/>
      <c r="T223" s="876"/>
      <c r="U223" s="876"/>
      <c r="V223" s="876"/>
      <c r="W223" s="876"/>
      <c r="X223" s="876"/>
      <c r="Y223" s="876"/>
      <c r="Z223" s="876"/>
      <c r="AA223" s="876"/>
      <c r="AB223" s="876"/>
      <c r="AC223" s="876"/>
      <c r="AD223" s="876"/>
    </row>
    <row r="224" spans="1:30">
      <c r="A224" s="876"/>
      <c r="B224" s="876"/>
      <c r="C224" s="876"/>
      <c r="D224" s="876"/>
      <c r="E224" s="876"/>
      <c r="F224" s="876"/>
      <c r="G224" s="876"/>
      <c r="H224" s="876"/>
      <c r="I224" s="876"/>
      <c r="J224" s="876"/>
      <c r="K224" s="876"/>
      <c r="L224" s="876"/>
      <c r="M224" s="876"/>
      <c r="N224" s="876"/>
      <c r="O224" s="876"/>
      <c r="P224" s="876"/>
      <c r="Q224" s="876"/>
      <c r="R224" s="876"/>
      <c r="S224" s="876"/>
      <c r="T224" s="876"/>
      <c r="U224" s="876"/>
      <c r="V224" s="876"/>
      <c r="W224" s="876"/>
      <c r="X224" s="876"/>
      <c r="Y224" s="876"/>
      <c r="Z224" s="876"/>
      <c r="AA224" s="876"/>
      <c r="AB224" s="876"/>
      <c r="AC224" s="876"/>
      <c r="AD224" s="876"/>
    </row>
    <row r="225" spans="1:30">
      <c r="A225" s="876"/>
      <c r="B225" s="876"/>
      <c r="C225" s="876"/>
      <c r="D225" s="876"/>
      <c r="E225" s="876"/>
      <c r="F225" s="876"/>
      <c r="G225" s="876"/>
      <c r="H225" s="876"/>
      <c r="I225" s="876"/>
      <c r="J225" s="876"/>
      <c r="K225" s="876"/>
      <c r="L225" s="876"/>
      <c r="M225" s="876"/>
      <c r="N225" s="876"/>
      <c r="O225" s="876"/>
      <c r="P225" s="876"/>
      <c r="Q225" s="876"/>
      <c r="R225" s="876"/>
      <c r="S225" s="876"/>
      <c r="T225" s="876"/>
      <c r="U225" s="876"/>
      <c r="V225" s="876"/>
      <c r="W225" s="876"/>
      <c r="X225" s="876"/>
      <c r="Y225" s="876"/>
      <c r="Z225" s="876"/>
      <c r="AA225" s="876"/>
      <c r="AB225" s="876"/>
      <c r="AC225" s="876"/>
      <c r="AD225" s="876"/>
    </row>
    <row r="226" spans="1:30">
      <c r="A226" s="876"/>
      <c r="B226" s="876"/>
      <c r="C226" s="876"/>
      <c r="D226" s="876"/>
      <c r="E226" s="876"/>
      <c r="F226" s="876"/>
      <c r="G226" s="876"/>
      <c r="H226" s="876"/>
      <c r="I226" s="876"/>
      <c r="J226" s="876"/>
      <c r="K226" s="876"/>
      <c r="L226" s="876"/>
      <c r="M226" s="876"/>
      <c r="N226" s="876"/>
      <c r="O226" s="876"/>
      <c r="P226" s="876"/>
      <c r="Q226" s="876"/>
      <c r="R226" s="876"/>
      <c r="S226" s="876"/>
      <c r="T226" s="876"/>
      <c r="U226" s="876"/>
      <c r="V226" s="876"/>
      <c r="W226" s="876"/>
      <c r="X226" s="876"/>
      <c r="Y226" s="876"/>
      <c r="Z226" s="876"/>
      <c r="AA226" s="876"/>
      <c r="AB226" s="876"/>
      <c r="AC226" s="876"/>
      <c r="AD226" s="876"/>
    </row>
    <row r="227" spans="1:30">
      <c r="A227" s="876"/>
      <c r="B227" s="876"/>
      <c r="C227" s="876"/>
      <c r="D227" s="876"/>
      <c r="E227" s="876"/>
      <c r="F227" s="876"/>
      <c r="G227" s="876"/>
      <c r="H227" s="876"/>
      <c r="I227" s="876"/>
      <c r="J227" s="876"/>
      <c r="K227" s="876"/>
      <c r="L227" s="876"/>
      <c r="M227" s="876"/>
      <c r="N227" s="876"/>
      <c r="O227" s="876"/>
      <c r="P227" s="876"/>
      <c r="Q227" s="876"/>
      <c r="R227" s="876"/>
      <c r="S227" s="876"/>
      <c r="T227" s="876"/>
      <c r="U227" s="876"/>
      <c r="V227" s="876"/>
      <c r="W227" s="876"/>
      <c r="X227" s="876"/>
      <c r="Y227" s="876"/>
      <c r="Z227" s="876"/>
      <c r="AA227" s="876"/>
      <c r="AB227" s="876"/>
      <c r="AC227" s="876"/>
      <c r="AD227" s="876"/>
    </row>
    <row r="228" spans="1:30">
      <c r="A228" s="876"/>
      <c r="B228" s="876"/>
      <c r="C228" s="876"/>
      <c r="D228" s="876"/>
      <c r="E228" s="876"/>
      <c r="F228" s="876"/>
      <c r="G228" s="876"/>
      <c r="H228" s="876"/>
      <c r="I228" s="876"/>
      <c r="J228" s="876"/>
      <c r="K228" s="876"/>
      <c r="L228" s="876"/>
      <c r="M228" s="876"/>
      <c r="N228" s="876"/>
      <c r="O228" s="876"/>
      <c r="P228" s="876"/>
      <c r="Q228" s="876"/>
      <c r="R228" s="876"/>
      <c r="S228" s="876"/>
      <c r="T228" s="876"/>
      <c r="U228" s="876"/>
      <c r="V228" s="876"/>
      <c r="W228" s="876"/>
      <c r="X228" s="876"/>
      <c r="Y228" s="876"/>
      <c r="Z228" s="876"/>
      <c r="AA228" s="876"/>
      <c r="AB228" s="876"/>
      <c r="AC228" s="876"/>
      <c r="AD228" s="876"/>
    </row>
    <row r="229" spans="1:30">
      <c r="A229" s="876"/>
      <c r="B229" s="876"/>
      <c r="C229" s="876"/>
      <c r="D229" s="876"/>
      <c r="E229" s="876"/>
      <c r="F229" s="876"/>
      <c r="G229" s="876"/>
      <c r="H229" s="876"/>
      <c r="I229" s="876"/>
      <c r="J229" s="876"/>
      <c r="K229" s="876"/>
      <c r="L229" s="876"/>
      <c r="M229" s="876"/>
      <c r="N229" s="876"/>
      <c r="O229" s="876"/>
      <c r="P229" s="876"/>
      <c r="Q229" s="876"/>
      <c r="R229" s="876"/>
      <c r="S229" s="876"/>
      <c r="T229" s="876"/>
      <c r="U229" s="876"/>
      <c r="V229" s="876"/>
      <c r="W229" s="876"/>
      <c r="X229" s="876"/>
      <c r="Y229" s="876"/>
      <c r="Z229" s="876"/>
      <c r="AA229" s="876"/>
      <c r="AB229" s="876"/>
      <c r="AC229" s="876"/>
      <c r="AD229" s="876"/>
    </row>
    <row r="230" spans="1:30">
      <c r="A230" s="876"/>
      <c r="B230" s="876"/>
      <c r="C230" s="876"/>
      <c r="D230" s="876"/>
      <c r="E230" s="876"/>
      <c r="F230" s="876"/>
      <c r="G230" s="876"/>
      <c r="H230" s="876"/>
      <c r="I230" s="876"/>
      <c r="J230" s="876"/>
      <c r="K230" s="876"/>
      <c r="L230" s="876"/>
      <c r="M230" s="876"/>
      <c r="N230" s="876"/>
      <c r="O230" s="876"/>
      <c r="P230" s="876"/>
      <c r="Q230" s="876"/>
      <c r="R230" s="876"/>
      <c r="S230" s="876"/>
      <c r="T230" s="876"/>
      <c r="U230" s="876"/>
      <c r="V230" s="876"/>
      <c r="W230" s="876"/>
      <c r="X230" s="876"/>
      <c r="Y230" s="876"/>
      <c r="Z230" s="876"/>
      <c r="AA230" s="876"/>
      <c r="AB230" s="876"/>
      <c r="AC230" s="876"/>
      <c r="AD230" s="876"/>
    </row>
    <row r="231" spans="1:30">
      <c r="A231" s="876"/>
      <c r="B231" s="876"/>
      <c r="C231" s="876"/>
      <c r="D231" s="876"/>
      <c r="E231" s="876"/>
      <c r="F231" s="876"/>
      <c r="G231" s="876"/>
      <c r="H231" s="876"/>
      <c r="I231" s="876"/>
      <c r="J231" s="876"/>
      <c r="K231" s="876"/>
      <c r="L231" s="876"/>
      <c r="M231" s="876"/>
      <c r="N231" s="876"/>
      <c r="O231" s="876"/>
      <c r="P231" s="876"/>
      <c r="Q231" s="876"/>
      <c r="R231" s="876"/>
      <c r="S231" s="876"/>
      <c r="T231" s="876"/>
      <c r="U231" s="876"/>
      <c r="V231" s="876"/>
      <c r="W231" s="876"/>
      <c r="X231" s="876"/>
      <c r="Y231" s="876"/>
      <c r="Z231" s="876"/>
      <c r="AA231" s="876"/>
      <c r="AB231" s="876"/>
      <c r="AC231" s="876"/>
      <c r="AD231" s="876"/>
    </row>
    <row r="232" spans="1:30">
      <c r="A232" s="876"/>
      <c r="B232" s="876"/>
      <c r="C232" s="876"/>
      <c r="D232" s="876"/>
      <c r="E232" s="876"/>
      <c r="F232" s="876"/>
      <c r="G232" s="876"/>
      <c r="H232" s="876"/>
      <c r="I232" s="876"/>
      <c r="J232" s="876"/>
      <c r="K232" s="876"/>
      <c r="L232" s="876"/>
      <c r="M232" s="876"/>
      <c r="N232" s="876"/>
      <c r="O232" s="876"/>
      <c r="P232" s="876"/>
      <c r="Q232" s="876"/>
      <c r="R232" s="876"/>
      <c r="S232" s="876"/>
      <c r="T232" s="876"/>
      <c r="U232" s="876"/>
      <c r="V232" s="876"/>
      <c r="W232" s="876"/>
      <c r="X232" s="876"/>
      <c r="Y232" s="876"/>
      <c r="Z232" s="876"/>
      <c r="AA232" s="876"/>
      <c r="AB232" s="876"/>
      <c r="AC232" s="876"/>
      <c r="AD232" s="876"/>
    </row>
    <row r="233" spans="1:30">
      <c r="A233" s="876"/>
      <c r="B233" s="876"/>
      <c r="C233" s="876"/>
      <c r="D233" s="876"/>
      <c r="E233" s="876"/>
      <c r="F233" s="876"/>
      <c r="G233" s="876"/>
      <c r="H233" s="876"/>
      <c r="I233" s="876"/>
      <c r="J233" s="876"/>
      <c r="K233" s="876"/>
      <c r="L233" s="876"/>
      <c r="M233" s="876"/>
      <c r="N233" s="876"/>
      <c r="O233" s="876"/>
      <c r="P233" s="876"/>
      <c r="Q233" s="876"/>
      <c r="R233" s="876"/>
      <c r="S233" s="876"/>
      <c r="T233" s="876"/>
      <c r="U233" s="876"/>
      <c r="V233" s="876"/>
      <c r="W233" s="876"/>
      <c r="X233" s="876"/>
      <c r="Y233" s="876"/>
      <c r="Z233" s="876"/>
      <c r="AA233" s="876"/>
      <c r="AB233" s="876"/>
      <c r="AC233" s="876"/>
      <c r="AD233" s="876"/>
    </row>
    <row r="234" spans="1:30">
      <c r="A234" s="876"/>
      <c r="B234" s="876"/>
      <c r="C234" s="876"/>
      <c r="D234" s="876"/>
      <c r="E234" s="876"/>
      <c r="F234" s="876"/>
      <c r="G234" s="876"/>
      <c r="H234" s="876"/>
      <c r="I234" s="876"/>
      <c r="J234" s="876"/>
      <c r="K234" s="876"/>
      <c r="L234" s="876"/>
      <c r="M234" s="876"/>
      <c r="N234" s="876"/>
      <c r="O234" s="876"/>
      <c r="P234" s="876"/>
      <c r="Q234" s="876"/>
      <c r="R234" s="876"/>
      <c r="S234" s="876"/>
      <c r="T234" s="876"/>
      <c r="U234" s="876"/>
      <c r="V234" s="876"/>
      <c r="W234" s="876"/>
      <c r="X234" s="876"/>
      <c r="Y234" s="876"/>
      <c r="Z234" s="876"/>
      <c r="AA234" s="876"/>
      <c r="AB234" s="876"/>
      <c r="AC234" s="876"/>
      <c r="AD234" s="876"/>
    </row>
    <row r="235" spans="1:30">
      <c r="A235" s="876"/>
      <c r="B235" s="876"/>
      <c r="C235" s="876"/>
      <c r="D235" s="876"/>
      <c r="E235" s="876"/>
      <c r="F235" s="876"/>
      <c r="G235" s="876"/>
      <c r="H235" s="876"/>
      <c r="I235" s="876"/>
      <c r="J235" s="876"/>
      <c r="K235" s="876"/>
      <c r="L235" s="876"/>
      <c r="M235" s="876"/>
      <c r="N235" s="876"/>
      <c r="O235" s="876"/>
      <c r="P235" s="876"/>
      <c r="Q235" s="876"/>
      <c r="R235" s="876"/>
      <c r="S235" s="876"/>
      <c r="T235" s="876"/>
      <c r="U235" s="876"/>
      <c r="V235" s="876"/>
      <c r="W235" s="876"/>
      <c r="X235" s="876"/>
      <c r="Y235" s="876"/>
      <c r="Z235" s="876"/>
      <c r="AA235" s="876"/>
      <c r="AB235" s="876"/>
      <c r="AC235" s="876"/>
      <c r="AD235" s="876"/>
    </row>
    <row r="236" spans="1:30">
      <c r="A236" s="876"/>
      <c r="B236" s="876"/>
      <c r="C236" s="876"/>
      <c r="D236" s="876"/>
      <c r="E236" s="876"/>
      <c r="F236" s="876"/>
      <c r="G236" s="876"/>
      <c r="H236" s="876"/>
      <c r="I236" s="876"/>
      <c r="J236" s="876"/>
      <c r="K236" s="876"/>
      <c r="L236" s="876"/>
      <c r="M236" s="876"/>
      <c r="N236" s="876"/>
      <c r="O236" s="876"/>
      <c r="P236" s="876"/>
      <c r="Q236" s="876"/>
      <c r="R236" s="876"/>
      <c r="S236" s="876"/>
      <c r="T236" s="876"/>
      <c r="U236" s="876"/>
      <c r="V236" s="876"/>
      <c r="W236" s="876"/>
      <c r="X236" s="876"/>
      <c r="Y236" s="876"/>
      <c r="Z236" s="876"/>
      <c r="AA236" s="876"/>
      <c r="AB236" s="876"/>
      <c r="AC236" s="876"/>
      <c r="AD236" s="876"/>
    </row>
    <row r="237" spans="1:30">
      <c r="A237" s="876"/>
      <c r="B237" s="876"/>
      <c r="C237" s="876"/>
      <c r="D237" s="876"/>
      <c r="E237" s="876"/>
      <c r="F237" s="876"/>
      <c r="G237" s="876"/>
      <c r="H237" s="876"/>
      <c r="I237" s="876"/>
      <c r="J237" s="876"/>
      <c r="K237" s="876"/>
      <c r="L237" s="876"/>
      <c r="M237" s="876"/>
      <c r="N237" s="876"/>
      <c r="O237" s="876"/>
      <c r="P237" s="876"/>
      <c r="Q237" s="876"/>
      <c r="R237" s="876"/>
      <c r="S237" s="876"/>
      <c r="T237" s="876"/>
      <c r="U237" s="876"/>
      <c r="V237" s="876"/>
      <c r="W237" s="876"/>
      <c r="X237" s="876"/>
      <c r="Y237" s="876"/>
      <c r="Z237" s="876"/>
      <c r="AA237" s="876"/>
      <c r="AB237" s="876"/>
      <c r="AC237" s="876"/>
      <c r="AD237" s="876"/>
    </row>
    <row r="238" spans="1:30">
      <c r="A238" s="876"/>
      <c r="B238" s="876"/>
      <c r="C238" s="876"/>
      <c r="D238" s="876"/>
      <c r="E238" s="876"/>
      <c r="F238" s="876"/>
      <c r="G238" s="876"/>
      <c r="H238" s="876"/>
      <c r="I238" s="876"/>
      <c r="J238" s="876"/>
      <c r="K238" s="876"/>
      <c r="L238" s="876"/>
      <c r="M238" s="876"/>
      <c r="N238" s="876"/>
      <c r="O238" s="876"/>
      <c r="P238" s="876"/>
      <c r="Q238" s="876"/>
      <c r="R238" s="876"/>
      <c r="S238" s="876"/>
      <c r="T238" s="876"/>
      <c r="U238" s="876"/>
      <c r="V238" s="876"/>
      <c r="W238" s="876"/>
      <c r="X238" s="876"/>
      <c r="Y238" s="876"/>
      <c r="Z238" s="876"/>
      <c r="AA238" s="876"/>
      <c r="AB238" s="876"/>
      <c r="AC238" s="876"/>
      <c r="AD238" s="876"/>
    </row>
    <row r="239" spans="1:30">
      <c r="A239" s="876"/>
      <c r="B239" s="876"/>
      <c r="C239" s="876"/>
      <c r="D239" s="876"/>
      <c r="E239" s="876"/>
      <c r="F239" s="876"/>
      <c r="G239" s="876"/>
      <c r="H239" s="876"/>
      <c r="I239" s="876"/>
      <c r="J239" s="876"/>
      <c r="K239" s="876"/>
      <c r="L239" s="876"/>
      <c r="M239" s="876"/>
      <c r="N239" s="876"/>
      <c r="O239" s="876"/>
      <c r="P239" s="876"/>
      <c r="Q239" s="876"/>
      <c r="R239" s="876"/>
      <c r="S239" s="876"/>
      <c r="T239" s="876"/>
      <c r="U239" s="876"/>
      <c r="V239" s="876"/>
      <c r="W239" s="876"/>
      <c r="X239" s="876"/>
      <c r="Y239" s="876"/>
      <c r="Z239" s="876"/>
      <c r="AA239" s="876"/>
      <c r="AB239" s="876"/>
      <c r="AC239" s="876"/>
      <c r="AD239" s="876"/>
    </row>
    <row r="240" spans="1:30">
      <c r="A240" s="876"/>
      <c r="B240" s="876"/>
      <c r="C240" s="876"/>
      <c r="D240" s="876"/>
      <c r="E240" s="876"/>
      <c r="F240" s="876"/>
      <c r="G240" s="876"/>
      <c r="H240" s="876"/>
      <c r="I240" s="876"/>
      <c r="J240" s="876"/>
      <c r="K240" s="876"/>
      <c r="L240" s="876"/>
      <c r="M240" s="876"/>
      <c r="N240" s="876"/>
      <c r="O240" s="876"/>
      <c r="P240" s="876"/>
      <c r="Q240" s="876"/>
      <c r="R240" s="876"/>
      <c r="S240" s="876"/>
      <c r="T240" s="876"/>
      <c r="U240" s="876"/>
      <c r="V240" s="876"/>
      <c r="W240" s="876"/>
      <c r="X240" s="876"/>
      <c r="Y240" s="876"/>
      <c r="Z240" s="876"/>
      <c r="AA240" s="876"/>
      <c r="AB240" s="876"/>
      <c r="AC240" s="876"/>
      <c r="AD240" s="876"/>
    </row>
    <row r="241" spans="1:30">
      <c r="A241" s="876"/>
      <c r="B241" s="876"/>
      <c r="C241" s="876"/>
      <c r="D241" s="876"/>
      <c r="E241" s="876"/>
      <c r="F241" s="876"/>
      <c r="G241" s="876"/>
      <c r="H241" s="876"/>
      <c r="I241" s="876"/>
      <c r="J241" s="876"/>
      <c r="K241" s="876"/>
      <c r="L241" s="876"/>
      <c r="M241" s="876"/>
      <c r="N241" s="876"/>
      <c r="O241" s="876"/>
      <c r="P241" s="876"/>
      <c r="Q241" s="876"/>
      <c r="R241" s="876"/>
      <c r="S241" s="876"/>
      <c r="T241" s="876"/>
      <c r="U241" s="876"/>
      <c r="V241" s="876"/>
      <c r="W241" s="876"/>
      <c r="X241" s="876"/>
      <c r="Y241" s="876"/>
      <c r="Z241" s="876"/>
      <c r="AA241" s="876"/>
      <c r="AB241" s="876"/>
      <c r="AC241" s="876"/>
      <c r="AD241" s="876"/>
    </row>
    <row r="242" spans="1:30">
      <c r="A242" s="876"/>
      <c r="B242" s="876"/>
      <c r="C242" s="876"/>
      <c r="D242" s="876"/>
      <c r="E242" s="876"/>
      <c r="F242" s="876"/>
      <c r="G242" s="876"/>
      <c r="H242" s="876"/>
      <c r="I242" s="876"/>
      <c r="J242" s="876"/>
      <c r="K242" s="876"/>
      <c r="L242" s="876"/>
      <c r="M242" s="876"/>
      <c r="N242" s="876"/>
      <c r="O242" s="876"/>
      <c r="P242" s="876"/>
      <c r="Q242" s="876"/>
      <c r="R242" s="876"/>
      <c r="S242" s="876"/>
      <c r="T242" s="876"/>
      <c r="U242" s="876"/>
      <c r="V242" s="876"/>
      <c r="W242" s="876"/>
      <c r="X242" s="876"/>
      <c r="Y242" s="876"/>
      <c r="Z242" s="876"/>
      <c r="AA242" s="876"/>
      <c r="AB242" s="876"/>
      <c r="AC242" s="876"/>
      <c r="AD242" s="876"/>
    </row>
    <row r="243" spans="1:30">
      <c r="A243" s="876"/>
      <c r="B243" s="876"/>
      <c r="C243" s="876"/>
      <c r="D243" s="876"/>
      <c r="E243" s="876"/>
      <c r="F243" s="876"/>
      <c r="G243" s="876"/>
      <c r="H243" s="876"/>
      <c r="I243" s="876"/>
      <c r="J243" s="876"/>
      <c r="K243" s="876"/>
      <c r="L243" s="876"/>
      <c r="M243" s="876"/>
      <c r="N243" s="876"/>
      <c r="O243" s="876"/>
      <c r="P243" s="876"/>
      <c r="Q243" s="876"/>
      <c r="R243" s="876"/>
      <c r="S243" s="876"/>
      <c r="T243" s="876"/>
      <c r="U243" s="876"/>
      <c r="V243" s="876"/>
      <c r="W243" s="876"/>
      <c r="X243" s="876"/>
      <c r="Y243" s="876"/>
      <c r="Z243" s="876"/>
      <c r="AA243" s="876"/>
      <c r="AB243" s="876"/>
      <c r="AC243" s="876"/>
      <c r="AD243" s="876"/>
    </row>
  </sheetData>
  <mergeCells count="6">
    <mergeCell ref="B116:D116"/>
    <mergeCell ref="B90:C90"/>
    <mergeCell ref="S6:U6"/>
    <mergeCell ref="B89:C89"/>
    <mergeCell ref="B104:D104"/>
    <mergeCell ref="B112:D112"/>
  </mergeCells>
  <phoneticPr fontId="0" type="noConversion"/>
  <pageMargins left="0.75" right="0.75" top="1" bottom="1" header="0.5" footer="0.5"/>
  <pageSetup orientation="portrait"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3"/>
  <sheetViews>
    <sheetView zoomScale="170" zoomScaleNormal="170" workbookViewId="0">
      <pane xSplit="1" ySplit="7" topLeftCell="B91" activePane="bottomRight" state="frozen"/>
      <selection pane="topRight" activeCell="B1" sqref="B1"/>
      <selection pane="bottomLeft" activeCell="A8" sqref="A8"/>
      <selection pane="bottomRight" activeCell="C108" sqref="C108"/>
    </sheetView>
  </sheetViews>
  <sheetFormatPr baseColWidth="10" defaultColWidth="9.33203125" defaultRowHeight="13"/>
  <cols>
    <col min="1" max="1" width="4.5" style="424" customWidth="1"/>
    <col min="2" max="2" width="62.6640625" style="29" customWidth="1"/>
    <col min="3" max="3" width="21.33203125" style="29" customWidth="1"/>
    <col min="4" max="4" width="20.33203125" style="29" customWidth="1"/>
    <col min="5" max="5" width="24.33203125" style="29" customWidth="1"/>
    <col min="6" max="7" width="25.6640625" style="29" customWidth="1"/>
    <col min="8" max="8" width="33.6640625" style="29" customWidth="1"/>
    <col min="9" max="9" width="38" style="29" bestFit="1" customWidth="1"/>
    <col min="10" max="10" width="47.33203125" style="29" customWidth="1"/>
    <col min="11" max="11" width="18.5" style="29" customWidth="1"/>
    <col min="12" max="16384" width="9.33203125" style="29"/>
  </cols>
  <sheetData>
    <row r="1" spans="1:8" ht="8.75" customHeight="1" thickBot="1">
      <c r="A1" s="1418"/>
    </row>
    <row r="2" spans="1:8" ht="27" customHeight="1" thickBot="1">
      <c r="A2" s="1419"/>
      <c r="B2" s="1463" t="s">
        <v>1349</v>
      </c>
      <c r="C2" s="1464"/>
      <c r="D2" s="1464"/>
      <c r="E2" s="1465"/>
      <c r="F2" s="1465"/>
      <c r="G2" s="1466"/>
    </row>
    <row r="3" spans="1:8" ht="32.5" customHeight="1" thickBot="1">
      <c r="A3" s="1419" t="s">
        <v>1039</v>
      </c>
      <c r="B3" s="1467" t="s">
        <v>1453</v>
      </c>
      <c r="C3" s="1468"/>
      <c r="D3" s="1469"/>
      <c r="E3" s="295"/>
      <c r="F3" s="296"/>
      <c r="G3" s="297"/>
    </row>
    <row r="4" spans="1:8" ht="6.5" customHeight="1" thickBot="1">
      <c r="A4" s="1419"/>
      <c r="B4" s="443"/>
      <c r="C4" s="444"/>
      <c r="D4" s="1470"/>
      <c r="E4" s="1470"/>
      <c r="F4" s="438"/>
      <c r="G4" s="439"/>
    </row>
    <row r="5" spans="1:8" ht="23" thickTop="1">
      <c r="A5" s="1419"/>
      <c r="B5" s="684" t="s">
        <v>1064</v>
      </c>
      <c r="C5" s="685"/>
      <c r="D5" s="686"/>
      <c r="E5" s="686"/>
      <c r="F5" s="441"/>
      <c r="G5" s="442"/>
    </row>
    <row r="6" spans="1:8" ht="21" customHeight="1">
      <c r="A6" s="1419"/>
      <c r="B6" s="1012" t="s">
        <v>203</v>
      </c>
      <c r="C6" s="444"/>
      <c r="D6" s="975"/>
      <c r="E6" s="975"/>
      <c r="F6" s="438"/>
      <c r="G6" s="439"/>
    </row>
    <row r="7" spans="1:8" ht="20">
      <c r="A7" s="1419"/>
      <c r="B7" s="1013"/>
      <c r="C7" s="444"/>
      <c r="D7" s="681"/>
      <c r="E7" s="681"/>
      <c r="F7" s="438"/>
      <c r="G7" s="439"/>
    </row>
    <row r="8" spans="1:8" ht="29.25" customHeight="1">
      <c r="A8" s="1419"/>
      <c r="B8" s="1012" t="s">
        <v>198</v>
      </c>
      <c r="C8" s="444"/>
      <c r="D8" s="681"/>
      <c r="E8" s="681"/>
      <c r="F8" s="438"/>
      <c r="G8" s="439"/>
    </row>
    <row r="9" spans="1:8" ht="20">
      <c r="A9" s="1419"/>
      <c r="B9" s="1013"/>
      <c r="C9" s="444"/>
      <c r="D9" s="444"/>
      <c r="E9" s="444"/>
      <c r="F9" s="438"/>
      <c r="G9" s="439"/>
    </row>
    <row r="10" spans="1:8" ht="20">
      <c r="A10" s="1419"/>
      <c r="B10" s="1012" t="s">
        <v>197</v>
      </c>
      <c r="C10" s="295"/>
      <c r="D10" s="295"/>
      <c r="E10" s="295"/>
      <c r="F10" s="1314"/>
      <c r="G10" s="1352"/>
      <c r="H10" s="1050"/>
    </row>
    <row r="11" spans="1:8" ht="20">
      <c r="A11" s="1419"/>
      <c r="B11" s="443"/>
      <c r="C11" s="295"/>
      <c r="D11" s="295"/>
      <c r="E11" s="295"/>
      <c r="F11" s="1314"/>
      <c r="G11" s="1352"/>
      <c r="H11" s="1050"/>
    </row>
    <row r="12" spans="1:8" ht="20">
      <c r="A12" s="1419"/>
      <c r="B12" s="443"/>
      <c r="C12" s="295"/>
      <c r="D12" s="295"/>
      <c r="E12" s="295"/>
      <c r="F12" s="1314"/>
      <c r="G12" s="1352"/>
      <c r="H12" s="1050"/>
    </row>
    <row r="13" spans="1:8" ht="20">
      <c r="A13" s="1419"/>
      <c r="B13" s="443"/>
      <c r="C13" s="295"/>
      <c r="D13" s="295"/>
      <c r="E13" s="295"/>
      <c r="F13" s="1314"/>
      <c r="G13" s="1352"/>
      <c r="H13" s="1050"/>
    </row>
    <row r="14" spans="1:8" ht="20">
      <c r="A14" s="1419"/>
      <c r="B14" s="710" t="s">
        <v>322</v>
      </c>
      <c r="C14" s="295"/>
      <c r="D14" s="295"/>
      <c r="E14" s="295"/>
      <c r="F14" s="295"/>
      <c r="G14" s="1352"/>
      <c r="H14" s="1050"/>
    </row>
    <row r="15" spans="1:8" ht="20">
      <c r="A15" s="1419"/>
      <c r="B15" s="710" t="s">
        <v>370</v>
      </c>
      <c r="C15" s="295"/>
      <c r="D15" s="295"/>
      <c r="E15" s="295"/>
      <c r="F15" s="295"/>
      <c r="G15" s="1352"/>
      <c r="H15" s="1050"/>
    </row>
    <row r="16" spans="1:8" ht="20">
      <c r="A16" s="1419"/>
      <c r="B16" s="710" t="s">
        <v>143</v>
      </c>
      <c r="C16" s="295"/>
      <c r="D16" s="295"/>
      <c r="E16" s="295"/>
      <c r="F16" s="295"/>
      <c r="G16" s="1352"/>
      <c r="H16" s="1373" t="s">
        <v>1174</v>
      </c>
    </row>
    <row r="17" spans="1:8" ht="20">
      <c r="A17" s="1419"/>
      <c r="B17" s="710" t="s">
        <v>948</v>
      </c>
      <c r="C17" s="295"/>
      <c r="D17" s="295"/>
      <c r="E17" s="295"/>
      <c r="F17" s="295"/>
      <c r="G17" s="1352"/>
      <c r="H17" s="1374">
        <f ca="1">+NPV</f>
        <v>6.9223809293375993E-7</v>
      </c>
    </row>
    <row r="18" spans="1:8" ht="20">
      <c r="A18" s="1419"/>
      <c r="B18" s="710" t="s">
        <v>352</v>
      </c>
      <c r="C18" s="295"/>
      <c r="D18" s="295"/>
      <c r="E18" s="295"/>
      <c r="F18" s="295"/>
      <c r="G18" s="1352"/>
      <c r="H18" s="1050"/>
    </row>
    <row r="19" spans="1:8" ht="20">
      <c r="A19" s="1419"/>
      <c r="B19" s="710" t="s">
        <v>949</v>
      </c>
      <c r="C19" s="295"/>
      <c r="D19" s="295"/>
      <c r="E19" s="295"/>
      <c r="F19" s="295"/>
      <c r="G19" s="1352"/>
      <c r="H19" s="1050"/>
    </row>
    <row r="20" spans="1:8" ht="20">
      <c r="A20" s="1419"/>
      <c r="B20" s="710" t="s">
        <v>950</v>
      </c>
      <c r="C20" s="295"/>
      <c r="D20" s="295"/>
      <c r="E20" s="295"/>
      <c r="F20" s="295"/>
      <c r="G20" s="1352"/>
      <c r="H20" s="1050"/>
    </row>
    <row r="21" spans="1:8" ht="5.75" customHeight="1">
      <c r="A21" s="1419"/>
      <c r="B21" s="709"/>
      <c r="C21" s="295"/>
      <c r="D21" s="1375"/>
      <c r="E21" s="1375"/>
      <c r="F21" s="1314"/>
      <c r="G21" s="1352"/>
      <c r="H21" s="1050"/>
    </row>
    <row r="22" spans="1:8" ht="5.75" customHeight="1">
      <c r="A22" s="1419"/>
      <c r="C22" s="1050"/>
      <c r="D22" s="1050"/>
      <c r="E22" s="1375"/>
      <c r="F22" s="1314"/>
      <c r="G22" s="1352"/>
      <c r="H22" s="1050"/>
    </row>
    <row r="23" spans="1:8" ht="5.75" customHeight="1" thickBot="1">
      <c r="A23" s="1419"/>
      <c r="B23" s="443"/>
      <c r="C23" s="295"/>
      <c r="D23" s="1375"/>
      <c r="E23" s="1375"/>
      <c r="F23" s="1314"/>
      <c r="G23" s="1352"/>
      <c r="H23" s="1050"/>
    </row>
    <row r="24" spans="1:8" ht="31.5" customHeight="1" thickTop="1" thickBot="1">
      <c r="A24" s="1419"/>
      <c r="B24" s="440" t="s">
        <v>322</v>
      </c>
      <c r="C24" s="1303"/>
      <c r="D24" s="1303"/>
      <c r="E24" s="1472" t="s">
        <v>439</v>
      </c>
      <c r="F24" s="1472"/>
      <c r="G24" s="1473"/>
      <c r="H24" s="1050"/>
    </row>
    <row r="25" spans="1:8" ht="17" customHeight="1" thickBot="1">
      <c r="A25" s="1419" t="s">
        <v>8</v>
      </c>
      <c r="B25" s="298" t="s">
        <v>334</v>
      </c>
      <c r="C25" s="1272">
        <f ca="1">0.9*sensitivity_01</f>
        <v>0.9</v>
      </c>
      <c r="D25" s="1301"/>
      <c r="E25" s="1454"/>
      <c r="F25" s="1454"/>
      <c r="G25" s="1444"/>
      <c r="H25" s="1050"/>
    </row>
    <row r="26" spans="1:8" ht="17" customHeight="1" thickBot="1">
      <c r="A26" s="1419" t="s">
        <v>26</v>
      </c>
      <c r="B26" s="298" t="s">
        <v>335</v>
      </c>
      <c r="C26" s="1376">
        <f ca="1">ProcessFlow!V12*sensitivity_02</f>
        <v>483024</v>
      </c>
      <c r="D26" s="1301"/>
      <c r="E26" s="1454"/>
      <c r="F26" s="1454"/>
      <c r="G26" s="1444"/>
      <c r="H26" s="1050"/>
    </row>
    <row r="27" spans="1:8" ht="17" customHeight="1" thickBot="1">
      <c r="A27" s="1419"/>
      <c r="B27" s="298" t="s">
        <v>428</v>
      </c>
      <c r="C27" s="1300">
        <f ca="1">design_cap*cap_factor</f>
        <v>434721.60000000003</v>
      </c>
      <c r="D27" s="1301"/>
      <c r="E27" s="1271"/>
      <c r="F27" s="1271"/>
      <c r="G27" s="1268"/>
      <c r="H27" s="1050"/>
    </row>
    <row r="28" spans="1:8" ht="17" customHeight="1" thickBot="1">
      <c r="A28" s="1419" t="s">
        <v>1006</v>
      </c>
      <c r="B28" s="298" t="s">
        <v>20</v>
      </c>
      <c r="C28" s="1302">
        <f ca="1">output_kgpday*365</f>
        <v>158673384</v>
      </c>
      <c r="D28" s="1301"/>
      <c r="E28" s="1458"/>
      <c r="F28" s="1454"/>
      <c r="G28" s="1444"/>
      <c r="H28" s="1050"/>
    </row>
    <row r="29" spans="1:8" ht="20" customHeight="1" thickTop="1" thickBot="1">
      <c r="A29" s="1419"/>
      <c r="B29" s="440" t="s">
        <v>370</v>
      </c>
      <c r="C29" s="1303"/>
      <c r="D29" s="1304"/>
      <c r="E29" s="1472" t="s">
        <v>1096</v>
      </c>
      <c r="F29" s="1472"/>
      <c r="G29" s="1473"/>
      <c r="H29" s="1050"/>
    </row>
    <row r="30" spans="1:8" ht="17" customHeight="1" thickBot="1">
      <c r="A30" s="1419" t="s">
        <v>1022</v>
      </c>
      <c r="B30" s="299" t="s">
        <v>1023</v>
      </c>
      <c r="C30" s="1033">
        <v>2016</v>
      </c>
      <c r="D30" s="1218"/>
      <c r="E30" s="1454"/>
      <c r="F30" s="1454"/>
      <c r="G30" s="1444"/>
      <c r="H30" s="1050"/>
    </row>
    <row r="31" spans="1:8" ht="17" customHeight="1" thickBot="1">
      <c r="A31" s="1419" t="s">
        <v>182</v>
      </c>
      <c r="B31" s="298" t="s">
        <v>371</v>
      </c>
      <c r="C31" s="1033">
        <v>2015</v>
      </c>
      <c r="D31" s="1301"/>
      <c r="E31" s="1454"/>
      <c r="F31" s="1454"/>
      <c r="G31" s="1444"/>
      <c r="H31" s="1050"/>
    </row>
    <row r="32" spans="1:8" ht="17" customHeight="1" thickBot="1">
      <c r="A32" s="1419"/>
      <c r="B32" s="298" t="s">
        <v>838</v>
      </c>
      <c r="C32" s="1033">
        <v>2018</v>
      </c>
      <c r="D32" s="1471" t="s">
        <v>1095</v>
      </c>
      <c r="E32" s="1271"/>
      <c r="F32" s="1271"/>
      <c r="G32" s="1268"/>
      <c r="H32" s="1050"/>
    </row>
    <row r="33" spans="1:8" ht="17" customHeight="1" thickBot="1">
      <c r="A33" s="1419" t="s">
        <v>10</v>
      </c>
      <c r="B33" s="298" t="s">
        <v>372</v>
      </c>
      <c r="C33" s="1033">
        <v>3</v>
      </c>
      <c r="D33" s="1471"/>
      <c r="E33" s="1454"/>
      <c r="F33" s="1454"/>
      <c r="G33" s="1444"/>
      <c r="H33" s="1050"/>
    </row>
    <row r="34" spans="1:8" ht="17" customHeight="1" thickBot="1">
      <c r="A34" s="1419" t="s">
        <v>161</v>
      </c>
      <c r="B34" s="298" t="s">
        <v>942</v>
      </c>
      <c r="C34" s="1273">
        <v>1</v>
      </c>
      <c r="D34" s="1305"/>
      <c r="E34" s="1454"/>
      <c r="F34" s="1454"/>
      <c r="G34" s="1444"/>
      <c r="H34" s="1050"/>
    </row>
    <row r="35" spans="1:8" ht="17" customHeight="1" thickBot="1">
      <c r="A35" s="1419" t="s">
        <v>162</v>
      </c>
      <c r="B35" s="298" t="s">
        <v>373</v>
      </c>
      <c r="C35" s="1273">
        <v>0</v>
      </c>
      <c r="D35" s="1305"/>
      <c r="E35" s="1454"/>
      <c r="F35" s="1454"/>
      <c r="G35" s="1444"/>
      <c r="H35" s="1050"/>
    </row>
    <row r="36" spans="1:8" ht="17" customHeight="1" thickBot="1">
      <c r="A36" s="1419" t="s">
        <v>163</v>
      </c>
      <c r="B36" s="300" t="s">
        <v>374</v>
      </c>
      <c r="C36" s="1273">
        <v>0</v>
      </c>
      <c r="D36" s="1305"/>
      <c r="E36" s="1454"/>
      <c r="F36" s="1454"/>
      <c r="G36" s="1444"/>
      <c r="H36" s="1050"/>
    </row>
    <row r="37" spans="1:8" ht="17" customHeight="1" thickBot="1">
      <c r="A37" s="1419" t="s">
        <v>164</v>
      </c>
      <c r="B37" s="300" t="s">
        <v>323</v>
      </c>
      <c r="C37" s="1273"/>
      <c r="D37" s="1301"/>
      <c r="E37" s="1454"/>
      <c r="F37" s="1454"/>
      <c r="G37" s="1444"/>
      <c r="H37" s="1050"/>
    </row>
    <row r="38" spans="1:8" ht="17" customHeight="1" thickBot="1">
      <c r="A38" s="1419" t="s">
        <v>181</v>
      </c>
      <c r="B38" s="298" t="s">
        <v>376</v>
      </c>
      <c r="C38" s="1033">
        <v>1</v>
      </c>
      <c r="D38" s="1301"/>
      <c r="E38" s="1454"/>
      <c r="F38" s="1454"/>
      <c r="G38" s="1444"/>
      <c r="H38" s="1050"/>
    </row>
    <row r="39" spans="1:8" ht="17" customHeight="1" thickBot="1">
      <c r="A39" s="1419" t="s">
        <v>170</v>
      </c>
      <c r="B39" s="298" t="s">
        <v>377</v>
      </c>
      <c r="C39" s="1033">
        <v>40</v>
      </c>
      <c r="D39" s="1301"/>
      <c r="E39" s="1454"/>
      <c r="F39" s="1454"/>
      <c r="G39" s="1444"/>
      <c r="H39" s="1050"/>
    </row>
    <row r="40" spans="1:8" ht="17" customHeight="1" thickBot="1">
      <c r="A40" s="1419" t="s">
        <v>7</v>
      </c>
      <c r="B40" s="298" t="s">
        <v>378</v>
      </c>
      <c r="C40" s="1033">
        <v>40</v>
      </c>
      <c r="D40" s="1301"/>
      <c r="E40" s="1454"/>
      <c r="F40" s="1454"/>
      <c r="G40" s="1444"/>
      <c r="H40" s="1050"/>
    </row>
    <row r="41" spans="1:8" ht="17" customHeight="1" thickBot="1">
      <c r="A41" s="1419" t="s">
        <v>24</v>
      </c>
      <c r="B41" s="298" t="s">
        <v>379</v>
      </c>
      <c r="C41" s="1033">
        <v>20</v>
      </c>
      <c r="D41" s="1301"/>
      <c r="E41" s="1454"/>
      <c r="F41" s="1454"/>
      <c r="G41" s="1444"/>
      <c r="H41" s="1050"/>
    </row>
    <row r="42" spans="1:8" ht="17" customHeight="1" thickBot="1">
      <c r="A42" s="1419" t="s">
        <v>25</v>
      </c>
      <c r="B42" s="298" t="s">
        <v>387</v>
      </c>
      <c r="C42" s="1274" t="s">
        <v>436</v>
      </c>
      <c r="D42" s="1301"/>
      <c r="E42" s="1454"/>
      <c r="F42" s="1454"/>
      <c r="G42" s="1444"/>
      <c r="H42" s="1050"/>
    </row>
    <row r="43" spans="1:8" ht="17" customHeight="1" thickBot="1">
      <c r="A43" s="1419" t="s">
        <v>247</v>
      </c>
      <c r="B43" s="298" t="s">
        <v>19</v>
      </c>
      <c r="C43" s="1275">
        <v>0.4</v>
      </c>
      <c r="D43" s="1301"/>
      <c r="E43" s="1454"/>
      <c r="F43" s="1454"/>
      <c r="G43" s="1444"/>
      <c r="H43" s="1050"/>
    </row>
    <row r="44" spans="1:8" ht="17" customHeight="1" thickBot="1">
      <c r="A44" s="1419" t="s">
        <v>13</v>
      </c>
      <c r="B44" s="298" t="s">
        <v>386</v>
      </c>
      <c r="C44" s="1276">
        <v>3.6999999999999998E-2</v>
      </c>
      <c r="D44" s="1301"/>
      <c r="E44" s="1454"/>
      <c r="F44" s="1454"/>
      <c r="G44" s="1444"/>
      <c r="H44" s="1050"/>
    </row>
    <row r="45" spans="1:8" ht="17" customHeight="1" thickBot="1">
      <c r="A45" s="1419" t="s">
        <v>14</v>
      </c>
      <c r="B45" s="298" t="s">
        <v>380</v>
      </c>
      <c r="C45" s="1277">
        <v>0</v>
      </c>
      <c r="D45" s="1301"/>
      <c r="E45" s="1454" t="s">
        <v>1348</v>
      </c>
      <c r="F45" s="1454"/>
      <c r="G45" s="1444"/>
      <c r="H45" s="1050"/>
    </row>
    <row r="46" spans="1:8" ht="17" customHeight="1" thickBot="1">
      <c r="A46" s="1419" t="s">
        <v>165</v>
      </c>
      <c r="B46" s="298" t="s">
        <v>381</v>
      </c>
      <c r="C46" s="1273">
        <v>1</v>
      </c>
      <c r="D46" s="1301"/>
      <c r="E46" s="1454"/>
      <c r="F46" s="1454"/>
      <c r="G46" s="1444"/>
      <c r="H46" s="1050"/>
    </row>
    <row r="47" spans="1:8" ht="17" customHeight="1" thickBot="1">
      <c r="A47" s="1419" t="s">
        <v>167</v>
      </c>
      <c r="B47" s="298" t="s">
        <v>382</v>
      </c>
      <c r="C47" s="1273">
        <v>1</v>
      </c>
      <c r="D47" s="1301"/>
      <c r="E47" s="1454"/>
      <c r="F47" s="1454"/>
      <c r="G47" s="1444"/>
      <c r="H47" s="1050"/>
    </row>
    <row r="48" spans="1:8" ht="17" customHeight="1" thickBot="1">
      <c r="A48" s="1419" t="s">
        <v>168</v>
      </c>
      <c r="B48" s="298" t="s">
        <v>383</v>
      </c>
      <c r="C48" s="1273">
        <v>1</v>
      </c>
      <c r="D48" s="1301"/>
      <c r="E48" s="1454"/>
      <c r="F48" s="1454"/>
      <c r="G48" s="1444"/>
      <c r="H48" s="1050"/>
    </row>
    <row r="49" spans="1:8" ht="17" customHeight="1" thickBot="1">
      <c r="A49" s="1419" t="s">
        <v>18</v>
      </c>
      <c r="B49" s="298" t="s">
        <v>384</v>
      </c>
      <c r="C49" s="1273">
        <v>0.1</v>
      </c>
      <c r="D49" s="1301"/>
      <c r="E49" s="1454"/>
      <c r="F49" s="1454"/>
      <c r="G49" s="1444"/>
      <c r="H49" s="1050"/>
    </row>
    <row r="50" spans="1:8" ht="17" customHeight="1" thickBot="1">
      <c r="A50" s="1419" t="s">
        <v>178</v>
      </c>
      <c r="B50" s="298" t="s">
        <v>385</v>
      </c>
      <c r="C50" s="1273">
        <v>0.1</v>
      </c>
      <c r="D50" s="1301"/>
      <c r="E50" s="1454"/>
      <c r="F50" s="1454"/>
      <c r="G50" s="1444"/>
      <c r="H50" s="1050"/>
    </row>
    <row r="51" spans="1:8" ht="17" customHeight="1" thickBot="1">
      <c r="A51" s="1419" t="s">
        <v>30</v>
      </c>
      <c r="B51" s="298" t="s">
        <v>975</v>
      </c>
      <c r="C51" s="1272">
        <v>1.9E-2</v>
      </c>
      <c r="D51" s="1301"/>
      <c r="E51" s="1454"/>
      <c r="F51" s="1454"/>
      <c r="G51" s="1444"/>
      <c r="H51" s="1050"/>
    </row>
    <row r="52" spans="1:8" ht="17" customHeight="1" thickBot="1">
      <c r="A52" s="1419" t="s">
        <v>174</v>
      </c>
      <c r="B52" s="298" t="s">
        <v>1017</v>
      </c>
      <c r="C52" s="1272">
        <f ca="1">0.08*sensitivity_03</f>
        <v>0.08</v>
      </c>
      <c r="D52" s="1301"/>
      <c r="E52" s="1454"/>
      <c r="F52" s="1454"/>
      <c r="G52" s="1444"/>
      <c r="H52" s="1050"/>
    </row>
    <row r="53" spans="1:8" ht="17" customHeight="1" thickBot="1">
      <c r="A53" s="1419" t="s">
        <v>184</v>
      </c>
      <c r="B53" s="298" t="s">
        <v>1018</v>
      </c>
      <c r="C53" s="1272">
        <v>0.06</v>
      </c>
      <c r="D53" s="1301"/>
      <c r="E53" s="1454"/>
      <c r="F53" s="1454"/>
      <c r="G53" s="1444"/>
      <c r="H53" s="1050"/>
    </row>
    <row r="54" spans="1:8" ht="17" customHeight="1" thickBot="1">
      <c r="A54" s="1419" t="s">
        <v>28</v>
      </c>
      <c r="B54" s="298" t="s">
        <v>974</v>
      </c>
      <c r="C54" s="1278">
        <v>0.21</v>
      </c>
      <c r="D54" s="1301"/>
      <c r="E54" s="1454"/>
      <c r="F54" s="1454"/>
      <c r="G54" s="1444"/>
      <c r="H54" s="1050"/>
    </row>
    <row r="55" spans="1:8" ht="17" customHeight="1" thickBot="1">
      <c r="A55" s="1419" t="s">
        <v>1014</v>
      </c>
      <c r="B55" s="298" t="s">
        <v>21</v>
      </c>
      <c r="C55" s="1279">
        <f>fed_tax_rate+state_tax_rate*(1-fed_tax_rate)</f>
        <v>0.25739999999999996</v>
      </c>
      <c r="D55" s="1301"/>
      <c r="E55" s="1458"/>
      <c r="F55" s="1454"/>
      <c r="G55" s="1444"/>
      <c r="H55" s="1050"/>
    </row>
    <row r="56" spans="1:8" ht="17" customHeight="1" thickBot="1">
      <c r="A56" s="1419" t="s">
        <v>189</v>
      </c>
      <c r="B56" s="298" t="s">
        <v>369</v>
      </c>
      <c r="C56" s="1260">
        <v>0.15</v>
      </c>
      <c r="D56" s="1301"/>
      <c r="E56" s="1454"/>
      <c r="F56" s="1454"/>
      <c r="G56" s="1444"/>
      <c r="H56" s="1050"/>
    </row>
    <row r="57" spans="1:8" ht="18.75" customHeight="1" thickTop="1">
      <c r="A57" s="1419"/>
      <c r="B57" s="445" t="s">
        <v>1040</v>
      </c>
      <c r="C57" s="1306"/>
      <c r="D57" s="1307"/>
      <c r="E57" s="1307"/>
      <c r="F57" s="1307"/>
      <c r="G57" s="1308"/>
      <c r="H57" s="1050"/>
    </row>
    <row r="58" spans="1:8" ht="21" customHeight="1" thickBot="1">
      <c r="A58" s="1419"/>
      <c r="B58" s="401" t="s">
        <v>275</v>
      </c>
      <c r="C58" s="436"/>
      <c r="D58" s="1050"/>
      <c r="E58" s="1050"/>
      <c r="F58" s="1050"/>
      <c r="G58" s="1309"/>
      <c r="H58" s="1050"/>
    </row>
    <row r="59" spans="1:8" ht="23.25" customHeight="1" thickBot="1">
      <c r="A59" s="1419"/>
      <c r="B59" s="425" t="s">
        <v>1286</v>
      </c>
      <c r="C59" s="436"/>
      <c r="D59" s="1050"/>
      <c r="E59" s="1050"/>
      <c r="F59" s="1474" t="s">
        <v>712</v>
      </c>
      <c r="G59" s="1309"/>
      <c r="H59" s="1050"/>
    </row>
    <row r="60" spans="1:8" ht="18.75" customHeight="1" thickBot="1">
      <c r="A60" s="1419"/>
      <c r="B60" s="401" t="s">
        <v>694</v>
      </c>
      <c r="C60" s="1050"/>
      <c r="D60" s="1050"/>
      <c r="E60" s="1050"/>
      <c r="F60" s="1474"/>
      <c r="G60" s="1309"/>
      <c r="H60" s="1050"/>
    </row>
    <row r="61" spans="1:8" ht="17" customHeight="1" thickBot="1">
      <c r="A61" s="1419"/>
      <c r="B61" s="425" t="s">
        <v>1480</v>
      </c>
      <c r="C61" s="402" t="str">
        <f>IF(OR(TMP_FeedType="Feedstock",TMP_FeedType = "Utility")," Enter usage in","Enter production in")</f>
        <v xml:space="preserve"> Enter usage in</v>
      </c>
      <c r="D61" s="402" t="str">
        <f ca="1">VLOOKUP(TMP_FeedName,INDIRECT(TMP_PriceTable),4,FALSE)</f>
        <v>kg</v>
      </c>
      <c r="E61" s="1050"/>
      <c r="F61" s="1474"/>
      <c r="G61" s="1309"/>
      <c r="H61" s="1050"/>
    </row>
    <row r="62" spans="1:8" ht="17" customHeight="1" thickBot="1">
      <c r="A62" s="1419"/>
      <c r="B62" s="401" t="s">
        <v>695</v>
      </c>
      <c r="C62" s="402"/>
      <c r="D62" s="402"/>
      <c r="E62" s="1050"/>
      <c r="F62" s="1474"/>
      <c r="G62" s="1309"/>
      <c r="H62" s="1050"/>
    </row>
    <row r="63" spans="1:8" ht="17" customHeight="1" thickBot="1">
      <c r="A63" s="1419"/>
      <c r="B63" s="973" t="s">
        <v>1078</v>
      </c>
      <c r="C63" s="1050"/>
      <c r="D63" s="1050"/>
      <c r="E63" s="1050"/>
      <c r="F63" s="1474"/>
      <c r="G63" s="1309"/>
      <c r="H63" s="1050"/>
    </row>
    <row r="64" spans="1:8" ht="17" customHeight="1" thickBot="1">
      <c r="A64" s="1419"/>
      <c r="B64" s="752"/>
      <c r="C64" s="1050"/>
      <c r="D64" s="1050"/>
      <c r="E64" s="1050"/>
      <c r="F64" s="1474"/>
      <c r="G64" s="1309"/>
      <c r="H64" s="1050"/>
    </row>
    <row r="65" spans="1:8" ht="37.5" customHeight="1" thickBot="1">
      <c r="A65" s="1419"/>
      <c r="B65" s="408" t="str">
        <f>SELECTED_FEED</f>
        <v>utility</v>
      </c>
      <c r="C65" s="472" t="str">
        <f>TMP_FeedName</f>
        <v>Woody Biomass</v>
      </c>
      <c r="D65" s="473"/>
      <c r="E65" s="1310"/>
      <c r="F65" s="1474"/>
      <c r="G65" s="1309"/>
      <c r="H65" s="1050"/>
    </row>
    <row r="66" spans="1:8" ht="19.25" customHeight="1" thickBot="1">
      <c r="A66" s="1419"/>
      <c r="B66" s="409" t="str">
        <f ca="1">"Price Conversion Factor (GJ/"&amp;TMP_Units&amp;")"</f>
        <v>Price Conversion Factor (GJ/kg)</v>
      </c>
      <c r="C66" s="418">
        <f ca="1">VLOOKUP(TMP_FeedName,MASTER_PROPERTY_TABLE,9,FALSE)</f>
        <v>1.9551069237418006E-2</v>
      </c>
      <c r="D66" s="1310"/>
      <c r="E66" s="1310"/>
      <c r="F66" s="1474"/>
      <c r="G66" s="1309"/>
      <c r="H66" s="1050"/>
    </row>
    <row r="67" spans="1:8" ht="19.25" customHeight="1" thickBot="1">
      <c r="A67" s="1419"/>
      <c r="B67" s="712" t="str">
        <f ca="1">"Price in Startup Year ($" &amp; ref_year &amp; ")/" &amp; TMP_Units</f>
        <v>Price in Startup Year ($2016)/kg</v>
      </c>
      <c r="C67" s="1034">
        <f ca="1">HLOOKUP(startup_year,INDIRECT(TMP_PriceTable),MATCH(TMP_FeedName,INDIRECT(Energy_Feed_List),0),FALSE)*TMP_Conversion</f>
        <v>9.9647594727723249E-2</v>
      </c>
      <c r="D67" s="1311"/>
      <c r="E67" s="404"/>
      <c r="F67" s="1474"/>
      <c r="G67" s="1309"/>
      <c r="H67" s="1050"/>
    </row>
    <row r="68" spans="1:8" ht="19.25" customHeight="1" thickBot="1">
      <c r="A68" s="1419"/>
      <c r="B68" s="409" t="str">
        <f ca="1">IF(OR(TMP_FeedType="Feedstock",TMP_FeedType = "Utility"),"Usage ("&amp;TMP_Units&amp;"/kg H2)","Production ("&amp;TMP_Units&amp;"/kg H2)")</f>
        <v>Usage (kg/kg H2)</v>
      </c>
      <c r="C68" s="764">
        <f>+ProcessFlow!V16</f>
        <v>0.15775742767175938</v>
      </c>
      <c r="D68" s="404"/>
      <c r="E68" s="1310"/>
      <c r="F68" s="1474"/>
      <c r="G68" s="1309"/>
      <c r="H68" s="1050"/>
    </row>
    <row r="69" spans="1:8" ht="19.25" customHeight="1" thickBot="1">
      <c r="A69" s="1419"/>
      <c r="B69" s="410" t="str">
        <f>IF(OR(TMP_FeedType = "Feedstock",TMP_FeedType = "Utility"), "Cost in Startup Year","Income in Startup Year")</f>
        <v>Cost in Startup Year</v>
      </c>
      <c r="C69" s="423">
        <f ca="1">design_cap*365*cap_factor*TMP_Usage*TMP_StartPrice</f>
        <v>2494369.1147195059</v>
      </c>
      <c r="D69" s="1310"/>
      <c r="E69" s="1310"/>
      <c r="F69" s="1050"/>
      <c r="G69" s="1309"/>
      <c r="H69" s="1050"/>
    </row>
    <row r="70" spans="1:8" ht="19.25" customHeight="1" thickBot="1">
      <c r="A70" s="1419"/>
      <c r="B70" s="409" t="s">
        <v>262</v>
      </c>
      <c r="C70" s="417" t="s">
        <v>709</v>
      </c>
      <c r="D70" s="1310"/>
      <c r="E70" s="1310"/>
      <c r="F70" s="1050"/>
      <c r="G70" s="1309"/>
      <c r="H70" s="1050"/>
    </row>
    <row r="71" spans="1:8" ht="19.25" customHeight="1">
      <c r="A71" s="1419"/>
      <c r="B71" s="760"/>
      <c r="C71" s="761"/>
      <c r="D71" s="1310"/>
      <c r="E71" s="1310"/>
      <c r="F71" s="1050"/>
      <c r="G71" s="1309"/>
      <c r="H71" s="1050"/>
    </row>
    <row r="72" spans="1:8" ht="27" customHeight="1" thickBot="1">
      <c r="A72" s="1420"/>
      <c r="B72" s="762" t="s">
        <v>713</v>
      </c>
      <c r="C72" s="1312"/>
      <c r="D72" s="1312"/>
      <c r="E72" s="1312"/>
      <c r="F72" s="1312"/>
      <c r="G72" s="1313"/>
      <c r="H72" s="1050"/>
    </row>
    <row r="73" spans="1:8" ht="28.25" customHeight="1">
      <c r="A73" s="1420" t="s">
        <v>15</v>
      </c>
      <c r="B73" s="419"/>
      <c r="C73" s="420"/>
      <c r="D73" s="420"/>
      <c r="E73" s="420"/>
      <c r="F73" s="421"/>
      <c r="G73" s="422"/>
      <c r="H73" s="1050"/>
    </row>
    <row r="74" spans="1:8" ht="28.25" customHeight="1">
      <c r="A74" s="1420"/>
      <c r="B74" s="419" t="s">
        <v>830</v>
      </c>
      <c r="C74" s="420" t="s">
        <v>1342</v>
      </c>
      <c r="D74" s="420" t="s">
        <v>1343</v>
      </c>
      <c r="E74" s="420" t="s">
        <v>1347</v>
      </c>
      <c r="F74" s="421" t="s">
        <v>831</v>
      </c>
      <c r="G74" s="422" t="s">
        <v>262</v>
      </c>
      <c r="H74" s="1050"/>
    </row>
    <row r="75" spans="1:8" ht="28.25" customHeight="1">
      <c r="A75" s="1420"/>
      <c r="B75" s="419" t="s">
        <v>696</v>
      </c>
      <c r="C75" s="420">
        <v>3.5999999999999995E-3</v>
      </c>
      <c r="D75" s="420">
        <v>6.9980611257164108E-2</v>
      </c>
      <c r="E75" s="1280">
        <f>+ProcessFlow!V20</f>
        <v>0.13117360628043326</v>
      </c>
      <c r="F75" s="421">
        <f ca="1">+output_kgyear*feedstockIndustrial_Electricity_Price*feedstockIndustrial_Electricity_Usage</f>
        <v>1456559.6473599118</v>
      </c>
      <c r="G75" s="422" t="s">
        <v>709</v>
      </c>
      <c r="H75" s="1050"/>
    </row>
    <row r="76" spans="1:8" ht="28.25" customHeight="1">
      <c r="A76" s="1420"/>
      <c r="B76" s="419" t="s">
        <v>830</v>
      </c>
      <c r="C76" s="420" t="s">
        <v>1344</v>
      </c>
      <c r="D76" s="420" t="s">
        <v>1345</v>
      </c>
      <c r="E76" s="420" t="s">
        <v>1346</v>
      </c>
      <c r="F76" s="421" t="s">
        <v>831</v>
      </c>
      <c r="G76" s="422" t="s">
        <v>262</v>
      </c>
      <c r="H76" s="1050"/>
    </row>
    <row r="77" spans="1:8" ht="28.25" customHeight="1">
      <c r="A77" s="1420"/>
      <c r="B77" s="419" t="s">
        <v>283</v>
      </c>
      <c r="C77" s="420">
        <v>1.0549999999999999</v>
      </c>
      <c r="D77" s="420">
        <v>3.7336748144174337</v>
      </c>
      <c r="E77" s="1281">
        <f>+ProcessFlow!V16</f>
        <v>0.15775742767175938</v>
      </c>
      <c r="F77" s="421">
        <f ca="1">+output_kgyear*feedstockIndustrial_Natural_Gas_Usage*feedstockIndustrial_Natural_Gas_Price</f>
        <v>93460992.881325275</v>
      </c>
      <c r="G77" s="422" t="s">
        <v>709</v>
      </c>
      <c r="H77" s="1050"/>
    </row>
    <row r="78" spans="1:8" ht="28.25" customHeight="1">
      <c r="A78" s="1420" t="s">
        <v>15</v>
      </c>
      <c r="B78" s="419"/>
      <c r="C78" s="420"/>
      <c r="D78" s="420"/>
      <c r="E78" s="420"/>
      <c r="F78" s="421"/>
      <c r="G78" s="422"/>
      <c r="H78" s="1050"/>
    </row>
    <row r="79" spans="1:8" ht="28.25" customHeight="1">
      <c r="A79" s="1419" t="s">
        <v>273</v>
      </c>
      <c r="B79" s="419"/>
      <c r="C79" s="420"/>
      <c r="D79" s="420"/>
      <c r="E79" s="420"/>
      <c r="F79" s="421"/>
      <c r="G79" s="422"/>
      <c r="H79" s="1050"/>
    </row>
    <row r="80" spans="1:8" ht="28.25" customHeight="1">
      <c r="A80" s="1421" t="s">
        <v>274</v>
      </c>
      <c r="B80" s="420"/>
      <c r="C80" s="420"/>
      <c r="D80" s="420"/>
      <c r="E80" s="420"/>
      <c r="F80" s="421"/>
      <c r="G80" s="422"/>
      <c r="H80" s="1050"/>
    </row>
    <row r="81" spans="1:8" ht="17" customHeight="1" thickBot="1">
      <c r="A81" s="1421"/>
      <c r="B81" s="296"/>
      <c r="C81" s="1314"/>
      <c r="D81" s="1315"/>
      <c r="E81" s="1315"/>
      <c r="F81" s="1316" t="s">
        <v>58</v>
      </c>
      <c r="G81" s="1317"/>
      <c r="H81" s="1050"/>
    </row>
    <row r="82" spans="1:8" ht="17" customHeight="1" thickBot="1">
      <c r="A82" s="1419" t="s">
        <v>251</v>
      </c>
      <c r="B82" s="304" t="s">
        <v>277</v>
      </c>
      <c r="C82" s="1316"/>
      <c r="D82" s="1315"/>
      <c r="E82" s="1315"/>
      <c r="F82" s="1318">
        <f ca="1">SUM(Dynamic_Feed_Total)</f>
        <v>94917552.528685182</v>
      </c>
      <c r="G82" s="1317"/>
      <c r="H82" s="1050"/>
    </row>
    <row r="83" spans="1:8" ht="17" customHeight="1" thickBot="1">
      <c r="A83" s="1419" t="s">
        <v>252</v>
      </c>
      <c r="B83" s="304" t="s">
        <v>278</v>
      </c>
      <c r="C83" s="1316"/>
      <c r="D83" s="1315"/>
      <c r="E83" s="1315"/>
      <c r="F83" s="1318">
        <f>SUM(Dynamic_Utilities_Total)</f>
        <v>0</v>
      </c>
      <c r="G83" s="1317"/>
      <c r="H83" s="1050"/>
    </row>
    <row r="84" spans="1:8" ht="17" customHeight="1" thickBot="1">
      <c r="A84" s="1419" t="s">
        <v>256</v>
      </c>
      <c r="B84" s="301" t="s">
        <v>276</v>
      </c>
      <c r="C84" s="1316"/>
      <c r="D84" s="1315"/>
      <c r="E84" s="1315"/>
      <c r="F84" s="1318">
        <f>SUM(Dynamic_Byproduct_Total)</f>
        <v>0</v>
      </c>
      <c r="G84" s="1317"/>
      <c r="H84" s="1050"/>
    </row>
    <row r="85" spans="1:8" ht="38.25" customHeight="1">
      <c r="A85" s="1419"/>
      <c r="B85" s="301"/>
      <c r="C85" s="1314"/>
      <c r="D85" s="1319" t="s">
        <v>317</v>
      </c>
      <c r="E85" s="1454"/>
      <c r="F85" s="1454"/>
      <c r="G85" s="1444"/>
      <c r="H85" s="1050"/>
    </row>
    <row r="86" spans="1:8" ht="28.5" customHeight="1" thickBot="1">
      <c r="A86" s="1419"/>
      <c r="B86" s="301"/>
      <c r="C86" s="1314"/>
      <c r="D86" s="1050"/>
      <c r="E86" s="1475"/>
      <c r="F86" s="1475"/>
      <c r="G86" s="1476"/>
      <c r="H86" s="1050"/>
    </row>
    <row r="87" spans="1:8" ht="17" customHeight="1" thickTop="1" thickBot="1">
      <c r="A87" s="1419"/>
      <c r="B87" s="440" t="s">
        <v>83</v>
      </c>
      <c r="C87" s="1307"/>
      <c r="D87" s="1307"/>
      <c r="E87" s="1472" t="s">
        <v>439</v>
      </c>
      <c r="F87" s="1472"/>
      <c r="G87" s="1473"/>
      <c r="H87" s="1050"/>
    </row>
    <row r="88" spans="1:8" ht="20" customHeight="1" thickBot="1">
      <c r="A88" s="1419" t="s">
        <v>246</v>
      </c>
      <c r="B88" s="302" t="s">
        <v>336</v>
      </c>
      <c r="C88" s="1320">
        <f ca="1">Det_scaled_cap</f>
        <v>146615339.01696706</v>
      </c>
      <c r="D88" s="1301"/>
      <c r="E88" s="1452" t="s">
        <v>529</v>
      </c>
      <c r="F88" s="1452"/>
      <c r="G88" s="1453"/>
      <c r="H88" s="1050"/>
    </row>
    <row r="89" spans="1:8" ht="29" customHeight="1" thickBot="1">
      <c r="A89" s="1419"/>
      <c r="B89" s="302" t="s">
        <v>1000</v>
      </c>
      <c r="C89" s="1320">
        <f>Det_CO2_seq</f>
        <v>0</v>
      </c>
      <c r="D89" s="1301"/>
      <c r="E89" s="1452" t="s">
        <v>840</v>
      </c>
      <c r="F89" s="1452"/>
      <c r="G89" s="1453"/>
      <c r="H89" s="1050"/>
    </row>
    <row r="90" spans="1:8" ht="21.75" customHeight="1">
      <c r="A90" s="1419"/>
      <c r="B90" s="302"/>
      <c r="C90" s="282"/>
      <c r="D90" s="282"/>
      <c r="E90" s="282"/>
      <c r="F90" s="282"/>
      <c r="G90" s="1321"/>
      <c r="H90" s="1050"/>
    </row>
    <row r="91" spans="1:8" ht="45.75" customHeight="1" thickBot="1">
      <c r="A91" s="1419"/>
      <c r="B91" s="302" t="s">
        <v>337</v>
      </c>
      <c r="C91" s="749" t="str">
        <f>"Enter values in basis year (" &amp; BasisYear &amp; ") dollars"</f>
        <v>Enter values in basis year (2018) dollars</v>
      </c>
      <c r="D91" s="749" t="s">
        <v>841</v>
      </c>
      <c r="E91" s="749" t="str">
        <f xml:space="preserve"> "Reference Year ("&amp; ref_year &amp; ") Dollars"</f>
        <v>Reference Year (2016) Dollars</v>
      </c>
      <c r="F91" s="282"/>
      <c r="G91" s="1321"/>
      <c r="H91" s="1050"/>
    </row>
    <row r="92" spans="1:8" ht="17" customHeight="1">
      <c r="A92" s="1419" t="s">
        <v>179</v>
      </c>
      <c r="B92" s="299" t="s">
        <v>710</v>
      </c>
      <c r="C92" s="1258">
        <f ca="1">0.02*(CO2_seq)/(CEPCIinflator*CPIinflator)
+0.159872128446844*(direct_cap)/(CEPCIinflator*CPIinflator)</f>
        <v>24454999.99999994</v>
      </c>
      <c r="D92" s="1322">
        <f t="shared" ref="D92:D98" si="0">CEPCIinflator*CPIinflator</f>
        <v>0.9584831859169165</v>
      </c>
      <c r="E92" s="1323">
        <f ca="1">C92*D92</f>
        <v>23439706.311598137</v>
      </c>
      <c r="F92" s="1460" t="s">
        <v>1447</v>
      </c>
      <c r="G92" s="1461"/>
      <c r="H92" s="1050"/>
    </row>
    <row r="93" spans="1:8" ht="29.25" customHeight="1">
      <c r="A93" s="1419" t="s">
        <v>27</v>
      </c>
      <c r="B93" s="298" t="s">
        <v>338</v>
      </c>
      <c r="C93" s="1326">
        <f ca="1">0.1*(CO2_seq)/(CEPCIinflator*CPIinflator)
+0.11599636520534*(direct_cap)/(CEPCIinflator*CPIinflator)</f>
        <v>17743500.000000037</v>
      </c>
      <c r="D93" s="1324">
        <f t="shared" si="0"/>
        <v>0.9584831859169165</v>
      </c>
      <c r="E93" s="1325">
        <f t="shared" ref="E93:E98" ca="1" si="1">C93*D93</f>
        <v>17006846.409316845</v>
      </c>
      <c r="F93" s="1460" t="s">
        <v>1421</v>
      </c>
      <c r="G93" s="1461"/>
      <c r="H93" s="1050"/>
    </row>
    <row r="94" spans="1:8" ht="30.5" customHeight="1">
      <c r="A94" s="1419" t="s">
        <v>171</v>
      </c>
      <c r="B94" s="300" t="s">
        <v>1449</v>
      </c>
      <c r="C94" s="1326">
        <v>0</v>
      </c>
      <c r="D94" s="1324">
        <f t="shared" si="0"/>
        <v>0.9584831859169165</v>
      </c>
      <c r="E94" s="1325">
        <f t="shared" si="1"/>
        <v>0</v>
      </c>
      <c r="F94" s="1462" t="s">
        <v>1432</v>
      </c>
      <c r="G94" s="1459"/>
      <c r="H94" s="1050"/>
    </row>
    <row r="95" spans="1:8" ht="30.5" customHeight="1">
      <c r="A95" s="1419" t="s">
        <v>173</v>
      </c>
      <c r="B95" s="300" t="s">
        <v>1448</v>
      </c>
      <c r="C95" s="1326">
        <f ca="1">0.247793627342024*(direct_cap)/(CEPCIinflator*CPIinflator)</f>
        <v>37904000.000000045</v>
      </c>
      <c r="D95" s="1324">
        <f t="shared" si="0"/>
        <v>0.9584831859169165</v>
      </c>
      <c r="E95" s="1325">
        <f t="shared" ca="1" si="1"/>
        <v>36330346.678994849</v>
      </c>
      <c r="F95" s="1462"/>
      <c r="G95" s="1459"/>
      <c r="H95" s="1050"/>
    </row>
    <row r="96" spans="1:8" ht="31.5" customHeight="1">
      <c r="A96" s="1419" t="s">
        <v>159</v>
      </c>
      <c r="B96" s="298" t="s">
        <v>348</v>
      </c>
      <c r="C96" s="1326">
        <f>+ProcessFlow!C119*1000</f>
        <v>40137000</v>
      </c>
      <c r="D96" s="1324">
        <f t="shared" si="0"/>
        <v>0.9584831859169165</v>
      </c>
      <c r="E96" s="1325">
        <f t="shared" si="1"/>
        <v>38470639.633147277</v>
      </c>
      <c r="F96" s="1327"/>
      <c r="G96" s="1270"/>
      <c r="H96" s="1050"/>
    </row>
    <row r="97" spans="1:8" ht="17" customHeight="1">
      <c r="A97" s="1419" t="s">
        <v>29</v>
      </c>
      <c r="B97" s="298" t="s">
        <v>347</v>
      </c>
      <c r="C97" s="1326"/>
      <c r="D97" s="1324">
        <f t="shared" si="0"/>
        <v>0.9584831859169165</v>
      </c>
      <c r="E97" s="1325">
        <f t="shared" si="1"/>
        <v>0</v>
      </c>
      <c r="F97" s="1327"/>
      <c r="G97" s="1270"/>
      <c r="H97" s="1050"/>
    </row>
    <row r="98" spans="1:8" ht="21.75" customHeight="1" thickBot="1">
      <c r="A98" s="1419" t="s">
        <v>169</v>
      </c>
      <c r="B98" s="299" t="s">
        <v>711</v>
      </c>
      <c r="C98" s="1377">
        <f ca="1">0.15*(CO2_seq)/(CEPCIinflator*CPIinflator)
+0.11599636520534*(direct_cap)/(CEPCIinflator*CPIinflator)</f>
        <v>17743500.000000037</v>
      </c>
      <c r="D98" s="1328">
        <f t="shared" si="0"/>
        <v>0.9584831859169165</v>
      </c>
      <c r="E98" s="1329">
        <f t="shared" ca="1" si="1"/>
        <v>17006846.409316845</v>
      </c>
      <c r="F98" s="1460" t="s">
        <v>1422</v>
      </c>
      <c r="G98" s="1461"/>
      <c r="H98" s="1050"/>
    </row>
    <row r="99" spans="1:8" ht="20" customHeight="1" thickBot="1">
      <c r="A99" s="1419" t="s">
        <v>1007</v>
      </c>
      <c r="B99" s="302" t="s">
        <v>976</v>
      </c>
      <c r="C99" s="282"/>
      <c r="D99" s="1050"/>
      <c r="E99" s="1330">
        <f ca="1">direct_cap+CO2_seq+SUM($E$92:$E$98)</f>
        <v>278869724.45934099</v>
      </c>
      <c r="F99" s="1331"/>
      <c r="G99" s="1332"/>
      <c r="H99" s="1050"/>
    </row>
    <row r="100" spans="1:8">
      <c r="A100" s="1419"/>
      <c r="B100" s="298"/>
      <c r="C100" s="1314"/>
      <c r="D100" s="1450" t="s">
        <v>841</v>
      </c>
      <c r="E100" s="282"/>
      <c r="F100" s="1255"/>
      <c r="G100" s="1333"/>
      <c r="H100" s="1050"/>
    </row>
    <row r="101" spans="1:8" ht="30.75" customHeight="1" thickBot="1">
      <c r="A101" s="1419"/>
      <c r="B101" s="302" t="s">
        <v>349</v>
      </c>
      <c r="C101" s="749" t="str">
        <f>"Enter values in basis year (" &amp; BasisYear &amp; ") dollars"</f>
        <v>Enter values in basis year (2018) dollars</v>
      </c>
      <c r="D101" s="1451"/>
      <c r="E101" s="749" t="str">
        <f xml:space="preserve"> "Reference Year ("&amp; ref_year &amp; ") Dollars"</f>
        <v>Reference Year (2016) Dollars</v>
      </c>
      <c r="F101" s="1255"/>
      <c r="G101" s="1333"/>
      <c r="H101" s="1050"/>
    </row>
    <row r="102" spans="1:8" ht="27.75" customHeight="1" thickBot="1">
      <c r="A102" s="1419" t="s">
        <v>1090</v>
      </c>
      <c r="B102" s="298" t="s">
        <v>350</v>
      </c>
      <c r="C102" s="1258">
        <v>50000</v>
      </c>
      <c r="D102" s="1322">
        <f>CPIinflator</f>
        <v>0.9584831859169165</v>
      </c>
      <c r="E102" s="1334">
        <f>C102*D102</f>
        <v>47924.159295845828</v>
      </c>
      <c r="F102" s="1255"/>
      <c r="G102" s="1333"/>
      <c r="H102" s="1050"/>
    </row>
    <row r="103" spans="1:8" ht="25.5" customHeight="1" thickBot="1">
      <c r="A103" s="1419" t="s">
        <v>1091</v>
      </c>
      <c r="B103" s="298" t="s">
        <v>351</v>
      </c>
      <c r="C103" s="1378">
        <f>100</f>
        <v>100</v>
      </c>
      <c r="D103" s="1335">
        <f ca="1">Scale_Factor *1</f>
        <v>1</v>
      </c>
      <c r="E103" s="1336">
        <f ca="1">C103*D103</f>
        <v>100</v>
      </c>
      <c r="F103" s="1460" t="s">
        <v>1423</v>
      </c>
      <c r="G103" s="1461"/>
      <c r="H103" s="1050"/>
    </row>
    <row r="104" spans="1:8" ht="27" customHeight="1" thickBot="1">
      <c r="A104" s="1419" t="s">
        <v>1008</v>
      </c>
      <c r="B104" s="298" t="s">
        <v>977</v>
      </c>
      <c r="C104" s="1337"/>
      <c r="D104" s="1337"/>
      <c r="E104" s="1330">
        <f ca="1">acre_cost*acres</f>
        <v>4792415.9295845823</v>
      </c>
      <c r="F104" s="1255"/>
      <c r="G104" s="1333"/>
      <c r="H104" s="1050"/>
    </row>
    <row r="105" spans="1:8" ht="17" customHeight="1" thickBot="1">
      <c r="A105" s="1419"/>
      <c r="B105" s="298" t="s">
        <v>1009</v>
      </c>
      <c r="C105" s="1258"/>
      <c r="D105" s="1322">
        <f>CPIinflator</f>
        <v>0.9584831859169165</v>
      </c>
      <c r="E105" s="1330">
        <f>C105*D105</f>
        <v>0</v>
      </c>
      <c r="F105" s="1331"/>
      <c r="G105" s="1332"/>
      <c r="H105" s="1050"/>
    </row>
    <row r="106" spans="1:8" ht="20" customHeight="1" thickBot="1">
      <c r="A106" s="1419" t="s">
        <v>1015</v>
      </c>
      <c r="B106" s="302" t="s">
        <v>978</v>
      </c>
      <c r="C106" s="1337"/>
      <c r="D106" s="1337"/>
      <c r="E106" s="1338">
        <f ca="1">land_cost+$E$105</f>
        <v>4792415.9295845823</v>
      </c>
      <c r="F106" s="1255"/>
      <c r="G106" s="1333"/>
      <c r="H106" s="1050"/>
    </row>
    <row r="107" spans="1:8" ht="14" thickBot="1">
      <c r="A107" s="1419"/>
      <c r="B107" s="298"/>
      <c r="C107" s="1314"/>
      <c r="D107" s="1337"/>
      <c r="E107" s="1255"/>
      <c r="F107" s="1255"/>
      <c r="G107" s="1333"/>
      <c r="H107" s="1050"/>
    </row>
    <row r="108" spans="1:8" ht="20" customHeight="1" thickBot="1">
      <c r="A108" s="1419" t="s">
        <v>1016</v>
      </c>
      <c r="B108" s="302" t="s">
        <v>992</v>
      </c>
      <c r="C108" s="1320">
        <f ca="1">(depr_cap+non_dep_cap)*sensitivity_06</f>
        <v>283662140.38892555</v>
      </c>
      <c r="D108" s="1337"/>
      <c r="E108" s="1339"/>
      <c r="F108" s="1255"/>
      <c r="G108" s="1333"/>
      <c r="H108" s="1050"/>
    </row>
    <row r="109" spans="1:8" ht="14" thickBot="1">
      <c r="A109" s="1419"/>
      <c r="B109" s="298"/>
      <c r="C109" s="1314"/>
      <c r="D109" s="1337"/>
      <c r="E109" s="1255"/>
      <c r="F109" s="1255"/>
      <c r="G109" s="1333"/>
      <c r="H109" s="1050"/>
    </row>
    <row r="110" spans="1:8" ht="44.25" customHeight="1" thickTop="1" thickBot="1">
      <c r="A110" s="1419"/>
      <c r="B110" s="440" t="s">
        <v>352</v>
      </c>
      <c r="C110" s="827" t="str">
        <f>"Enter values in basis year (" &amp; BasisYear &amp; ") dollars"</f>
        <v>Enter values in basis year (2018) dollars</v>
      </c>
      <c r="D110" s="827" t="s">
        <v>841</v>
      </c>
      <c r="E110" s="827" t="str">
        <f xml:space="preserve"> "Reference Year ("&amp; ref_year &amp; ") Dollars"</f>
        <v>Reference Year (2016) Dollars</v>
      </c>
      <c r="F110" s="1307"/>
      <c r="G110" s="1308"/>
      <c r="H110" s="1050"/>
    </row>
    <row r="111" spans="1:8" s="33" customFormat="1" ht="29.25" customHeight="1" thickBot="1">
      <c r="A111" s="1419" t="s">
        <v>1019</v>
      </c>
      <c r="B111" s="299" t="s">
        <v>353</v>
      </c>
      <c r="C111" s="1340">
        <v>18</v>
      </c>
      <c r="D111" s="1341">
        <f ca="1">Scale_Ratio^0.25</f>
        <v>1</v>
      </c>
      <c r="E111" s="1342">
        <f ca="1">C111*D111</f>
        <v>18</v>
      </c>
      <c r="F111" s="1255"/>
      <c r="G111" s="1333"/>
      <c r="H111" s="1050"/>
    </row>
    <row r="112" spans="1:8" s="33" customFormat="1" ht="17.25" customHeight="1" thickBot="1">
      <c r="A112" s="1419" t="s">
        <v>1020</v>
      </c>
      <c r="B112" s="299" t="s">
        <v>354</v>
      </c>
      <c r="C112" s="1258">
        <v>50</v>
      </c>
      <c r="D112" s="1322">
        <f>VLOOKUP(ref_year,Tbl_labor_indexes,2,FALSE)/VLOOKUP(BasisYear,Tbl_labor_indexes,2,FALSE)</f>
        <v>0.89209621993127108</v>
      </c>
      <c r="E112" s="1343">
        <f>C112*D112</f>
        <v>44.604810996563558</v>
      </c>
      <c r="F112" s="1255" t="s">
        <v>1427</v>
      </c>
      <c r="G112" s="1333"/>
      <c r="H112" s="1050"/>
    </row>
    <row r="113" spans="1:8" s="33" customFormat="1" ht="17" customHeight="1" thickBot="1">
      <c r="A113" s="1419" t="s">
        <v>1010</v>
      </c>
      <c r="B113" s="299" t="s">
        <v>993</v>
      </c>
      <c r="C113" s="1337"/>
      <c r="D113" s="1337"/>
      <c r="E113" s="1344">
        <f ca="1">FTEs*2080*FTE_cost</f>
        <v>1670004.1237113397</v>
      </c>
      <c r="F113" s="1255"/>
      <c r="G113" s="1333"/>
      <c r="H113" s="1050"/>
    </row>
    <row r="114" spans="1:8" s="33" customFormat="1" ht="17" customHeight="1" thickBot="1">
      <c r="A114" s="1419" t="s">
        <v>160</v>
      </c>
      <c r="B114" s="299" t="s">
        <v>355</v>
      </c>
      <c r="C114" s="1260">
        <v>0.2</v>
      </c>
      <c r="D114" s="1337"/>
      <c r="E114" s="1050"/>
      <c r="F114" s="1255" t="s">
        <v>1427</v>
      </c>
      <c r="G114" s="1333"/>
      <c r="H114" s="1050"/>
    </row>
    <row r="115" spans="1:8" s="33" customFormat="1" ht="17" customHeight="1" thickBot="1">
      <c r="A115" s="1419" t="s">
        <v>1013</v>
      </c>
      <c r="B115" s="299" t="s">
        <v>986</v>
      </c>
      <c r="C115" s="1337"/>
      <c r="D115" s="1337"/>
      <c r="E115" s="1345">
        <f ca="1">labor_cost*overhead_rate</f>
        <v>334000.82474226796</v>
      </c>
      <c r="F115" s="1255"/>
      <c r="G115" s="1333"/>
      <c r="H115" s="1050"/>
    </row>
    <row r="116" spans="1:8" s="33" customFormat="1" ht="17" customHeight="1" thickBot="1">
      <c r="A116" s="1419" t="s">
        <v>31</v>
      </c>
      <c r="B116" s="299" t="s">
        <v>356</v>
      </c>
      <c r="C116" s="1258">
        <v>0</v>
      </c>
      <c r="D116" s="1322">
        <f ca="1">Scale_Factor *CEPCIinflator*CPIinflator</f>
        <v>0.9584831859169165</v>
      </c>
      <c r="E116" s="1338">
        <f ca="1">C116*D116</f>
        <v>0</v>
      </c>
      <c r="F116" s="1255"/>
      <c r="G116" s="1333"/>
      <c r="H116" s="1050"/>
    </row>
    <row r="117" spans="1:8" s="33" customFormat="1" ht="26.25" customHeight="1" thickBot="1">
      <c r="A117" s="1419" t="s">
        <v>186</v>
      </c>
      <c r="B117" s="299" t="s">
        <v>1094</v>
      </c>
      <c r="C117" s="1259">
        <v>0.02</v>
      </c>
      <c r="D117" s="1346"/>
      <c r="E117" s="1050"/>
      <c r="F117" s="1255"/>
      <c r="G117" s="1333"/>
      <c r="H117" s="1050"/>
    </row>
    <row r="118" spans="1:8" s="33" customFormat="1" ht="17" customHeight="1" thickBot="1">
      <c r="A118" s="1419" t="s">
        <v>1011</v>
      </c>
      <c r="B118" s="298" t="s">
        <v>991</v>
      </c>
      <c r="C118" s="1337"/>
      <c r="D118" s="1346"/>
      <c r="E118" s="1347">
        <f ca="1">tax_ins_rate*total_cap</f>
        <v>5673242.8077785112</v>
      </c>
      <c r="F118" s="1255"/>
      <c r="G118" s="1333"/>
      <c r="H118" s="1050"/>
    </row>
    <row r="119" spans="1:8" s="33" customFormat="1" ht="17" customHeight="1" thickBot="1">
      <c r="A119" s="1419" t="s">
        <v>175</v>
      </c>
      <c r="B119" s="298" t="s">
        <v>357</v>
      </c>
      <c r="C119" s="1258">
        <v>0</v>
      </c>
      <c r="D119" s="1322">
        <f ca="1">Scale_Factor *CPIinflator</f>
        <v>0.9584831859169165</v>
      </c>
      <c r="E119" s="1334">
        <f ca="1">C119*D119</f>
        <v>0</v>
      </c>
      <c r="F119" s="1255"/>
      <c r="G119" s="1333"/>
      <c r="H119" s="1050"/>
    </row>
    <row r="120" spans="1:8" s="33" customFormat="1" ht="27" customHeight="1" thickBot="1">
      <c r="A120" s="1419" t="s">
        <v>1021</v>
      </c>
      <c r="B120" s="299" t="s">
        <v>358</v>
      </c>
      <c r="C120" s="1258">
        <f>3050393</f>
        <v>3050393</v>
      </c>
      <c r="D120" s="1322">
        <f ca="1">Scale_Factor *CEPCIinflator*CPIinflator</f>
        <v>0.9584831859169165</v>
      </c>
      <c r="E120" s="1348">
        <f ca="1">C120*D120</f>
        <v>2923750.4009386608</v>
      </c>
      <c r="F120" s="1255"/>
      <c r="G120" s="1333"/>
      <c r="H120" s="1349"/>
    </row>
    <row r="121" spans="1:8" s="33" customFormat="1" ht="17" customHeight="1" thickBot="1">
      <c r="A121" s="1419" t="s">
        <v>172</v>
      </c>
      <c r="B121" s="299" t="s">
        <v>359</v>
      </c>
      <c r="C121" s="1258">
        <f>2033595</f>
        <v>2033595</v>
      </c>
      <c r="D121" s="1322">
        <f ca="1">Scale_Factor *CEPCIinflator*CPIinflator</f>
        <v>0.9584831859169165</v>
      </c>
      <c r="E121" s="1334">
        <f ca="1">C121*D121</f>
        <v>1949166.6144647119</v>
      </c>
      <c r="F121" s="1255" t="s">
        <v>1450</v>
      </c>
      <c r="G121" s="1333"/>
      <c r="H121" s="1050"/>
    </row>
    <row r="122" spans="1:8" s="33" customFormat="1" ht="17" customHeight="1" thickBot="1">
      <c r="A122" s="1419" t="s">
        <v>157</v>
      </c>
      <c r="B122" s="298" t="s">
        <v>360</v>
      </c>
      <c r="C122" s="1258">
        <f>1056446</f>
        <v>1056446</v>
      </c>
      <c r="D122" s="1322">
        <f ca="1">Scale_Ratio * CEPCIinflator*CPIinflator</f>
        <v>0.9584831859169165</v>
      </c>
      <c r="E122" s="1348">
        <f ca="1">C122*D122</f>
        <v>1012585.7278291828</v>
      </c>
      <c r="F122" s="1255" t="s">
        <v>1428</v>
      </c>
      <c r="G122" s="1333"/>
      <c r="H122" s="1050"/>
    </row>
    <row r="123" spans="1:8" s="33" customFormat="1" ht="17" customHeight="1" thickBot="1">
      <c r="A123" s="1419" t="s">
        <v>158</v>
      </c>
      <c r="B123" s="298" t="s">
        <v>361</v>
      </c>
      <c r="C123" s="1258">
        <v>0</v>
      </c>
      <c r="D123" s="1322">
        <f ca="1">Scale_Factor *CEPCIinflator*CPIinflator</f>
        <v>0.9584831859169165</v>
      </c>
      <c r="E123" s="1338">
        <f ca="1">C123*D123</f>
        <v>0</v>
      </c>
      <c r="F123" s="1255"/>
      <c r="G123" s="1333"/>
      <c r="H123" s="1050"/>
    </row>
    <row r="124" spans="1:8" s="33" customFormat="1" ht="24" customHeight="1" thickBot="1">
      <c r="A124" s="1419" t="s">
        <v>1012</v>
      </c>
      <c r="B124" s="302" t="s">
        <v>994</v>
      </c>
      <c r="C124" s="1337"/>
      <c r="D124" s="1337"/>
      <c r="E124" s="1330">
        <f ca="1">(labor_cost+overhead_GA+tax_insurance+licensing+SUM(E119:E123))*sensitivity_07</f>
        <v>13562750.499464674</v>
      </c>
      <c r="F124" s="1339"/>
      <c r="G124" s="1350"/>
      <c r="H124" s="1050"/>
    </row>
    <row r="125" spans="1:8" s="33" customFormat="1" ht="14" thickBot="1">
      <c r="A125" s="1419"/>
      <c r="B125" s="299"/>
      <c r="C125" s="1314"/>
      <c r="D125" s="1351"/>
      <c r="E125" s="1314"/>
      <c r="F125" s="1314"/>
      <c r="G125" s="1352"/>
      <c r="H125" s="1050"/>
    </row>
    <row r="126" spans="1:8" s="33" customFormat="1" ht="26.25" customHeight="1" thickTop="1" thickBot="1">
      <c r="A126" s="1419"/>
      <c r="B126" s="437" t="s">
        <v>945</v>
      </c>
      <c r="C126" s="1353"/>
      <c r="D126" s="1354"/>
      <c r="E126" s="1355"/>
      <c r="F126" s="1354"/>
      <c r="G126" s="1356"/>
      <c r="H126" s="1050"/>
    </row>
    <row r="127" spans="1:8" customFormat="1" ht="15" customHeight="1" thickTop="1">
      <c r="A127" s="1419"/>
      <c r="B127" s="445" t="s">
        <v>1041</v>
      </c>
      <c r="C127" s="1357"/>
      <c r="D127" s="1357"/>
      <c r="E127" s="1357"/>
      <c r="F127" s="1357"/>
      <c r="G127" s="1358"/>
      <c r="H127" s="282"/>
    </row>
    <row r="128" spans="1:8" customFormat="1" ht="15" customHeight="1">
      <c r="A128" s="1419"/>
      <c r="B128" s="412"/>
      <c r="C128" s="1359"/>
      <c r="D128" s="1359"/>
      <c r="E128" s="1359"/>
      <c r="F128" s="1359"/>
      <c r="G128" s="1321"/>
      <c r="H128" s="282"/>
    </row>
    <row r="129" spans="1:8" customFormat="1" ht="24" customHeight="1" thickBot="1">
      <c r="A129" s="1419"/>
      <c r="B129" s="401" t="s">
        <v>1048</v>
      </c>
      <c r="C129" s="1359"/>
      <c r="D129" s="1359"/>
      <c r="E129" s="1359"/>
      <c r="F129" s="1359"/>
      <c r="G129" s="1321"/>
      <c r="H129" s="282"/>
    </row>
    <row r="130" spans="1:8" customFormat="1" ht="24" customHeight="1" thickBot="1">
      <c r="A130" s="1419"/>
      <c r="B130" s="425" t="s">
        <v>1044</v>
      </c>
      <c r="C130" s="1359"/>
      <c r="D130" s="1359"/>
      <c r="E130" s="1359"/>
      <c r="F130" s="1359"/>
      <c r="G130" s="1321"/>
      <c r="H130" s="282"/>
    </row>
    <row r="131" spans="1:8" customFormat="1" ht="24" customHeight="1" thickBot="1">
      <c r="A131" s="1419"/>
      <c r="B131" s="415" t="s">
        <v>1069</v>
      </c>
      <c r="C131" s="1446" t="str">
        <f>B130</f>
        <v>Process Water</v>
      </c>
      <c r="D131" s="1447"/>
      <c r="E131" s="1359"/>
      <c r="F131" s="1359"/>
      <c r="G131" s="1321"/>
      <c r="H131" s="282"/>
    </row>
    <row r="132" spans="1:8" customFormat="1" ht="18.75" customHeight="1" thickBot="1">
      <c r="A132" s="1419"/>
      <c r="B132" s="403" t="str">
        <f ca="1">"$(" &amp; ref_year &amp; ")/ " &amp; VLOOKUP(TMP_NonE_Feed,Tbl_Other_Inputs_and_Byproducts,2,FALSE)</f>
        <v>$(2016)/ gal</v>
      </c>
      <c r="C132" s="428">
        <f ca="1">HLOOKUP(startup_year,Tbl_Other_Inputs_and_Byproducts,MATCH(TMP_NonE_Feed,Other_Inputs_List,0),FALSE)</f>
        <v>2.374951094500801E-3</v>
      </c>
      <c r="D132" s="1359"/>
      <c r="E132" s="1359"/>
      <c r="F132" s="1359"/>
      <c r="G132" s="1321"/>
      <c r="H132" s="282"/>
    </row>
    <row r="133" spans="1:8" customFormat="1" ht="18" customHeight="1" thickBot="1">
      <c r="A133" s="1419"/>
      <c r="B133" s="405" t="str">
        <f>IF(TMP_NonE_Type="Feed or utility","Usage per kg H2","Production per kg H2")</f>
        <v>Usage per kg H2</v>
      </c>
      <c r="C133" s="426"/>
      <c r="D133" s="1359"/>
      <c r="E133" s="1359"/>
      <c r="F133" s="1359"/>
      <c r="G133" s="1321"/>
      <c r="H133" s="282"/>
    </row>
    <row r="134" spans="1:8" customFormat="1" ht="19.5" customHeight="1" thickBot="1">
      <c r="A134" s="1419"/>
      <c r="B134" s="405" t="str">
        <f>IF(TMP_NonE_Type = "Feed or utility", "Cost in Startup Year","Income in Startup Year")</f>
        <v>Cost in Startup Year</v>
      </c>
      <c r="C134" s="414">
        <f ca="1">design_cap*365*cap_factor*TMP_NonE_Usage*TMP_NonE_StartPrice</f>
        <v>0</v>
      </c>
      <c r="D134" s="1359"/>
      <c r="E134" s="1359"/>
      <c r="F134" s="1359"/>
      <c r="G134" s="1321"/>
      <c r="H134" s="282"/>
    </row>
    <row r="135" spans="1:8" customFormat="1" ht="24" customHeight="1" thickBot="1">
      <c r="A135" s="1419"/>
      <c r="B135" s="413" t="s">
        <v>262</v>
      </c>
      <c r="C135" s="416" t="s">
        <v>23</v>
      </c>
      <c r="D135" s="1360"/>
      <c r="E135" s="1360"/>
      <c r="F135" s="1360"/>
      <c r="G135" s="1313"/>
      <c r="H135" s="282"/>
    </row>
    <row r="136" spans="1:8" customFormat="1" ht="24" customHeight="1">
      <c r="A136" s="1422" t="s">
        <v>1050</v>
      </c>
      <c r="B136" s="303"/>
      <c r="C136" s="1316"/>
      <c r="D136" s="1316"/>
      <c r="E136" s="1361"/>
      <c r="F136" s="1316"/>
      <c r="G136" s="1317"/>
      <c r="H136" s="282"/>
    </row>
    <row r="137" spans="1:8" customFormat="1" ht="24" customHeight="1">
      <c r="A137" s="1422"/>
      <c r="B137" s="303" t="s">
        <v>1069</v>
      </c>
      <c r="C137" s="1316" t="s">
        <v>1296</v>
      </c>
      <c r="D137" s="1316" t="s">
        <v>834</v>
      </c>
      <c r="E137" s="1361" t="s">
        <v>831</v>
      </c>
      <c r="F137" s="1316" t="s">
        <v>262</v>
      </c>
      <c r="G137" s="1317"/>
      <c r="H137" s="282"/>
    </row>
    <row r="138" spans="1:8" customFormat="1" ht="24" customHeight="1">
      <c r="A138" s="1422"/>
      <c r="B138" s="303" t="s">
        <v>1044</v>
      </c>
      <c r="C138" s="1316">
        <v>2.374951094500801E-3</v>
      </c>
      <c r="D138" s="1316">
        <f>+ProcessFlow!V18</f>
        <v>4.3436350988770744</v>
      </c>
      <c r="E138" s="1361">
        <f ca="1">+output_kgyear*C138*D138</f>
        <v>1636862.083387054</v>
      </c>
      <c r="F138" s="1316" t="s">
        <v>23</v>
      </c>
      <c r="G138" s="1317"/>
      <c r="H138" s="282"/>
    </row>
    <row r="139" spans="1:8" customFormat="1" ht="16.25" customHeight="1">
      <c r="A139" s="1419" t="s">
        <v>1051</v>
      </c>
      <c r="B139" s="303"/>
      <c r="C139" s="1362"/>
      <c r="D139" s="1362"/>
      <c r="E139" s="1363"/>
      <c r="F139" s="1362"/>
      <c r="G139" s="1317"/>
      <c r="H139" s="282"/>
    </row>
    <row r="140" spans="1:8" customFormat="1" ht="16.25" customHeight="1" thickBot="1">
      <c r="A140" s="1419" t="s">
        <v>1052</v>
      </c>
      <c r="B140" s="303"/>
      <c r="C140" s="1316"/>
      <c r="D140" s="1316"/>
      <c r="E140" s="1363"/>
      <c r="F140" s="1316"/>
      <c r="G140" s="1317"/>
      <c r="H140" s="282"/>
    </row>
    <row r="141" spans="1:8" customFormat="1" ht="17" customHeight="1" thickBot="1">
      <c r="A141" s="1419"/>
      <c r="B141" s="304" t="s">
        <v>859</v>
      </c>
      <c r="C141" s="1318">
        <f ca="1">SUM(Dynamic_NonE_Feed_Total)</f>
        <v>1636862.083387054</v>
      </c>
      <c r="D141" s="1301"/>
      <c r="E141" s="1454"/>
      <c r="F141" s="1454"/>
      <c r="G141" s="1444"/>
      <c r="H141" s="282"/>
    </row>
    <row r="142" spans="1:8" customFormat="1" ht="17" customHeight="1" thickBot="1">
      <c r="A142" s="1419" t="s">
        <v>257</v>
      </c>
      <c r="B142" s="304" t="s">
        <v>279</v>
      </c>
      <c r="C142" s="1318">
        <f>SUM(Dynamic_NonE_Byprod_Total)</f>
        <v>0</v>
      </c>
      <c r="D142" s="1301"/>
      <c r="E142" s="1454"/>
      <c r="F142" s="1454"/>
      <c r="G142" s="1444"/>
      <c r="H142" s="282"/>
    </row>
    <row r="143" spans="1:8" customFormat="1" ht="26.75" customHeight="1" thickBot="1">
      <c r="A143" s="1419"/>
      <c r="B143" s="304"/>
      <c r="C143" s="1316"/>
      <c r="D143" s="1364"/>
      <c r="E143" s="1454"/>
      <c r="F143" s="1454"/>
      <c r="G143" s="1444"/>
      <c r="H143" s="282"/>
    </row>
    <row r="144" spans="1:8" customFormat="1" ht="17" customHeight="1" thickBot="1">
      <c r="A144" s="1419" t="s">
        <v>250</v>
      </c>
      <c r="B144" s="302" t="s">
        <v>253</v>
      </c>
      <c r="C144" s="1320">
        <f ca="1">Total_Energy_Feed_Cost</f>
        <v>94917552.528685182</v>
      </c>
      <c r="D144" s="1301"/>
      <c r="E144" s="1448"/>
      <c r="F144" s="1448"/>
      <c r="G144" s="1449"/>
      <c r="H144" s="282"/>
    </row>
    <row r="145" spans="1:8" customFormat="1" ht="17" customHeight="1" thickBot="1">
      <c r="A145" s="1419" t="s">
        <v>662</v>
      </c>
      <c r="B145" s="302" t="s">
        <v>254</v>
      </c>
      <c r="C145" s="1320">
        <f ca="1">Total_Energy_Utilities_Cost+Total_Non_Energy_Feed_Cost</f>
        <v>1636862.083387054</v>
      </c>
      <c r="D145" s="1301"/>
      <c r="E145" s="1448"/>
      <c r="F145" s="1448"/>
      <c r="G145" s="1449"/>
      <c r="H145" s="282"/>
    </row>
    <row r="146" spans="1:8" customFormat="1" ht="31.5" customHeight="1" thickBot="1">
      <c r="A146" s="1419" t="s">
        <v>663</v>
      </c>
      <c r="B146" s="302" t="s">
        <v>255</v>
      </c>
      <c r="C146" s="1348">
        <f>Total_Energy_Byproduct_Credit+total_non_energy_byproduct_credit</f>
        <v>0</v>
      </c>
      <c r="D146" s="1301"/>
      <c r="E146" s="1458"/>
      <c r="F146" s="1458"/>
      <c r="G146" s="1459"/>
      <c r="H146" s="282"/>
    </row>
    <row r="147" spans="1:8" customFormat="1" ht="45.75" customHeight="1" thickTop="1" thickBot="1">
      <c r="A147" s="1419"/>
      <c r="B147" s="445" t="s">
        <v>814</v>
      </c>
      <c r="C147" s="827" t="str">
        <f>"Enter values in basis year (" &amp; BasisYear &amp; ") dollars"</f>
        <v>Enter values in basis year (2018) dollars</v>
      </c>
      <c r="D147" s="827" t="s">
        <v>841</v>
      </c>
      <c r="E147" s="827" t="str">
        <f xml:space="preserve"> "Reference Year ("&amp; ref_year &amp; ") Dollars"</f>
        <v>Reference Year (2016) Dollars</v>
      </c>
      <c r="F147" s="1357"/>
      <c r="G147" s="1365"/>
      <c r="H147" s="282"/>
    </row>
    <row r="148" spans="1:8" s="33" customFormat="1" ht="39" customHeight="1" thickBot="1">
      <c r="A148" s="1419" t="s">
        <v>187</v>
      </c>
      <c r="B148" s="298" t="s">
        <v>362</v>
      </c>
      <c r="C148" s="1258">
        <v>0</v>
      </c>
      <c r="D148" s="1322">
        <f ca="1">Scale_Ratio * VLOOKUP(ref_year,Chemical_price_indexes,2,FALSE)/VLOOKUP(BasisYear,Chemical_price_indexes,2,FALSE)</f>
        <v>0.920580847553085</v>
      </c>
      <c r="E148" s="1348">
        <f ca="1">C148*D148</f>
        <v>0</v>
      </c>
      <c r="F148" s="1457"/>
      <c r="G148" s="1444"/>
      <c r="H148" s="1050"/>
    </row>
    <row r="149" spans="1:8" s="33" customFormat="1" ht="38.25" customHeight="1" thickBot="1">
      <c r="A149" s="1419" t="s">
        <v>280</v>
      </c>
      <c r="B149" s="533" t="s">
        <v>926</v>
      </c>
      <c r="C149" s="1258">
        <f>10720528-654947-7150827</f>
        <v>2914754</v>
      </c>
      <c r="D149" s="1322">
        <f ca="1">Scale_Ratio * VLOOKUP(ref_year,Chemical_price_indexes,2,FALSE)/VLOOKUP(BasisYear,Chemical_price_indexes,2,FALSE)</f>
        <v>0.920580847553085</v>
      </c>
      <c r="E149" s="1348">
        <f ca="1">C149*D149</f>
        <v>2683266.707728745</v>
      </c>
      <c r="F149" s="1255"/>
      <c r="G149" s="1333"/>
      <c r="H149" s="1050"/>
    </row>
    <row r="150" spans="1:8" s="33" customFormat="1" ht="17" customHeight="1" thickBot="1">
      <c r="A150" s="1419" t="s">
        <v>188</v>
      </c>
      <c r="B150" s="299" t="s">
        <v>363</v>
      </c>
      <c r="C150" s="1258">
        <f>16756</f>
        <v>16756</v>
      </c>
      <c r="D150" s="1322">
        <f ca="1">Scale_Ratio * VLOOKUP(ref_year,Chemical_price_indexes,2,FALSE)/VLOOKUP(BasisYear,Chemical_price_indexes,2,FALSE)</f>
        <v>0.920580847553085</v>
      </c>
      <c r="E150" s="1348">
        <f ca="1">C150*D150</f>
        <v>15425.252681599492</v>
      </c>
      <c r="F150" s="1255"/>
      <c r="G150" s="1333"/>
      <c r="H150" s="1050"/>
    </row>
    <row r="151" spans="1:8" s="33" customFormat="1" ht="17" customHeight="1" thickBot="1">
      <c r="A151" s="1419" t="s">
        <v>180</v>
      </c>
      <c r="B151" s="299" t="s">
        <v>364</v>
      </c>
      <c r="C151" s="1258">
        <v>0</v>
      </c>
      <c r="D151" s="1322">
        <f ca="1">Scale_Ratio * VLOOKUP(ref_year,Chemical_price_indexes,2,FALSE)/VLOOKUP(BasisYear,Chemical_price_indexes,2,FALSE)</f>
        <v>0.920580847553085</v>
      </c>
      <c r="E151" s="1348">
        <f ca="1">C151*D151</f>
        <v>0</v>
      </c>
      <c r="F151" s="1255"/>
      <c r="G151" s="1333"/>
      <c r="H151" s="1050"/>
    </row>
    <row r="152" spans="1:8" s="33" customFormat="1" ht="28.5" customHeight="1" thickBot="1">
      <c r="A152" s="1419" t="s">
        <v>176</v>
      </c>
      <c r="B152" s="299" t="s">
        <v>365</v>
      </c>
      <c r="C152" s="1366">
        <v>5.0000000000000001E-3</v>
      </c>
      <c r="D152" s="282"/>
      <c r="E152" s="1455" t="s">
        <v>1201</v>
      </c>
      <c r="F152" s="1455"/>
      <c r="G152" s="1456"/>
      <c r="H152" s="1050"/>
    </row>
    <row r="153" spans="1:8" s="33" customFormat="1" ht="17" customHeight="1" thickBot="1">
      <c r="A153" s="1419" t="s">
        <v>177</v>
      </c>
      <c r="B153" s="1219" t="s">
        <v>366</v>
      </c>
      <c r="C153" s="1258">
        <v>0</v>
      </c>
      <c r="D153" s="1322">
        <f ca="1">Scale_Ratio * CPIinflator</f>
        <v>0.9584831859169165</v>
      </c>
      <c r="E153" s="1348">
        <v>0</v>
      </c>
      <c r="F153" s="1255"/>
      <c r="G153" s="1333"/>
      <c r="H153" s="1050"/>
    </row>
    <row r="154" spans="1:8" s="33" customFormat="1" ht="17" customHeight="1" thickBot="1">
      <c r="A154" s="1419" t="s">
        <v>156</v>
      </c>
      <c r="B154" s="1219" t="s">
        <v>367</v>
      </c>
      <c r="C154" s="1258">
        <v>0</v>
      </c>
      <c r="D154" s="1322">
        <f ca="1">Scale_Ratio * CPIinflator</f>
        <v>0.9584831859169165</v>
      </c>
      <c r="E154" s="1348">
        <v>0</v>
      </c>
      <c r="F154" s="1255"/>
      <c r="G154" s="1333"/>
      <c r="H154" s="1050"/>
    </row>
    <row r="155" spans="1:8" s="33" customFormat="1" ht="17" customHeight="1" thickBot="1">
      <c r="A155" s="1419" t="s">
        <v>185</v>
      </c>
      <c r="B155" s="1219" t="s">
        <v>368</v>
      </c>
      <c r="C155" s="1258">
        <v>0</v>
      </c>
      <c r="D155" s="1322">
        <f ca="1">Scale_Ratio * CPIinflator</f>
        <v>0.9584831859169165</v>
      </c>
      <c r="E155" s="1348">
        <v>0</v>
      </c>
      <c r="F155" s="825"/>
      <c r="G155" s="826"/>
      <c r="H155" s="1050"/>
    </row>
    <row r="156" spans="1:8" s="33" customFormat="1" ht="17" customHeight="1" thickBot="1">
      <c r="A156" s="1419" t="s">
        <v>9</v>
      </c>
      <c r="B156" s="1219" t="s">
        <v>957</v>
      </c>
      <c r="C156" s="282"/>
      <c r="D156" s="1367"/>
      <c r="E156" s="1348">
        <f>Det_CO2_OandMcost</f>
        <v>0</v>
      </c>
      <c r="F156" s="825"/>
      <c r="G156" s="1444"/>
      <c r="H156" s="1050"/>
    </row>
    <row r="157" spans="1:8" s="33" customFormat="1" ht="17" customHeight="1" thickBot="1">
      <c r="A157" s="1419"/>
      <c r="B157" s="1219" t="s">
        <v>954</v>
      </c>
      <c r="C157" s="1258">
        <v>0</v>
      </c>
      <c r="D157" s="1322">
        <f>CPIinflator</f>
        <v>0.9584831859169165</v>
      </c>
      <c r="E157" s="1348">
        <v>0</v>
      </c>
      <c r="F157" s="825"/>
      <c r="G157" s="1444"/>
      <c r="H157" s="1050"/>
    </row>
    <row r="158" spans="1:8" s="33" customFormat="1" ht="17" customHeight="1" thickBot="1">
      <c r="A158" s="1419"/>
      <c r="B158" s="1219" t="s">
        <v>953</v>
      </c>
      <c r="C158" s="282"/>
      <c r="D158" s="1367"/>
      <c r="E158" s="1368">
        <f ca="1">ROUND(Proc_CO2_tax*12/44*Proc_CO2_MTpY,-2)</f>
        <v>0</v>
      </c>
      <c r="F158" s="825"/>
      <c r="G158" s="1444"/>
      <c r="H158" s="1050"/>
    </row>
    <row r="159" spans="1:8" s="33" customFormat="1" ht="17" customHeight="1" thickBot="1">
      <c r="A159" s="1419"/>
      <c r="B159" s="1219" t="s">
        <v>955</v>
      </c>
      <c r="C159" s="1258">
        <v>0</v>
      </c>
      <c r="D159" s="1322">
        <f>CPIinflator</f>
        <v>0.9584831859169165</v>
      </c>
      <c r="E159" s="1368">
        <v>0</v>
      </c>
      <c r="F159" s="825"/>
      <c r="G159" s="1444"/>
      <c r="H159" s="1050"/>
    </row>
    <row r="160" spans="1:8" s="33" customFormat="1" ht="17" customHeight="1" thickBot="1">
      <c r="A160" s="1419"/>
      <c r="B160" s="1219" t="s">
        <v>956</v>
      </c>
      <c r="C160" s="1369"/>
      <c r="D160" s="1370"/>
      <c r="E160" s="1368">
        <f ca="1">ROUND(Upstream_CO2_tax/1000*Upstream_GHG_total*output_kgyear,2)</f>
        <v>0</v>
      </c>
      <c r="F160" s="1269"/>
      <c r="G160" s="1444"/>
      <c r="H160" s="1050"/>
    </row>
    <row r="161" spans="1:8" s="33" customFormat="1" ht="23.25" customHeight="1" thickBot="1">
      <c r="A161" s="1419" t="s">
        <v>260</v>
      </c>
      <c r="B161" s="305" t="s">
        <v>258</v>
      </c>
      <c r="C161" s="1312"/>
      <c r="D161" s="1313"/>
      <c r="E161" s="1371">
        <f ca="1">ROUND(total_feedstock+total_utilities+total_other_raw-total_byproducts+var_misc+waste_treat+solidwaste_treat+royalties+operator_profit-tax_credit+CO2_OandMcost+Proc_CO2_taxpYear + Upstream_CO2_taxpYear,-2)</f>
        <v>99253100</v>
      </c>
      <c r="F161" s="1372"/>
      <c r="G161" s="1445"/>
      <c r="H161" s="1050"/>
    </row>
    <row r="162" spans="1:8" s="33" customFormat="1">
      <c r="A162" s="424"/>
      <c r="C162" s="1050"/>
      <c r="D162" s="1050"/>
      <c r="E162" s="1050"/>
      <c r="F162" s="1050"/>
      <c r="G162" s="1050"/>
      <c r="H162" s="1050"/>
    </row>
    <row r="163" spans="1:8" s="33" customFormat="1">
      <c r="A163" s="424"/>
      <c r="C163" s="1050"/>
      <c r="D163" s="1050"/>
      <c r="E163" s="1050"/>
      <c r="F163" s="1050"/>
      <c r="G163" s="1050"/>
      <c r="H163" s="1050"/>
    </row>
    <row r="164" spans="1:8" s="33" customFormat="1">
      <c r="A164" s="424"/>
      <c r="C164" s="1050"/>
      <c r="D164" s="1050"/>
      <c r="E164" s="1050"/>
      <c r="F164" s="1050"/>
      <c r="G164" s="1050"/>
      <c r="H164" s="1050"/>
    </row>
    <row r="165" spans="1:8" s="33" customFormat="1">
      <c r="A165" s="424"/>
      <c r="C165" s="1050"/>
      <c r="D165" s="1050"/>
      <c r="E165" s="1050"/>
      <c r="F165" s="1050"/>
      <c r="G165" s="1050"/>
      <c r="H165" s="1050"/>
    </row>
    <row r="166" spans="1:8" s="33" customFormat="1">
      <c r="A166" s="424"/>
      <c r="C166" s="1050"/>
      <c r="D166" s="1050"/>
      <c r="E166" s="1050"/>
      <c r="F166" s="1050"/>
      <c r="G166" s="1050"/>
      <c r="H166" s="1050"/>
    </row>
    <row r="167" spans="1:8" s="33" customFormat="1">
      <c r="A167" s="424"/>
      <c r="C167" s="1050"/>
      <c r="D167" s="1050"/>
      <c r="E167" s="1050"/>
      <c r="F167" s="1050"/>
      <c r="G167" s="1050"/>
      <c r="H167" s="1050"/>
    </row>
    <row r="168" spans="1:8" s="33" customFormat="1">
      <c r="A168" s="424"/>
      <c r="C168" s="1050"/>
      <c r="D168" s="1050"/>
      <c r="E168" s="1050"/>
      <c r="F168" s="1050"/>
      <c r="G168" s="1050"/>
      <c r="H168" s="1050"/>
    </row>
    <row r="169" spans="1:8" s="33" customFormat="1">
      <c r="A169" s="424"/>
      <c r="C169" s="1050"/>
      <c r="D169" s="1050"/>
      <c r="E169" s="1050"/>
      <c r="F169" s="1050"/>
      <c r="G169" s="1050"/>
      <c r="H169" s="1050"/>
    </row>
    <row r="170" spans="1:8" s="33" customFormat="1">
      <c r="A170" s="424"/>
      <c r="C170" s="1050"/>
      <c r="D170" s="1050"/>
      <c r="E170" s="1050"/>
      <c r="F170" s="1050"/>
      <c r="G170" s="1050"/>
      <c r="H170" s="1050"/>
    </row>
    <row r="171" spans="1:8" s="33" customFormat="1">
      <c r="A171" s="424"/>
      <c r="C171" s="1050"/>
      <c r="D171" s="1050"/>
      <c r="E171" s="1050"/>
      <c r="F171" s="1050"/>
      <c r="G171" s="1050"/>
      <c r="H171" s="1050"/>
    </row>
    <row r="172" spans="1:8" s="33" customFormat="1">
      <c r="A172" s="424"/>
      <c r="C172" s="1050"/>
      <c r="D172" s="1050"/>
      <c r="E172" s="1050"/>
      <c r="F172" s="1050"/>
      <c r="G172" s="1050"/>
      <c r="H172" s="1050"/>
    </row>
    <row r="173" spans="1:8" s="33" customFormat="1">
      <c r="A173" s="424"/>
      <c r="C173" s="1050"/>
      <c r="D173" s="1050"/>
      <c r="E173" s="1050"/>
      <c r="F173" s="1050"/>
      <c r="G173" s="1050"/>
      <c r="H173" s="1050"/>
    </row>
    <row r="174" spans="1:8" s="33" customFormat="1">
      <c r="A174" s="424"/>
      <c r="C174" s="1050"/>
      <c r="D174" s="1050"/>
      <c r="E174" s="1050"/>
      <c r="F174" s="1050"/>
      <c r="G174" s="1050"/>
      <c r="H174" s="1050"/>
    </row>
    <row r="175" spans="1:8" s="33" customFormat="1">
      <c r="A175" s="424"/>
      <c r="C175" s="1050"/>
      <c r="D175" s="1050"/>
      <c r="E175" s="1050"/>
      <c r="F175" s="1050"/>
      <c r="G175" s="1050"/>
      <c r="H175" s="1050"/>
    </row>
    <row r="176" spans="1:8" s="33" customFormat="1">
      <c r="A176" s="424"/>
      <c r="C176" s="1050"/>
      <c r="D176" s="1050"/>
      <c r="E176" s="1050"/>
      <c r="F176" s="1050"/>
      <c r="G176" s="1050"/>
      <c r="H176" s="1050"/>
    </row>
    <row r="177" spans="1:8" s="33" customFormat="1">
      <c r="A177" s="424"/>
      <c r="C177" s="1050"/>
      <c r="D177" s="1050"/>
      <c r="E177" s="1050"/>
      <c r="F177" s="1050"/>
      <c r="G177" s="1050"/>
      <c r="H177" s="1050"/>
    </row>
    <row r="178" spans="1:8" s="33" customFormat="1">
      <c r="A178" s="424"/>
      <c r="C178" s="1050"/>
      <c r="D178" s="1050"/>
      <c r="E178" s="1050"/>
      <c r="F178" s="1050"/>
      <c r="G178" s="1050"/>
      <c r="H178" s="1050"/>
    </row>
    <row r="179" spans="1:8" s="33" customFormat="1">
      <c r="A179" s="424"/>
      <c r="C179" s="1050"/>
      <c r="D179" s="1050"/>
      <c r="E179" s="1050"/>
      <c r="F179" s="1050"/>
      <c r="G179" s="1050"/>
      <c r="H179" s="1050"/>
    </row>
    <row r="180" spans="1:8" s="33" customFormat="1">
      <c r="A180" s="424"/>
      <c r="C180" s="1050"/>
      <c r="D180" s="1050"/>
      <c r="E180" s="1050"/>
      <c r="F180" s="1050"/>
      <c r="G180" s="1050"/>
      <c r="H180" s="1050"/>
    </row>
    <row r="181" spans="1:8" s="33" customFormat="1">
      <c r="A181" s="424"/>
      <c r="C181" s="1050"/>
      <c r="D181" s="1050"/>
      <c r="E181" s="1050"/>
      <c r="F181" s="1050"/>
      <c r="G181" s="1050"/>
      <c r="H181" s="1050"/>
    </row>
    <row r="182" spans="1:8" s="33" customFormat="1">
      <c r="A182" s="424"/>
      <c r="C182" s="1050"/>
      <c r="D182" s="1050"/>
      <c r="E182" s="1050"/>
      <c r="F182" s="1050"/>
      <c r="G182" s="1050"/>
      <c r="H182" s="1050"/>
    </row>
    <row r="183" spans="1:8" s="33" customFormat="1">
      <c r="A183" s="424"/>
      <c r="C183" s="1050"/>
      <c r="D183" s="1050"/>
      <c r="E183" s="1050"/>
      <c r="F183" s="1050"/>
      <c r="G183" s="1050"/>
      <c r="H183" s="1050"/>
    </row>
    <row r="184" spans="1:8" s="33" customFormat="1">
      <c r="A184" s="424"/>
      <c r="C184" s="1050"/>
      <c r="D184" s="1050"/>
      <c r="E184" s="1050"/>
      <c r="F184" s="1050"/>
      <c r="G184" s="1050"/>
      <c r="H184" s="1050"/>
    </row>
    <row r="185" spans="1:8" s="33" customFormat="1">
      <c r="A185" s="424"/>
      <c r="C185" s="1050"/>
      <c r="D185" s="1050"/>
      <c r="E185" s="1050"/>
      <c r="F185" s="1050"/>
      <c r="G185" s="1050"/>
      <c r="H185" s="1050"/>
    </row>
    <row r="186" spans="1:8" s="33" customFormat="1">
      <c r="A186" s="424"/>
      <c r="C186" s="1050"/>
      <c r="D186" s="1050"/>
      <c r="E186" s="1050"/>
      <c r="F186" s="1050"/>
      <c r="G186" s="1050"/>
      <c r="H186" s="1050"/>
    </row>
    <row r="187" spans="1:8" s="33" customFormat="1">
      <c r="A187" s="424"/>
      <c r="C187" s="1050"/>
      <c r="D187" s="1050"/>
      <c r="E187" s="1050"/>
      <c r="F187" s="1050"/>
      <c r="G187" s="1050"/>
      <c r="H187" s="1050"/>
    </row>
    <row r="188" spans="1:8" s="33" customFormat="1">
      <c r="A188" s="424"/>
      <c r="B188" s="29"/>
      <c r="C188" s="1050"/>
      <c r="D188" s="1050"/>
      <c r="E188" s="1050"/>
      <c r="F188" s="1050"/>
      <c r="G188" s="1050"/>
      <c r="H188" s="1050"/>
    </row>
    <row r="189" spans="1:8" s="33" customFormat="1">
      <c r="A189" s="424"/>
      <c r="B189" s="29"/>
      <c r="C189" s="1050"/>
      <c r="D189" s="1050"/>
      <c r="E189" s="1050"/>
      <c r="F189" s="1050"/>
      <c r="G189" s="1050"/>
      <c r="H189" s="1050"/>
    </row>
    <row r="190" spans="1:8" s="33" customFormat="1">
      <c r="A190" s="424"/>
      <c r="B190" s="29"/>
      <c r="C190" s="1050"/>
      <c r="D190" s="1050"/>
      <c r="E190" s="1050"/>
      <c r="F190" s="1050"/>
      <c r="G190" s="1050"/>
      <c r="H190" s="1050"/>
    </row>
    <row r="191" spans="1:8" s="33" customFormat="1">
      <c r="A191" s="424"/>
      <c r="B191" s="29"/>
      <c r="C191" s="1050"/>
      <c r="D191" s="1050"/>
      <c r="E191" s="1050"/>
      <c r="F191" s="1050"/>
      <c r="G191" s="1050"/>
      <c r="H191" s="1050"/>
    </row>
    <row r="192" spans="1:8" s="33" customFormat="1">
      <c r="A192" s="424"/>
      <c r="B192" s="29"/>
      <c r="C192" s="1050"/>
      <c r="D192" s="1050"/>
      <c r="E192" s="1050"/>
      <c r="F192" s="1050"/>
      <c r="G192" s="1050"/>
      <c r="H192" s="1050"/>
    </row>
    <row r="193" spans="1:8" s="33" customFormat="1">
      <c r="A193" s="424"/>
      <c r="B193" s="29"/>
      <c r="C193" s="1050"/>
      <c r="D193" s="1050"/>
      <c r="E193" s="1050"/>
      <c r="F193" s="1050"/>
      <c r="G193" s="1050"/>
      <c r="H193" s="1050"/>
    </row>
    <row r="194" spans="1:8" s="33" customFormat="1">
      <c r="A194" s="424"/>
      <c r="B194" s="29"/>
      <c r="C194" s="1050"/>
      <c r="D194" s="1050"/>
      <c r="E194" s="1050"/>
      <c r="F194" s="1050"/>
      <c r="G194" s="1050"/>
      <c r="H194" s="1050"/>
    </row>
    <row r="195" spans="1:8" s="33" customFormat="1">
      <c r="A195" s="424"/>
      <c r="B195" s="29"/>
      <c r="C195" s="1050"/>
      <c r="D195" s="1050"/>
      <c r="E195" s="1050"/>
      <c r="F195" s="1050"/>
      <c r="G195" s="1050"/>
      <c r="H195" s="1050"/>
    </row>
    <row r="196" spans="1:8" s="33" customFormat="1">
      <c r="A196" s="424"/>
      <c r="B196" s="29"/>
      <c r="C196" s="1050"/>
      <c r="D196" s="1050"/>
      <c r="E196" s="1050"/>
      <c r="F196" s="1050"/>
      <c r="G196" s="1050"/>
      <c r="H196" s="1050"/>
    </row>
    <row r="197" spans="1:8" s="33" customFormat="1">
      <c r="A197" s="424"/>
      <c r="B197" s="29"/>
      <c r="C197" s="1050"/>
      <c r="D197" s="1050"/>
      <c r="E197" s="1050"/>
      <c r="F197" s="1050"/>
      <c r="G197" s="1050"/>
      <c r="H197" s="1050"/>
    </row>
    <row r="198" spans="1:8" s="33" customFormat="1">
      <c r="A198" s="424"/>
      <c r="B198" s="29"/>
      <c r="C198" s="1050"/>
      <c r="D198" s="1050"/>
      <c r="E198" s="1050"/>
      <c r="F198" s="1050"/>
      <c r="G198" s="1050"/>
      <c r="H198" s="1050"/>
    </row>
    <row r="199" spans="1:8" s="33" customFormat="1">
      <c r="A199" s="424"/>
      <c r="B199" s="29"/>
      <c r="C199" s="1050"/>
      <c r="D199" s="1050"/>
      <c r="E199" s="1050"/>
      <c r="F199" s="1050"/>
      <c r="G199" s="1050"/>
      <c r="H199" s="1050"/>
    </row>
    <row r="200" spans="1:8" s="33" customFormat="1">
      <c r="A200" s="424"/>
      <c r="B200" s="29"/>
      <c r="C200" s="1050"/>
      <c r="D200" s="1050"/>
      <c r="E200" s="1050"/>
      <c r="F200" s="1050"/>
      <c r="G200" s="1050"/>
      <c r="H200" s="1050"/>
    </row>
    <row r="201" spans="1:8" s="33" customFormat="1">
      <c r="A201" s="424"/>
      <c r="B201" s="29"/>
      <c r="C201" s="1050"/>
      <c r="D201" s="1050"/>
      <c r="E201" s="1050"/>
      <c r="F201" s="1050"/>
      <c r="G201" s="1050"/>
      <c r="H201" s="1050"/>
    </row>
    <row r="202" spans="1:8" s="33" customFormat="1">
      <c r="A202" s="424"/>
      <c r="B202" s="29"/>
      <c r="C202" s="1050"/>
      <c r="D202" s="1050"/>
      <c r="E202" s="1050"/>
      <c r="F202" s="1050"/>
      <c r="G202" s="1050"/>
      <c r="H202" s="1050"/>
    </row>
    <row r="203" spans="1:8" s="33" customFormat="1">
      <c r="A203" s="424"/>
      <c r="B203" s="29"/>
      <c r="C203" s="1050"/>
      <c r="D203" s="1050"/>
      <c r="E203" s="1050"/>
      <c r="F203" s="1050"/>
      <c r="G203" s="1050"/>
      <c r="H203" s="1050"/>
    </row>
    <row r="204" spans="1:8" s="33" customFormat="1">
      <c r="A204" s="424"/>
      <c r="B204" s="29"/>
      <c r="C204" s="1050"/>
      <c r="D204" s="1050"/>
      <c r="E204" s="1050"/>
      <c r="F204" s="1050"/>
      <c r="G204" s="1050"/>
      <c r="H204" s="1050"/>
    </row>
    <row r="205" spans="1:8" s="33" customFormat="1">
      <c r="A205" s="424"/>
      <c r="B205" s="29"/>
      <c r="C205" s="1050"/>
      <c r="D205" s="1050"/>
      <c r="E205" s="1050"/>
      <c r="F205" s="1050"/>
      <c r="G205" s="1050"/>
      <c r="H205" s="1050"/>
    </row>
    <row r="206" spans="1:8" s="33" customFormat="1">
      <c r="A206" s="424"/>
      <c r="B206" s="29"/>
      <c r="C206" s="1050"/>
      <c r="D206" s="1050"/>
      <c r="E206" s="1050"/>
      <c r="F206" s="1050"/>
      <c r="G206" s="1050"/>
      <c r="H206" s="1050"/>
    </row>
    <row r="207" spans="1:8" s="33" customFormat="1">
      <c r="A207" s="424"/>
      <c r="B207" s="29"/>
      <c r="C207" s="1050"/>
      <c r="D207" s="1050"/>
      <c r="E207" s="1050"/>
      <c r="F207" s="1050"/>
      <c r="G207" s="1050"/>
      <c r="H207" s="1050"/>
    </row>
    <row r="208" spans="1:8" s="33" customFormat="1">
      <c r="A208" s="424"/>
      <c r="B208" s="29"/>
      <c r="C208" s="1050"/>
      <c r="D208" s="1050"/>
      <c r="E208" s="1050"/>
      <c r="F208" s="1050"/>
      <c r="G208" s="1050"/>
      <c r="H208" s="1050"/>
    </row>
    <row r="209" spans="1:8" s="33" customFormat="1">
      <c r="A209" s="424"/>
      <c r="B209" s="29"/>
      <c r="C209" s="1050"/>
      <c r="D209" s="1050"/>
      <c r="E209" s="1050"/>
      <c r="F209" s="1050"/>
      <c r="G209" s="1050"/>
      <c r="H209" s="1050"/>
    </row>
    <row r="210" spans="1:8" s="33" customFormat="1">
      <c r="A210" s="424"/>
      <c r="B210" s="29"/>
      <c r="C210" s="1050"/>
      <c r="D210" s="1050"/>
      <c r="E210" s="1050"/>
      <c r="F210" s="1050"/>
      <c r="G210" s="1050"/>
      <c r="H210" s="1050"/>
    </row>
    <row r="211" spans="1:8" s="33" customFormat="1">
      <c r="A211" s="424"/>
      <c r="B211" s="29"/>
      <c r="C211" s="1050"/>
      <c r="D211" s="1050"/>
      <c r="E211" s="1050"/>
      <c r="F211" s="1050"/>
      <c r="G211" s="1050"/>
      <c r="H211" s="1050"/>
    </row>
    <row r="212" spans="1:8" s="33" customFormat="1">
      <c r="A212" s="424"/>
      <c r="B212" s="29"/>
      <c r="C212" s="1050"/>
      <c r="D212" s="1050"/>
      <c r="E212" s="1050"/>
      <c r="F212" s="1050"/>
      <c r="G212" s="1050"/>
      <c r="H212" s="1050"/>
    </row>
    <row r="213" spans="1:8" s="33" customFormat="1">
      <c r="A213" s="424"/>
      <c r="B213" s="29"/>
      <c r="C213" s="1050"/>
      <c r="D213" s="1050"/>
      <c r="E213" s="1050"/>
      <c r="F213" s="1050"/>
      <c r="G213" s="1050"/>
      <c r="H213" s="1050"/>
    </row>
    <row r="214" spans="1:8" s="33" customFormat="1">
      <c r="A214" s="424"/>
      <c r="B214" s="29"/>
      <c r="C214" s="1050"/>
      <c r="D214" s="1050"/>
      <c r="E214" s="1050"/>
      <c r="F214" s="1050"/>
      <c r="G214" s="1050"/>
      <c r="H214" s="1050"/>
    </row>
    <row r="215" spans="1:8" s="33" customFormat="1">
      <c r="A215" s="424"/>
      <c r="B215" s="29"/>
      <c r="C215" s="1050"/>
      <c r="D215" s="1050"/>
      <c r="E215" s="1050"/>
      <c r="F215" s="1050"/>
      <c r="G215" s="1050"/>
      <c r="H215" s="1050"/>
    </row>
    <row r="216" spans="1:8" s="33" customFormat="1">
      <c r="A216" s="424"/>
      <c r="B216" s="29"/>
      <c r="C216" s="1050"/>
      <c r="D216" s="1050"/>
      <c r="E216" s="1050"/>
      <c r="F216" s="1050"/>
      <c r="G216" s="1050"/>
      <c r="H216" s="1050"/>
    </row>
    <row r="217" spans="1:8" s="33" customFormat="1">
      <c r="A217" s="424"/>
      <c r="B217" s="29"/>
      <c r="C217" s="1050"/>
      <c r="D217" s="1050"/>
      <c r="E217" s="1050"/>
      <c r="F217" s="1050"/>
      <c r="G217" s="1050"/>
      <c r="H217" s="1050"/>
    </row>
    <row r="218" spans="1:8" s="33" customFormat="1">
      <c r="A218" s="424"/>
      <c r="B218" s="29"/>
      <c r="C218" s="1050"/>
      <c r="D218" s="1050"/>
      <c r="E218" s="1050"/>
      <c r="F218" s="1050"/>
      <c r="G218" s="1050"/>
      <c r="H218" s="1050"/>
    </row>
    <row r="219" spans="1:8" s="33" customFormat="1">
      <c r="A219" s="424"/>
      <c r="B219" s="29"/>
      <c r="C219" s="1050"/>
      <c r="D219" s="1050"/>
      <c r="E219" s="1050"/>
      <c r="F219" s="1050"/>
      <c r="G219" s="1050"/>
      <c r="H219" s="1050"/>
    </row>
    <row r="220" spans="1:8" s="33" customFormat="1">
      <c r="A220" s="424"/>
      <c r="B220" s="29"/>
      <c r="C220" s="1050"/>
      <c r="D220" s="1050"/>
      <c r="E220" s="1050"/>
      <c r="F220" s="1050"/>
      <c r="G220" s="1050"/>
      <c r="H220" s="1050"/>
    </row>
    <row r="221" spans="1:8" s="33" customFormat="1">
      <c r="A221" s="424"/>
      <c r="B221" s="29"/>
      <c r="C221" s="1050"/>
      <c r="D221" s="1050"/>
      <c r="E221" s="1050"/>
      <c r="F221" s="1050"/>
      <c r="G221" s="1050"/>
      <c r="H221" s="1050"/>
    </row>
    <row r="222" spans="1:8" s="33" customFormat="1">
      <c r="A222" s="424"/>
      <c r="B222" s="29"/>
      <c r="C222" s="1050"/>
      <c r="D222" s="1050"/>
      <c r="E222" s="1050"/>
      <c r="F222" s="1050"/>
      <c r="G222" s="1050"/>
      <c r="H222" s="1050"/>
    </row>
    <row r="223" spans="1:8" s="33" customFormat="1">
      <c r="A223" s="424"/>
      <c r="B223" s="29"/>
      <c r="C223" s="1050"/>
      <c r="D223" s="1050"/>
      <c r="E223" s="1050"/>
      <c r="F223" s="1050"/>
      <c r="G223" s="1050"/>
      <c r="H223" s="1050"/>
    </row>
  </sheetData>
  <mergeCells count="55">
    <mergeCell ref="E48:G48"/>
    <mergeCell ref="E87:G87"/>
    <mergeCell ref="F59:F68"/>
    <mergeCell ref="E56:G56"/>
    <mergeCell ref="E89:G89"/>
    <mergeCell ref="E53:G53"/>
    <mergeCell ref="E52:G52"/>
    <mergeCell ref="E51:G51"/>
    <mergeCell ref="E55:G55"/>
    <mergeCell ref="E85:G85"/>
    <mergeCell ref="E86:G86"/>
    <mergeCell ref="E26:G26"/>
    <mergeCell ref="E28:G28"/>
    <mergeCell ref="E35:G35"/>
    <mergeCell ref="E29:G29"/>
    <mergeCell ref="E44:G44"/>
    <mergeCell ref="E37:G37"/>
    <mergeCell ref="E30:G30"/>
    <mergeCell ref="E31:G31"/>
    <mergeCell ref="E34:G34"/>
    <mergeCell ref="E33:G33"/>
    <mergeCell ref="E40:G40"/>
    <mergeCell ref="E38:G38"/>
    <mergeCell ref="E39:G39"/>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G156:G161"/>
    <mergeCell ref="C131:D131"/>
    <mergeCell ref="E144:G144"/>
    <mergeCell ref="D100:D101"/>
    <mergeCell ref="E88:G88"/>
    <mergeCell ref="E141:G143"/>
    <mergeCell ref="E152:G152"/>
    <mergeCell ref="F148:G148"/>
    <mergeCell ref="E145:G145"/>
    <mergeCell ref="E146:G146"/>
    <mergeCell ref="F92:G92"/>
    <mergeCell ref="F93:G93"/>
    <mergeCell ref="F98:G98"/>
    <mergeCell ref="F103:G103"/>
    <mergeCell ref="F94:G95"/>
  </mergeCells>
  <phoneticPr fontId="2" type="noConversion"/>
  <conditionalFormatting sqref="H16:H17">
    <cfRule type="expression" dxfId="3" priority="10">
      <formula>$H$17 &gt; 0.3</formula>
    </cfRule>
  </conditionalFormatting>
  <dataValidations xWindow="543" yWindow="734" count="17">
    <dataValidation allowBlank="1" showInputMessage="1" showErrorMessage="1" prompt="Tax covers all fuel and utilities.  Result may be negative (credit) for biomass derived feed." sqref="E159" xr:uid="{00000000-0002-0000-0300-000000000000}"/>
    <dataValidation allowBlank="1" showInputMessage="1" showErrorMessage="1" prompt="Enter specific year replacement costs on Replacement Costs sheet" sqref="C152" xr:uid="{AA614832-658A-49E1-8A22-CF2A221743F5}"/>
    <dataValidation allowBlank="1" showInputMessage="1" showErrorMessage="1" prompt="View or change values for the original design estimate on the &quot;Capital Cost&quot; sheet only. Plant scaling values will use the original design estimate as the basis for scaling" sqref="C88" xr:uid="{00000000-0002-0000-0300-000002000000}"/>
    <dataValidation allowBlank="1" showInputMessage="1" showErrorMessage="1" prompt="If the field is blue (linked), enter values on the &quot;Carbon Sequestration&quot; sheet only. If gold (unlinked) enter values here. Click the button to link or unlink the field." sqref="C89:C90" xr:uid="{00000000-0002-0000-0300-000003000000}"/>
    <dataValidation type="list" allowBlank="1" showInputMessage="1" showErrorMessage="1" sqref="B130"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21." sqref="C32" xr:uid="{00000000-0002-0000-0300-00000E000000}">
      <formula1>1992</formula1>
      <formula2>2021</formula2>
    </dataValidation>
    <dataValidation type="whole" showInputMessage="1" showErrorMessage="1" error="This cell cannot be left blank.  Enter a value between 1992 and 2016" prompt="The reference year must be between 1992 and 2021." sqref="C30" xr:uid="{00000000-0002-0000-0300-00000F000000}">
      <formula1>1992</formula1>
      <formula2>2021</formula2>
    </dataValidation>
    <dataValidation type="whole" allowBlank="1" showInputMessage="1" showErrorMessage="1" error="Debt period may not exceed analysis period" sqref="C45" xr:uid="{7024E34C-72B1-4178-9412-6390C22C190A}">
      <formula1>0</formula1>
      <formula2>C40</formula2>
    </dataValidation>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5" r:id="rId4" name="Check Box 201">
              <controlPr defaultSize="0" autoFill="0" autoLine="0" autoPict="0" macro="[0]!CheckBox201_Click" altText="H2A default">
                <anchor moveWithCells="1">
                  <from>
                    <xdr:col>3</xdr:col>
                    <xdr:colOff>152400</xdr:colOff>
                    <xdr:row>29</xdr:row>
                    <xdr:rowOff>0</xdr:rowOff>
                  </from>
                  <to>
                    <xdr:col>3</xdr:col>
                    <xdr:colOff>1066800</xdr:colOff>
                    <xdr:row>30</xdr:row>
                    <xdr:rowOff>0</xdr:rowOff>
                  </to>
                </anchor>
              </controlPr>
            </control>
          </mc:Choice>
        </mc:AlternateContent>
        <mc:AlternateContent xmlns:mc="http://schemas.openxmlformats.org/markup-compatibility/2006">
          <mc:Choice Requires="x14">
            <control shapeId="1226" r:id="rId5" name="Check Box 202">
              <controlPr defaultSize="0" autoFill="0" autoLine="0" autoPict="0" macro="[0]!CheckBox202_Click" altText="H2A default">
                <anchor moveWithCells="1">
                  <from>
                    <xdr:col>3</xdr:col>
                    <xdr:colOff>152400</xdr:colOff>
                    <xdr:row>40</xdr:row>
                    <xdr:rowOff>215900</xdr:rowOff>
                  </from>
                  <to>
                    <xdr:col>3</xdr:col>
                    <xdr:colOff>1066800</xdr:colOff>
                    <xdr:row>41</xdr:row>
                    <xdr:rowOff>215900</xdr:rowOff>
                  </to>
                </anchor>
              </controlPr>
            </control>
          </mc:Choice>
        </mc:AlternateContent>
        <mc:AlternateContent xmlns:mc="http://schemas.openxmlformats.org/markup-compatibility/2006">
          <mc:Choice Requires="x14">
            <control shapeId="1231" r:id="rId6" name="Check Box 203">
              <controlPr defaultSize="0" autoFill="0" autoLine="0" autoPict="0" macro="[0]!CheckBox203_Click" altText="H2A default">
                <anchor moveWithCells="1">
                  <from>
                    <xdr:col>3</xdr:col>
                    <xdr:colOff>152400</xdr:colOff>
                    <xdr:row>42</xdr:row>
                    <xdr:rowOff>0</xdr:rowOff>
                  </from>
                  <to>
                    <xdr:col>3</xdr:col>
                    <xdr:colOff>1066800</xdr:colOff>
                    <xdr:row>43</xdr:row>
                    <xdr:rowOff>0</xdr:rowOff>
                  </to>
                </anchor>
              </controlPr>
            </control>
          </mc:Choice>
        </mc:AlternateContent>
        <mc:AlternateContent xmlns:mc="http://schemas.openxmlformats.org/markup-compatibility/2006">
          <mc:Choice Requires="x14">
            <control shapeId="1233" r:id="rId7" name="Check Box 204">
              <controlPr defaultSize="0" autoFill="0" autoLine="0" autoPict="0" macro="[0]!CheckBox204_Click" altText="H2A default">
                <anchor moveWithCells="1">
                  <from>
                    <xdr:col>3</xdr:col>
                    <xdr:colOff>152400</xdr:colOff>
                    <xdr:row>47</xdr:row>
                    <xdr:rowOff>215900</xdr:rowOff>
                  </from>
                  <to>
                    <xdr:col>3</xdr:col>
                    <xdr:colOff>1066800</xdr:colOff>
                    <xdr:row>49</xdr:row>
                    <xdr:rowOff>0</xdr:rowOff>
                  </to>
                </anchor>
              </controlPr>
            </control>
          </mc:Choice>
        </mc:AlternateContent>
        <mc:AlternateContent xmlns:mc="http://schemas.openxmlformats.org/markup-compatibility/2006">
          <mc:Choice Requires="x14">
            <control shapeId="1234" r:id="rId8" name="Check Box 205">
              <controlPr defaultSize="0" autoFill="0" autoLine="0" autoPict="0" macro="[0]!CheckBox205_Click" altText="H2A default">
                <anchor moveWithCells="1">
                  <from>
                    <xdr:col>3</xdr:col>
                    <xdr:colOff>152400</xdr:colOff>
                    <xdr:row>49</xdr:row>
                    <xdr:rowOff>0</xdr:rowOff>
                  </from>
                  <to>
                    <xdr:col>3</xdr:col>
                    <xdr:colOff>1066800</xdr:colOff>
                    <xdr:row>50</xdr:row>
                    <xdr:rowOff>0</xdr:rowOff>
                  </to>
                </anchor>
              </controlPr>
            </control>
          </mc:Choice>
        </mc:AlternateContent>
        <mc:AlternateContent xmlns:mc="http://schemas.openxmlformats.org/markup-compatibility/2006">
          <mc:Choice Requires="x14">
            <control shapeId="1235" r:id="rId9" name="Check Box 206">
              <controlPr defaultSize="0" autoFill="0" autoLine="0" autoPict="0" macro="[0]!CheckBox206_Click" altText="H2A default">
                <anchor moveWithCells="1">
                  <from>
                    <xdr:col>3</xdr:col>
                    <xdr:colOff>152400</xdr:colOff>
                    <xdr:row>50</xdr:row>
                    <xdr:rowOff>0</xdr:rowOff>
                  </from>
                  <to>
                    <xdr:col>3</xdr:col>
                    <xdr:colOff>1066800</xdr:colOff>
                    <xdr:row>51</xdr:row>
                    <xdr:rowOff>0</xdr:rowOff>
                  </to>
                </anchor>
              </controlPr>
            </control>
          </mc:Choice>
        </mc:AlternateContent>
        <mc:AlternateContent xmlns:mc="http://schemas.openxmlformats.org/markup-compatibility/2006">
          <mc:Choice Requires="x14">
            <control shapeId="1236" r:id="rId10" name="Check Box 207">
              <controlPr defaultSize="0" autoFill="0" autoLine="0" autoPict="0" macro="[0]!CheckBox207_Click" altText="H2A default">
                <anchor moveWithCells="1">
                  <from>
                    <xdr:col>3</xdr:col>
                    <xdr:colOff>152400</xdr:colOff>
                    <xdr:row>51</xdr:row>
                    <xdr:rowOff>0</xdr:rowOff>
                  </from>
                  <to>
                    <xdr:col>3</xdr:col>
                    <xdr:colOff>1066800</xdr:colOff>
                    <xdr:row>52</xdr:row>
                    <xdr:rowOff>0</xdr:rowOff>
                  </to>
                </anchor>
              </controlPr>
            </control>
          </mc:Choice>
        </mc:AlternateContent>
        <mc:AlternateContent xmlns:mc="http://schemas.openxmlformats.org/markup-compatibility/2006">
          <mc:Choice Requires="x14">
            <control shapeId="1237" r:id="rId11" name="Check Box 208">
              <controlPr defaultSize="0" autoFill="0" autoLine="0" autoPict="0" macro="[0]!CheckBox208_Click" altText="H2A default">
                <anchor moveWithCells="1">
                  <from>
                    <xdr:col>3</xdr:col>
                    <xdr:colOff>152400</xdr:colOff>
                    <xdr:row>52</xdr:row>
                    <xdr:rowOff>0</xdr:rowOff>
                  </from>
                  <to>
                    <xdr:col>3</xdr:col>
                    <xdr:colOff>1066800</xdr:colOff>
                    <xdr:row>53</xdr:row>
                    <xdr:rowOff>0</xdr:rowOff>
                  </to>
                </anchor>
              </controlPr>
            </control>
          </mc:Choice>
        </mc:AlternateContent>
        <mc:AlternateContent xmlns:mc="http://schemas.openxmlformats.org/markup-compatibility/2006">
          <mc:Choice Requires="x14">
            <control shapeId="1238" r:id="rId12" name="Check Box 209">
              <controlPr defaultSize="0" autoFill="0" autoLine="0" autoPict="0" macro="[0]!CheckBox209_Click" altText="H2A default">
                <anchor moveWithCells="1">
                  <from>
                    <xdr:col>3</xdr:col>
                    <xdr:colOff>152400</xdr:colOff>
                    <xdr:row>53</xdr:row>
                    <xdr:rowOff>0</xdr:rowOff>
                  </from>
                  <to>
                    <xdr:col>3</xdr:col>
                    <xdr:colOff>1066800</xdr:colOff>
                    <xdr:row>54</xdr:row>
                    <xdr:rowOff>0</xdr:rowOff>
                  </to>
                </anchor>
              </controlPr>
            </control>
          </mc:Choice>
        </mc:AlternateContent>
        <mc:AlternateContent xmlns:mc="http://schemas.openxmlformats.org/markup-compatibility/2006">
          <mc:Choice Requires="x14">
            <control shapeId="1239" r:id="rId13" name="Check Box 210">
              <controlPr defaultSize="0" autoFill="0" autoLine="0" autoPict="0" macro="[0]!CheckBox210_Click" altText="H2A default">
                <anchor moveWithCells="1">
                  <from>
                    <xdr:col>3</xdr:col>
                    <xdr:colOff>152400</xdr:colOff>
                    <xdr:row>54</xdr:row>
                    <xdr:rowOff>190500</xdr:rowOff>
                  </from>
                  <to>
                    <xdr:col>3</xdr:col>
                    <xdr:colOff>1066800</xdr:colOff>
                    <xdr:row>55</xdr:row>
                    <xdr:rowOff>190500</xdr:rowOff>
                  </to>
                </anchor>
              </controlPr>
            </control>
          </mc:Choice>
        </mc:AlternateContent>
        <mc:AlternateContent xmlns:mc="http://schemas.openxmlformats.org/markup-compatibility/2006">
          <mc:Choice Requires="x14">
            <control shapeId="1242" r:id="rId14" name="Check Box 211">
              <controlPr defaultSize="0" autoFill="0" autoLine="0" autoPict="0" macro="[0]!CheckBox211_Click" altText="H2A default">
                <anchor moveWithCells="1">
                  <from>
                    <xdr:col>3</xdr:col>
                    <xdr:colOff>152400</xdr:colOff>
                    <xdr:row>113</xdr:row>
                    <xdr:rowOff>0</xdr:rowOff>
                  </from>
                  <to>
                    <xdr:col>3</xdr:col>
                    <xdr:colOff>1066800</xdr:colOff>
                    <xdr:row>114</xdr:row>
                    <xdr:rowOff>0</xdr:rowOff>
                  </to>
                </anchor>
              </controlPr>
            </control>
          </mc:Choice>
        </mc:AlternateContent>
        <mc:AlternateContent xmlns:mc="http://schemas.openxmlformats.org/markup-compatibility/2006">
          <mc:Choice Requires="x14">
            <control shapeId="1243" r:id="rId15" name="Check Box 212">
              <controlPr defaultSize="0" autoFill="0" autoLine="0" autoPict="0" macro="[0]!CheckBox212_Click" altText="H2A default">
                <anchor moveWithCells="1">
                  <from>
                    <xdr:col>3</xdr:col>
                    <xdr:colOff>152400</xdr:colOff>
                    <xdr:row>116</xdr:row>
                    <xdr:rowOff>25400</xdr:rowOff>
                  </from>
                  <to>
                    <xdr:col>3</xdr:col>
                    <xdr:colOff>1066800</xdr:colOff>
                    <xdr:row>116</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AA83B17-A414-4DDC-8FFF-337C73061990}">
            <xm:f>$C$30=Lists!$P$4</xm:f>
            <x14:dxf>
              <font>
                <b val="0"/>
                <i val="0"/>
                <color auto="1"/>
              </font>
              <numFmt numFmtId="0" formatCode="General"/>
            </x14:dxf>
          </x14:cfRule>
          <xm:sqref>D30</xm:sqref>
        </x14:conditionalFormatting>
      </x14:conditionalFormattings>
    </ex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workbookViewId="0">
      <selection activeCell="B15" sqref="B15"/>
    </sheetView>
  </sheetViews>
  <sheetFormatPr baseColWidth="10" defaultColWidth="9.33203125" defaultRowHeight="13"/>
  <cols>
    <col min="1" max="1" width="16.33203125" style="198" customWidth="1"/>
    <col min="2" max="2" width="17.5" style="198" customWidth="1"/>
    <col min="3" max="6" width="19.5" style="198" customWidth="1"/>
    <col min="7" max="7" width="21.6640625" style="198" customWidth="1"/>
    <col min="8" max="8" width="23.33203125" style="198" customWidth="1"/>
    <col min="9" max="10" width="19.33203125" style="198" customWidth="1"/>
    <col min="11" max="11" width="47.33203125" style="198" customWidth="1"/>
    <col min="12" max="12" width="30.33203125" style="198" customWidth="1"/>
    <col min="13" max="13" width="40.33203125" style="198" customWidth="1"/>
    <col min="14" max="14" width="20" style="198" customWidth="1"/>
    <col min="15" max="16384" width="9.33203125" style="198"/>
  </cols>
  <sheetData>
    <row r="1" spans="1:12">
      <c r="B1"/>
      <c r="C1"/>
      <c r="D1"/>
      <c r="E1"/>
      <c r="F1"/>
      <c r="G1"/>
    </row>
    <row r="2" spans="1:12" ht="21">
      <c r="A2" s="699" t="s">
        <v>1024</v>
      </c>
      <c r="B2"/>
      <c r="C2"/>
      <c r="D2"/>
      <c r="E2"/>
      <c r="F2"/>
      <c r="G2"/>
    </row>
    <row r="3" spans="1:12">
      <c r="B3" s="37"/>
      <c r="C3" s="37"/>
      <c r="D3" s="37"/>
      <c r="E3" s="37"/>
      <c r="F3" s="37"/>
      <c r="G3" s="40"/>
      <c r="H3" s="199"/>
      <c r="I3" s="199"/>
      <c r="J3" s="199"/>
    </row>
    <row r="4" spans="1:12">
      <c r="B4" s="37"/>
      <c r="C4" s="37"/>
      <c r="D4" s="37"/>
      <c r="E4" s="37"/>
      <c r="F4" s="37"/>
      <c r="G4" s="40"/>
      <c r="H4" s="199"/>
      <c r="I4" s="199"/>
      <c r="J4" s="199"/>
    </row>
    <row r="5" spans="1:12" customFormat="1" ht="16">
      <c r="C5" s="701" t="s">
        <v>233</v>
      </c>
      <c r="D5" s="701"/>
      <c r="E5" s="701"/>
    </row>
    <row r="6" spans="1:12" customFormat="1"/>
    <row r="7" spans="1:12" customFormat="1"/>
    <row r="8" spans="1:12" customFormat="1"/>
    <row r="9" spans="1:12" customFormat="1">
      <c r="A9" s="700" t="str">
        <f>"NOTE: Enter costs in year "&amp;TEXT(BasisYear,"0")&amp;" $ - Do not inflate"</f>
        <v>NOTE: Enter costs in year 2018 $ - Do not inflate</v>
      </c>
    </row>
    <row r="10" spans="1:12" customFormat="1">
      <c r="A10" s="700" t="s">
        <v>1025</v>
      </c>
    </row>
    <row r="11" spans="1:12" customFormat="1"/>
    <row r="12" spans="1:12" ht="14" thickBot="1">
      <c r="A12" s="1"/>
      <c r="B12" s="1"/>
      <c r="C12" s="1"/>
      <c r="D12" s="1"/>
      <c r="E12" s="1"/>
      <c r="F12" s="1"/>
      <c r="G12" s="1"/>
      <c r="H12" s="200"/>
      <c r="I12" s="200"/>
      <c r="J12" s="200"/>
    </row>
    <row r="13" spans="1:12" ht="15" thickTop="1" thickBot="1">
      <c r="A13" s="306" t="s">
        <v>1026</v>
      </c>
      <c r="B13" s="307"/>
      <c r="C13" s="308"/>
      <c r="D13" s="308"/>
      <c r="E13" s="308"/>
      <c r="F13" s="309"/>
      <c r="G13" s="310"/>
    </row>
    <row r="14" spans="1:12" ht="16" thickTop="1" thickBot="1">
      <c r="A14" s="311"/>
      <c r="B14" s="312"/>
      <c r="C14" s="313" t="s">
        <v>1027</v>
      </c>
      <c r="D14" s="313"/>
      <c r="E14" s="313"/>
      <c r="F14" s="313" t="s">
        <v>1028</v>
      </c>
      <c r="G14" s="314" t="s">
        <v>1029</v>
      </c>
    </row>
    <row r="15" spans="1:12" s="197" customFormat="1" ht="86" thickTop="1" thickBot="1">
      <c r="A15" s="315" t="s">
        <v>183</v>
      </c>
      <c r="B15" s="457">
        <f>replace_factor</f>
        <v>5.0000000000000001E-3</v>
      </c>
      <c r="C15" s="316"/>
      <c r="D15" s="316"/>
      <c r="E15" s="316"/>
      <c r="F15" s="317"/>
      <c r="G15" s="318" t="s">
        <v>1030</v>
      </c>
      <c r="I15" s="208"/>
      <c r="J15" s="198"/>
      <c r="K15" s="201"/>
    </row>
    <row r="16" spans="1:12" ht="44" thickTop="1" thickBot="1">
      <c r="A16" s="319" t="s">
        <v>1031</v>
      </c>
      <c r="B16" s="320" t="s">
        <v>40</v>
      </c>
      <c r="C16" s="321" t="s">
        <v>1032</v>
      </c>
      <c r="D16" s="321" t="s">
        <v>1033</v>
      </c>
      <c r="E16" s="321" t="s">
        <v>1288</v>
      </c>
      <c r="F16" s="321" t="s">
        <v>1033</v>
      </c>
      <c r="G16" s="321" t="s">
        <v>1034</v>
      </c>
      <c r="H16" s="321" t="s">
        <v>1072</v>
      </c>
      <c r="I16" s="321" t="s">
        <v>1073</v>
      </c>
      <c r="J16" s="321" t="s">
        <v>1074</v>
      </c>
      <c r="K16" s="322" t="s">
        <v>1075</v>
      </c>
      <c r="L16" s="323" t="s">
        <v>1076</v>
      </c>
    </row>
    <row r="17" spans="1:12" ht="16" thickTop="1" thickBot="1">
      <c r="A17" s="324"/>
      <c r="B17" s="325"/>
      <c r="C17" s="325"/>
      <c r="D17" s="325" t="str">
        <f>"Year "&amp;TEXT(BasisYear,"0")&amp;" $"</f>
        <v>Year 2018 $</v>
      </c>
      <c r="E17" s="325" t="str">
        <f>"Year "&amp;TEXT(ref_year,"0")&amp;" $"</f>
        <v>Year 2016 $</v>
      </c>
      <c r="F17" s="325" t="str">
        <f>"Year "&amp;TEXT(ref_year,"0")&amp;" $"</f>
        <v>Year 2016 $</v>
      </c>
      <c r="G17" s="325" t="str">
        <f>"Year "&amp;TEXT(ref_year,"0")&amp;" $"</f>
        <v>Year 2016 $</v>
      </c>
      <c r="H17" s="325" t="s">
        <v>1077</v>
      </c>
      <c r="I17" s="325"/>
      <c r="J17" s="325"/>
      <c r="K17" s="326"/>
      <c r="L17" s="327"/>
    </row>
    <row r="18" spans="1:12" ht="14" thickTop="1">
      <c r="A18" s="87">
        <f>IF(C18&lt;&gt;"",'Cash Flow Analysis'!A65,"")</f>
        <v>2012</v>
      </c>
      <c r="B18" s="290">
        <f>construct+1</f>
        <v>4</v>
      </c>
      <c r="C18" s="290">
        <v>1</v>
      </c>
      <c r="D18" s="429"/>
      <c r="E18" s="202">
        <v>0</v>
      </c>
      <c r="F18" s="202">
        <f t="shared" ref="F18:F57" si="0">(D18)*CPIinflator*CEPCIinflator+E18</f>
        <v>0</v>
      </c>
      <c r="G18" s="202">
        <f ca="1">IF(C18&gt;anal_period,0,IF(replace_factor&lt;&gt;"",replace_factor*depr_cap,0))</f>
        <v>1394348.6222967049</v>
      </c>
      <c r="H18" s="203">
        <f ca="1">(F18+G18)*((1+inflation_rate)^(startup_year-ref_year))</f>
        <v>1368349.9728132533</v>
      </c>
      <c r="I18" s="328"/>
      <c r="J18" s="329"/>
      <c r="K18" s="330"/>
      <c r="L18" s="331"/>
    </row>
    <row r="19" spans="1:12">
      <c r="A19" s="89">
        <f>IF(C19&lt;&gt;"",'Cash Flow Analysis'!A66,"")</f>
        <v>2013</v>
      </c>
      <c r="B19" s="291">
        <f t="shared" ref="B19:B57" si="1">IF(B18&lt;anal_period+construct,B18+1,"")</f>
        <v>5</v>
      </c>
      <c r="C19" s="291">
        <f t="shared" ref="C19:C57" si="2">IF(B19="","",C18+1)</f>
        <v>2</v>
      </c>
      <c r="D19" s="430"/>
      <c r="E19" s="204">
        <f>+'Carbon Sequestration'!$C$100*(C19&lt;=anal_period)</f>
        <v>0</v>
      </c>
      <c r="F19" s="204">
        <f t="shared" si="0"/>
        <v>0</v>
      </c>
      <c r="G19" s="204">
        <f t="shared" ref="G19:G57" ca="1" si="3">IF(C19&gt;anal_period,0,IF(replace_factor&lt;&gt;"",replace_factor*depr_cap,0))</f>
        <v>1394348.6222967049</v>
      </c>
      <c r="H19" s="205">
        <f t="shared" ref="H19:H57" ca="1" si="4">(F19+G19)*((1+inflation_rate)^(startup_year-ref_year))</f>
        <v>1368349.9728132533</v>
      </c>
      <c r="I19" s="332"/>
      <c r="J19" s="333"/>
      <c r="K19" s="334"/>
      <c r="L19" s="335"/>
    </row>
    <row r="20" spans="1:12">
      <c r="A20" s="89">
        <f>IF(C20&lt;&gt;"",'Cash Flow Analysis'!A67,"")</f>
        <v>2014</v>
      </c>
      <c r="B20" s="291">
        <f t="shared" si="1"/>
        <v>6</v>
      </c>
      <c r="C20" s="291">
        <f t="shared" si="2"/>
        <v>3</v>
      </c>
      <c r="D20" s="430"/>
      <c r="E20" s="204">
        <f>+'Carbon Sequestration'!$C$100*(C20&lt;=anal_period)</f>
        <v>0</v>
      </c>
      <c r="F20" s="204">
        <f t="shared" si="0"/>
        <v>0</v>
      </c>
      <c r="G20" s="204">
        <f t="shared" ca="1" si="3"/>
        <v>1394348.6222967049</v>
      </c>
      <c r="H20" s="205">
        <f t="shared" ca="1" si="4"/>
        <v>1368349.9728132533</v>
      </c>
      <c r="I20" s="332"/>
      <c r="J20" s="333"/>
      <c r="K20" s="334"/>
      <c r="L20" s="335"/>
    </row>
    <row r="21" spans="1:12">
      <c r="A21" s="89">
        <f>IF(C21&lt;&gt;"",'Cash Flow Analysis'!A68,"")</f>
        <v>2015</v>
      </c>
      <c r="B21" s="291">
        <f t="shared" si="1"/>
        <v>7</v>
      </c>
      <c r="C21" s="291">
        <f t="shared" si="2"/>
        <v>4</v>
      </c>
      <c r="D21" s="430"/>
      <c r="E21" s="204">
        <f>+'Carbon Sequestration'!$C$100*(C21&lt;=anal_period)</f>
        <v>0</v>
      </c>
      <c r="F21" s="204">
        <f t="shared" si="0"/>
        <v>0</v>
      </c>
      <c r="G21" s="204">
        <f t="shared" ca="1" si="3"/>
        <v>1394348.6222967049</v>
      </c>
      <c r="H21" s="205">
        <f t="shared" ca="1" si="4"/>
        <v>1368349.9728132533</v>
      </c>
      <c r="I21" s="332"/>
      <c r="J21" s="333"/>
      <c r="K21" s="334"/>
      <c r="L21" s="335"/>
    </row>
    <row r="22" spans="1:12">
      <c r="A22" s="89">
        <f>IF(C22&lt;&gt;"",'Cash Flow Analysis'!A69,"")</f>
        <v>2016</v>
      </c>
      <c r="B22" s="291">
        <f t="shared" si="1"/>
        <v>8</v>
      </c>
      <c r="C22" s="291">
        <f t="shared" si="2"/>
        <v>5</v>
      </c>
      <c r="D22" s="430"/>
      <c r="E22" s="204">
        <f>+'Carbon Sequestration'!$C$100*(C22&lt;=anal_period)</f>
        <v>0</v>
      </c>
      <c r="F22" s="204">
        <f t="shared" si="0"/>
        <v>0</v>
      </c>
      <c r="G22" s="204">
        <f t="shared" ca="1" si="3"/>
        <v>1394348.6222967049</v>
      </c>
      <c r="H22" s="205">
        <f t="shared" ca="1" si="4"/>
        <v>1368349.9728132533</v>
      </c>
      <c r="I22" s="332"/>
      <c r="J22" s="333"/>
      <c r="K22" s="758"/>
      <c r="L22" s="759"/>
    </row>
    <row r="23" spans="1:12">
      <c r="A23" s="89">
        <f>IF(C23&lt;&gt;"",'Cash Flow Analysis'!A70,"")</f>
        <v>2017</v>
      </c>
      <c r="B23" s="291">
        <f t="shared" si="1"/>
        <v>9</v>
      </c>
      <c r="C23" s="291">
        <f t="shared" si="2"/>
        <v>6</v>
      </c>
      <c r="D23" s="430"/>
      <c r="E23" s="204">
        <f>+'Carbon Sequestration'!$C$100*(C23&lt;=anal_period)</f>
        <v>0</v>
      </c>
      <c r="F23" s="204">
        <f t="shared" si="0"/>
        <v>0</v>
      </c>
      <c r="G23" s="204">
        <f t="shared" ca="1" si="3"/>
        <v>1394348.6222967049</v>
      </c>
      <c r="H23" s="205">
        <f t="shared" ca="1" si="4"/>
        <v>1368349.9728132533</v>
      </c>
      <c r="I23" s="332"/>
      <c r="J23" s="333"/>
      <c r="K23" s="334"/>
      <c r="L23" s="335"/>
    </row>
    <row r="24" spans="1:12">
      <c r="A24" s="89">
        <f>IF(C24&lt;&gt;"",'Cash Flow Analysis'!A71,"")</f>
        <v>2018</v>
      </c>
      <c r="B24" s="291">
        <f t="shared" si="1"/>
        <v>10</v>
      </c>
      <c r="C24" s="291">
        <f t="shared" si="2"/>
        <v>7</v>
      </c>
      <c r="D24" s="430"/>
      <c r="E24" s="204">
        <f>+'Carbon Sequestration'!$C$100*(C24&lt;=anal_period)</f>
        <v>0</v>
      </c>
      <c r="F24" s="204">
        <f t="shared" si="0"/>
        <v>0</v>
      </c>
      <c r="G24" s="204">
        <f t="shared" ca="1" si="3"/>
        <v>1394348.6222967049</v>
      </c>
      <c r="H24" s="205">
        <f t="shared" ca="1" si="4"/>
        <v>1368349.9728132533</v>
      </c>
      <c r="I24" s="332"/>
      <c r="J24" s="333"/>
      <c r="K24" s="334"/>
      <c r="L24" s="335"/>
    </row>
    <row r="25" spans="1:12">
      <c r="A25" s="89">
        <f>IF(C25&lt;&gt;"",'Cash Flow Analysis'!A72,"")</f>
        <v>2019</v>
      </c>
      <c r="B25" s="291">
        <f t="shared" si="1"/>
        <v>11</v>
      </c>
      <c r="C25" s="291">
        <f t="shared" si="2"/>
        <v>8</v>
      </c>
      <c r="D25" s="430"/>
      <c r="E25" s="204">
        <f>+'Carbon Sequestration'!$C$100*(C25&lt;=anal_period)</f>
        <v>0</v>
      </c>
      <c r="F25" s="204">
        <f t="shared" si="0"/>
        <v>0</v>
      </c>
      <c r="G25" s="204">
        <f t="shared" ca="1" si="3"/>
        <v>1394348.6222967049</v>
      </c>
      <c r="H25" s="205">
        <f t="shared" ca="1" si="4"/>
        <v>1368349.9728132533</v>
      </c>
      <c r="I25" s="332"/>
      <c r="J25" s="333"/>
      <c r="K25" s="334"/>
      <c r="L25" s="335"/>
    </row>
    <row r="26" spans="1:12">
      <c r="A26" s="89">
        <f>IF(C26&lt;&gt;"",'Cash Flow Analysis'!A73,"")</f>
        <v>2020</v>
      </c>
      <c r="B26" s="291">
        <f t="shared" si="1"/>
        <v>12</v>
      </c>
      <c r="C26" s="291">
        <f t="shared" si="2"/>
        <v>9</v>
      </c>
      <c r="D26" s="430"/>
      <c r="E26" s="204">
        <f>+'Carbon Sequestration'!$C$100*(C26&lt;=anal_period)</f>
        <v>0</v>
      </c>
      <c r="F26" s="204">
        <f t="shared" si="0"/>
        <v>0</v>
      </c>
      <c r="G26" s="204">
        <f t="shared" ca="1" si="3"/>
        <v>1394348.6222967049</v>
      </c>
      <c r="H26" s="205">
        <f t="shared" ca="1" si="4"/>
        <v>1368349.9728132533</v>
      </c>
      <c r="I26" s="332"/>
      <c r="J26" s="333"/>
      <c r="K26" s="334"/>
      <c r="L26" s="335"/>
    </row>
    <row r="27" spans="1:12">
      <c r="A27" s="89">
        <f>IF(C27&lt;&gt;"",'Cash Flow Analysis'!A74,"")</f>
        <v>2021</v>
      </c>
      <c r="B27" s="291">
        <f t="shared" si="1"/>
        <v>13</v>
      </c>
      <c r="C27" s="291">
        <f t="shared" si="2"/>
        <v>10</v>
      </c>
      <c r="D27" s="430"/>
      <c r="E27" s="204">
        <f>+'Carbon Sequestration'!$C$100*(C27&lt;=anal_period)</f>
        <v>0</v>
      </c>
      <c r="F27" s="204">
        <f t="shared" si="0"/>
        <v>0</v>
      </c>
      <c r="G27" s="204">
        <f t="shared" ca="1" si="3"/>
        <v>1394348.6222967049</v>
      </c>
      <c r="H27" s="205">
        <f t="shared" ca="1" si="4"/>
        <v>1368349.9728132533</v>
      </c>
      <c r="I27" s="332"/>
      <c r="J27" s="333"/>
      <c r="K27" s="334"/>
      <c r="L27" s="335"/>
    </row>
    <row r="28" spans="1:12">
      <c r="A28" s="89">
        <f>IF(C28&lt;&gt;"",'Cash Flow Analysis'!A75,"")</f>
        <v>2022</v>
      </c>
      <c r="B28" s="291">
        <f t="shared" si="1"/>
        <v>14</v>
      </c>
      <c r="C28" s="291">
        <f t="shared" si="2"/>
        <v>11</v>
      </c>
      <c r="D28" s="430"/>
      <c r="E28" s="204">
        <f>+'Carbon Sequestration'!$C$100*(C28&lt;=anal_period)</f>
        <v>0</v>
      </c>
      <c r="F28" s="204">
        <f t="shared" si="0"/>
        <v>0</v>
      </c>
      <c r="G28" s="204">
        <f t="shared" ca="1" si="3"/>
        <v>1394348.6222967049</v>
      </c>
      <c r="H28" s="205">
        <f t="shared" ca="1" si="4"/>
        <v>1368349.9728132533</v>
      </c>
      <c r="I28" s="332"/>
      <c r="J28" s="333"/>
      <c r="K28" s="334"/>
      <c r="L28" s="335"/>
    </row>
    <row r="29" spans="1:12">
      <c r="A29" s="89">
        <f>IF(C29&lt;&gt;"",'Cash Flow Analysis'!A76,"")</f>
        <v>2023</v>
      </c>
      <c r="B29" s="291">
        <f t="shared" si="1"/>
        <v>15</v>
      </c>
      <c r="C29" s="291">
        <f t="shared" si="2"/>
        <v>12</v>
      </c>
      <c r="D29" s="430"/>
      <c r="E29" s="204">
        <f>+'Carbon Sequestration'!$C$100*(C29&lt;=anal_period)</f>
        <v>0</v>
      </c>
      <c r="F29" s="204">
        <f t="shared" si="0"/>
        <v>0</v>
      </c>
      <c r="G29" s="204">
        <f t="shared" ca="1" si="3"/>
        <v>1394348.6222967049</v>
      </c>
      <c r="H29" s="205">
        <f t="shared" ca="1" si="4"/>
        <v>1368349.9728132533</v>
      </c>
      <c r="I29" s="332"/>
      <c r="J29" s="333"/>
      <c r="K29" s="334"/>
      <c r="L29" s="335"/>
    </row>
    <row r="30" spans="1:12">
      <c r="A30" s="89">
        <f>IF(C30&lt;&gt;"",'Cash Flow Analysis'!A77,"")</f>
        <v>2024</v>
      </c>
      <c r="B30" s="291">
        <f t="shared" si="1"/>
        <v>16</v>
      </c>
      <c r="C30" s="291">
        <f t="shared" si="2"/>
        <v>13</v>
      </c>
      <c r="D30" s="430"/>
      <c r="E30" s="204">
        <f>+'Carbon Sequestration'!$C$100*(C30&lt;=anal_period)</f>
        <v>0</v>
      </c>
      <c r="F30" s="204">
        <f t="shared" si="0"/>
        <v>0</v>
      </c>
      <c r="G30" s="204">
        <f t="shared" ca="1" si="3"/>
        <v>1394348.6222967049</v>
      </c>
      <c r="H30" s="205">
        <f t="shared" ca="1" si="4"/>
        <v>1368349.9728132533</v>
      </c>
      <c r="I30" s="332"/>
      <c r="J30" s="333"/>
      <c r="K30" s="334"/>
      <c r="L30" s="335"/>
    </row>
    <row r="31" spans="1:12">
      <c r="A31" s="89">
        <f>IF(C31&lt;&gt;"",'Cash Flow Analysis'!A78,"")</f>
        <v>2025</v>
      </c>
      <c r="B31" s="291">
        <f t="shared" si="1"/>
        <v>17</v>
      </c>
      <c r="C31" s="291">
        <f t="shared" si="2"/>
        <v>14</v>
      </c>
      <c r="D31" s="430"/>
      <c r="E31" s="204">
        <f>+'Carbon Sequestration'!$C$100*(C31&lt;=anal_period)</f>
        <v>0</v>
      </c>
      <c r="F31" s="204">
        <f t="shared" si="0"/>
        <v>0</v>
      </c>
      <c r="G31" s="204">
        <f t="shared" ca="1" si="3"/>
        <v>1394348.6222967049</v>
      </c>
      <c r="H31" s="205">
        <f t="shared" ca="1" si="4"/>
        <v>1368349.9728132533</v>
      </c>
      <c r="I31" s="332"/>
      <c r="J31" s="333"/>
      <c r="K31" s="334"/>
      <c r="L31" s="335"/>
    </row>
    <row r="32" spans="1:12">
      <c r="A32" s="89">
        <f>IF(C32&lt;&gt;"",'Cash Flow Analysis'!A79,"")</f>
        <v>2026</v>
      </c>
      <c r="B32" s="291">
        <f t="shared" si="1"/>
        <v>18</v>
      </c>
      <c r="C32" s="291">
        <f t="shared" si="2"/>
        <v>15</v>
      </c>
      <c r="D32" s="430"/>
      <c r="E32" s="204">
        <f>+'Carbon Sequestration'!$C$100*(C32&lt;=anal_period)</f>
        <v>0</v>
      </c>
      <c r="F32" s="204">
        <f t="shared" si="0"/>
        <v>0</v>
      </c>
      <c r="G32" s="204">
        <f t="shared" ca="1" si="3"/>
        <v>1394348.6222967049</v>
      </c>
      <c r="H32" s="205">
        <f t="shared" ca="1" si="4"/>
        <v>1368349.9728132533</v>
      </c>
      <c r="I32" s="332"/>
      <c r="J32" s="333"/>
      <c r="K32" s="334"/>
      <c r="L32" s="335"/>
    </row>
    <row r="33" spans="1:12">
      <c r="A33" s="89">
        <f>IF(C33&lt;&gt;"",'Cash Flow Analysis'!A80,"")</f>
        <v>2027</v>
      </c>
      <c r="B33" s="291">
        <f t="shared" si="1"/>
        <v>19</v>
      </c>
      <c r="C33" s="291">
        <f t="shared" si="2"/>
        <v>16</v>
      </c>
      <c r="D33" s="430"/>
      <c r="E33" s="204">
        <f>+'Carbon Sequestration'!$C$100*(C33&lt;=anal_period)</f>
        <v>0</v>
      </c>
      <c r="F33" s="204">
        <f t="shared" si="0"/>
        <v>0</v>
      </c>
      <c r="G33" s="204">
        <f t="shared" ca="1" si="3"/>
        <v>1394348.6222967049</v>
      </c>
      <c r="H33" s="205">
        <f t="shared" ca="1" si="4"/>
        <v>1368349.9728132533</v>
      </c>
      <c r="I33" s="332"/>
      <c r="J33" s="333"/>
      <c r="K33" s="334"/>
      <c r="L33" s="335"/>
    </row>
    <row r="34" spans="1:12">
      <c r="A34" s="89">
        <f>IF(C34&lt;&gt;"",'Cash Flow Analysis'!A81,"")</f>
        <v>2028</v>
      </c>
      <c r="B34" s="291">
        <f t="shared" si="1"/>
        <v>20</v>
      </c>
      <c r="C34" s="291">
        <f t="shared" si="2"/>
        <v>17</v>
      </c>
      <c r="D34" s="430"/>
      <c r="E34" s="204">
        <f>+'Carbon Sequestration'!$C$100*(C34&lt;=anal_period)</f>
        <v>0</v>
      </c>
      <c r="F34" s="204">
        <f t="shared" si="0"/>
        <v>0</v>
      </c>
      <c r="G34" s="204">
        <f t="shared" ca="1" si="3"/>
        <v>1394348.6222967049</v>
      </c>
      <c r="H34" s="205">
        <f t="shared" ca="1" si="4"/>
        <v>1368349.9728132533</v>
      </c>
      <c r="I34" s="332"/>
      <c r="J34" s="333"/>
      <c r="K34" s="334"/>
      <c r="L34" s="335"/>
    </row>
    <row r="35" spans="1:12">
      <c r="A35" s="89">
        <f>IF(C35&lt;&gt;"",'Cash Flow Analysis'!A82,"")</f>
        <v>2029</v>
      </c>
      <c r="B35" s="291">
        <f t="shared" si="1"/>
        <v>21</v>
      </c>
      <c r="C35" s="291">
        <f t="shared" si="2"/>
        <v>18</v>
      </c>
      <c r="D35" s="430"/>
      <c r="E35" s="204">
        <f>+'Carbon Sequestration'!$C$100*(C35&lt;=anal_period)</f>
        <v>0</v>
      </c>
      <c r="F35" s="204">
        <f t="shared" si="0"/>
        <v>0</v>
      </c>
      <c r="G35" s="204">
        <f t="shared" ca="1" si="3"/>
        <v>1394348.6222967049</v>
      </c>
      <c r="H35" s="205">
        <f t="shared" ca="1" si="4"/>
        <v>1368349.9728132533</v>
      </c>
      <c r="I35" s="332"/>
      <c r="J35" s="333"/>
      <c r="K35" s="334"/>
      <c r="L35" s="335"/>
    </row>
    <row r="36" spans="1:12">
      <c r="A36" s="89">
        <f>IF(C36&lt;&gt;"",'Cash Flow Analysis'!A83,"")</f>
        <v>2030</v>
      </c>
      <c r="B36" s="291">
        <f t="shared" si="1"/>
        <v>22</v>
      </c>
      <c r="C36" s="291">
        <f t="shared" si="2"/>
        <v>19</v>
      </c>
      <c r="D36" s="430"/>
      <c r="E36" s="204">
        <f>+'Carbon Sequestration'!$C$100*(C36&lt;=anal_period)</f>
        <v>0</v>
      </c>
      <c r="F36" s="204">
        <f t="shared" si="0"/>
        <v>0</v>
      </c>
      <c r="G36" s="204">
        <f t="shared" ca="1" si="3"/>
        <v>1394348.6222967049</v>
      </c>
      <c r="H36" s="205">
        <f t="shared" ca="1" si="4"/>
        <v>1368349.9728132533</v>
      </c>
      <c r="I36" s="332"/>
      <c r="J36" s="333"/>
      <c r="K36" s="334"/>
      <c r="L36" s="335"/>
    </row>
    <row r="37" spans="1:12">
      <c r="A37" s="89">
        <f>IF(C37&lt;&gt;"",'Cash Flow Analysis'!A84,"")</f>
        <v>2031</v>
      </c>
      <c r="B37" s="291">
        <f t="shared" si="1"/>
        <v>23</v>
      </c>
      <c r="C37" s="291">
        <f t="shared" si="2"/>
        <v>20</v>
      </c>
      <c r="D37" s="430"/>
      <c r="E37" s="204">
        <f>+'Carbon Sequestration'!$C$100*(C37&lt;=anal_period)</f>
        <v>0</v>
      </c>
      <c r="F37" s="204">
        <f t="shared" si="0"/>
        <v>0</v>
      </c>
      <c r="G37" s="204">
        <f t="shared" ca="1" si="3"/>
        <v>1394348.6222967049</v>
      </c>
      <c r="H37" s="205">
        <f t="shared" ca="1" si="4"/>
        <v>1368349.9728132533</v>
      </c>
      <c r="I37" s="332"/>
      <c r="J37" s="333"/>
      <c r="K37" s="334"/>
      <c r="L37" s="335"/>
    </row>
    <row r="38" spans="1:12">
      <c r="A38" s="89">
        <f>IF(C38&lt;&gt;"",'Cash Flow Analysis'!A85,"")</f>
        <v>2032</v>
      </c>
      <c r="B38" s="291">
        <f t="shared" si="1"/>
        <v>24</v>
      </c>
      <c r="C38" s="291">
        <f t="shared" si="2"/>
        <v>21</v>
      </c>
      <c r="D38" s="430"/>
      <c r="E38" s="204">
        <f>+'Carbon Sequestration'!$C$100*(C38&lt;=anal_period)</f>
        <v>0</v>
      </c>
      <c r="F38" s="204">
        <f t="shared" si="0"/>
        <v>0</v>
      </c>
      <c r="G38" s="204">
        <f t="shared" ca="1" si="3"/>
        <v>1394348.6222967049</v>
      </c>
      <c r="H38" s="205">
        <f t="shared" ca="1" si="4"/>
        <v>1368349.9728132533</v>
      </c>
      <c r="I38" s="332"/>
      <c r="J38" s="333"/>
      <c r="K38" s="334"/>
      <c r="L38" s="335"/>
    </row>
    <row r="39" spans="1:12">
      <c r="A39" s="89">
        <f>IF(C39&lt;&gt;"",'Cash Flow Analysis'!A86,"")</f>
        <v>2033</v>
      </c>
      <c r="B39" s="291">
        <f t="shared" si="1"/>
        <v>25</v>
      </c>
      <c r="C39" s="291">
        <f t="shared" si="2"/>
        <v>22</v>
      </c>
      <c r="D39" s="430"/>
      <c r="E39" s="204">
        <f>+'Carbon Sequestration'!$C$100*(C39&lt;=anal_period)</f>
        <v>0</v>
      </c>
      <c r="F39" s="204">
        <f t="shared" si="0"/>
        <v>0</v>
      </c>
      <c r="G39" s="204">
        <f t="shared" ca="1" si="3"/>
        <v>1394348.6222967049</v>
      </c>
      <c r="H39" s="205">
        <f t="shared" ca="1" si="4"/>
        <v>1368349.9728132533</v>
      </c>
      <c r="I39" s="332"/>
      <c r="J39" s="333"/>
      <c r="K39" s="334"/>
      <c r="L39" s="335"/>
    </row>
    <row r="40" spans="1:12">
      <c r="A40" s="89">
        <f>IF(C40&lt;&gt;"",'Cash Flow Analysis'!A87,"")</f>
        <v>2034</v>
      </c>
      <c r="B40" s="291">
        <f t="shared" si="1"/>
        <v>26</v>
      </c>
      <c r="C40" s="291">
        <f t="shared" si="2"/>
        <v>23</v>
      </c>
      <c r="D40" s="430"/>
      <c r="E40" s="204">
        <f>+'Carbon Sequestration'!$C$100*(C40&lt;=anal_period)</f>
        <v>0</v>
      </c>
      <c r="F40" s="204">
        <f t="shared" si="0"/>
        <v>0</v>
      </c>
      <c r="G40" s="204">
        <f t="shared" ca="1" si="3"/>
        <v>1394348.6222967049</v>
      </c>
      <c r="H40" s="205">
        <f t="shared" ca="1" si="4"/>
        <v>1368349.9728132533</v>
      </c>
      <c r="I40" s="332"/>
      <c r="J40" s="333"/>
      <c r="K40" s="334"/>
      <c r="L40" s="335"/>
    </row>
    <row r="41" spans="1:12">
      <c r="A41" s="89">
        <f>IF(C41&lt;&gt;"",'Cash Flow Analysis'!A88,"")</f>
        <v>2035</v>
      </c>
      <c r="B41" s="291">
        <f t="shared" si="1"/>
        <v>27</v>
      </c>
      <c r="C41" s="291">
        <f t="shared" si="2"/>
        <v>24</v>
      </c>
      <c r="D41" s="430"/>
      <c r="E41" s="204">
        <f>+'Carbon Sequestration'!$C$100*(C41&lt;=anal_period)</f>
        <v>0</v>
      </c>
      <c r="F41" s="204">
        <f t="shared" si="0"/>
        <v>0</v>
      </c>
      <c r="G41" s="204">
        <f t="shared" ca="1" si="3"/>
        <v>1394348.6222967049</v>
      </c>
      <c r="H41" s="205">
        <f t="shared" ca="1" si="4"/>
        <v>1368349.9728132533</v>
      </c>
      <c r="I41" s="332"/>
      <c r="J41" s="333"/>
      <c r="K41" s="334"/>
      <c r="L41" s="335"/>
    </row>
    <row r="42" spans="1:12">
      <c r="A42" s="89">
        <f>IF(C42&lt;&gt;"",'Cash Flow Analysis'!A89,"")</f>
        <v>2036</v>
      </c>
      <c r="B42" s="291">
        <f t="shared" si="1"/>
        <v>28</v>
      </c>
      <c r="C42" s="291">
        <f t="shared" si="2"/>
        <v>25</v>
      </c>
      <c r="D42" s="430"/>
      <c r="E42" s="204">
        <f>+'Carbon Sequestration'!$C$100*(C42&lt;=anal_period)</f>
        <v>0</v>
      </c>
      <c r="F42" s="204">
        <f t="shared" si="0"/>
        <v>0</v>
      </c>
      <c r="G42" s="204">
        <f t="shared" ca="1" si="3"/>
        <v>1394348.6222967049</v>
      </c>
      <c r="H42" s="205">
        <f t="shared" ca="1" si="4"/>
        <v>1368349.9728132533</v>
      </c>
      <c r="I42" s="332"/>
      <c r="J42" s="333"/>
      <c r="K42" s="334"/>
      <c r="L42" s="335"/>
    </row>
    <row r="43" spans="1:12">
      <c r="A43" s="89">
        <f>IF(C43&lt;&gt;"",'Cash Flow Analysis'!A90,"")</f>
        <v>2037</v>
      </c>
      <c r="B43" s="291">
        <f t="shared" si="1"/>
        <v>29</v>
      </c>
      <c r="C43" s="291">
        <f t="shared" si="2"/>
        <v>26</v>
      </c>
      <c r="D43" s="430"/>
      <c r="E43" s="204">
        <f>+'Carbon Sequestration'!$C$100*(C43&lt;=anal_period)</f>
        <v>0</v>
      </c>
      <c r="F43" s="204">
        <f t="shared" si="0"/>
        <v>0</v>
      </c>
      <c r="G43" s="204">
        <f t="shared" ca="1" si="3"/>
        <v>1394348.6222967049</v>
      </c>
      <c r="H43" s="205">
        <f t="shared" ca="1" si="4"/>
        <v>1368349.9728132533</v>
      </c>
      <c r="I43" s="332"/>
      <c r="J43" s="333"/>
      <c r="K43" s="334"/>
      <c r="L43" s="335"/>
    </row>
    <row r="44" spans="1:12">
      <c r="A44" s="89">
        <f>IF(C44&lt;&gt;"",'Cash Flow Analysis'!A91,"")</f>
        <v>2038</v>
      </c>
      <c r="B44" s="291">
        <f t="shared" si="1"/>
        <v>30</v>
      </c>
      <c r="C44" s="291">
        <f t="shared" si="2"/>
        <v>27</v>
      </c>
      <c r="D44" s="430"/>
      <c r="E44" s="204">
        <f>+'Carbon Sequestration'!$C$100*(C44&lt;=anal_period)</f>
        <v>0</v>
      </c>
      <c r="F44" s="204">
        <f t="shared" si="0"/>
        <v>0</v>
      </c>
      <c r="G44" s="204">
        <f t="shared" ca="1" si="3"/>
        <v>1394348.6222967049</v>
      </c>
      <c r="H44" s="205">
        <f t="shared" ca="1" si="4"/>
        <v>1368349.9728132533</v>
      </c>
      <c r="I44" s="332"/>
      <c r="J44" s="333"/>
      <c r="K44" s="334"/>
      <c r="L44" s="335"/>
    </row>
    <row r="45" spans="1:12">
      <c r="A45" s="89">
        <f>IF(C45&lt;&gt;"",'Cash Flow Analysis'!A92,"")</f>
        <v>2039</v>
      </c>
      <c r="B45" s="291">
        <f t="shared" si="1"/>
        <v>31</v>
      </c>
      <c r="C45" s="291">
        <f t="shared" si="2"/>
        <v>28</v>
      </c>
      <c r="D45" s="430"/>
      <c r="E45" s="204">
        <f>+'Carbon Sequestration'!$C$100*(C45&lt;=anal_period)</f>
        <v>0</v>
      </c>
      <c r="F45" s="204">
        <f t="shared" si="0"/>
        <v>0</v>
      </c>
      <c r="G45" s="204">
        <f t="shared" ca="1" si="3"/>
        <v>1394348.6222967049</v>
      </c>
      <c r="H45" s="205">
        <f t="shared" ca="1" si="4"/>
        <v>1368349.9728132533</v>
      </c>
      <c r="I45" s="332"/>
      <c r="J45" s="333"/>
      <c r="K45" s="334"/>
      <c r="L45" s="335"/>
    </row>
    <row r="46" spans="1:12">
      <c r="A46" s="89">
        <f>IF(C46&lt;&gt;"",'Cash Flow Analysis'!A93,"")</f>
        <v>2040</v>
      </c>
      <c r="B46" s="291">
        <f t="shared" si="1"/>
        <v>32</v>
      </c>
      <c r="C46" s="291">
        <f t="shared" si="2"/>
        <v>29</v>
      </c>
      <c r="D46" s="430"/>
      <c r="E46" s="204">
        <f>+'Carbon Sequestration'!$C$100*(C46&lt;=anal_period)</f>
        <v>0</v>
      </c>
      <c r="F46" s="204">
        <f t="shared" si="0"/>
        <v>0</v>
      </c>
      <c r="G46" s="204">
        <f t="shared" ca="1" si="3"/>
        <v>1394348.6222967049</v>
      </c>
      <c r="H46" s="205">
        <f t="shared" ca="1" si="4"/>
        <v>1368349.9728132533</v>
      </c>
      <c r="I46" s="332"/>
      <c r="J46" s="333"/>
      <c r="K46" s="334"/>
      <c r="L46" s="335"/>
    </row>
    <row r="47" spans="1:12">
      <c r="A47" s="89">
        <f>IF(C47&lt;&gt;"",'Cash Flow Analysis'!A94,"")</f>
        <v>2041</v>
      </c>
      <c r="B47" s="291">
        <f t="shared" si="1"/>
        <v>33</v>
      </c>
      <c r="C47" s="291">
        <f t="shared" si="2"/>
        <v>30</v>
      </c>
      <c r="D47" s="430"/>
      <c r="E47" s="204">
        <f>+'Carbon Sequestration'!$C$100*(C47&lt;=anal_period)</f>
        <v>0</v>
      </c>
      <c r="F47" s="204">
        <f t="shared" si="0"/>
        <v>0</v>
      </c>
      <c r="G47" s="204">
        <f t="shared" ca="1" si="3"/>
        <v>1394348.6222967049</v>
      </c>
      <c r="H47" s="205">
        <f t="shared" ca="1" si="4"/>
        <v>1368349.9728132533</v>
      </c>
      <c r="I47" s="332"/>
      <c r="J47" s="333"/>
      <c r="K47" s="334"/>
      <c r="L47" s="335"/>
    </row>
    <row r="48" spans="1:12">
      <c r="A48" s="89">
        <f>IF(C48&lt;&gt;"",'Cash Flow Analysis'!A95,"")</f>
        <v>2042</v>
      </c>
      <c r="B48" s="291">
        <f t="shared" si="1"/>
        <v>34</v>
      </c>
      <c r="C48" s="291">
        <f t="shared" si="2"/>
        <v>31</v>
      </c>
      <c r="D48" s="430"/>
      <c r="E48" s="204">
        <f>+'Carbon Sequestration'!$C$100*(C48&lt;=anal_period)</f>
        <v>0</v>
      </c>
      <c r="F48" s="204">
        <f t="shared" si="0"/>
        <v>0</v>
      </c>
      <c r="G48" s="204">
        <f t="shared" ca="1" si="3"/>
        <v>1394348.6222967049</v>
      </c>
      <c r="H48" s="205">
        <f t="shared" ca="1" si="4"/>
        <v>1368349.9728132533</v>
      </c>
      <c r="I48" s="332"/>
      <c r="J48" s="333"/>
      <c r="K48" s="334"/>
      <c r="L48" s="335"/>
    </row>
    <row r="49" spans="1:12">
      <c r="A49" s="89">
        <f>IF(C49&lt;&gt;"",'Cash Flow Analysis'!A96,"")</f>
        <v>2043</v>
      </c>
      <c r="B49" s="291">
        <f t="shared" si="1"/>
        <v>35</v>
      </c>
      <c r="C49" s="291">
        <f t="shared" si="2"/>
        <v>32</v>
      </c>
      <c r="D49" s="430"/>
      <c r="E49" s="204">
        <f>+'Carbon Sequestration'!$C$100*(C49&lt;=anal_period)</f>
        <v>0</v>
      </c>
      <c r="F49" s="204">
        <f t="shared" si="0"/>
        <v>0</v>
      </c>
      <c r="G49" s="204">
        <f t="shared" ca="1" si="3"/>
        <v>1394348.6222967049</v>
      </c>
      <c r="H49" s="205">
        <f t="shared" ca="1" si="4"/>
        <v>1368349.9728132533</v>
      </c>
      <c r="I49" s="332"/>
      <c r="J49" s="333"/>
      <c r="K49" s="334"/>
      <c r="L49" s="335"/>
    </row>
    <row r="50" spans="1:12">
      <c r="A50" s="89">
        <f>IF(C50&lt;&gt;"",'Cash Flow Analysis'!A97,"")</f>
        <v>2044</v>
      </c>
      <c r="B50" s="291">
        <f t="shared" si="1"/>
        <v>36</v>
      </c>
      <c r="C50" s="291">
        <f t="shared" si="2"/>
        <v>33</v>
      </c>
      <c r="D50" s="430"/>
      <c r="E50" s="204">
        <f>+'Carbon Sequestration'!$C$100*(C50&lt;=anal_period)</f>
        <v>0</v>
      </c>
      <c r="F50" s="204">
        <f t="shared" si="0"/>
        <v>0</v>
      </c>
      <c r="G50" s="204">
        <f t="shared" ca="1" si="3"/>
        <v>1394348.6222967049</v>
      </c>
      <c r="H50" s="205">
        <f t="shared" ca="1" si="4"/>
        <v>1368349.9728132533</v>
      </c>
      <c r="I50" s="332"/>
      <c r="J50" s="333"/>
      <c r="K50" s="334"/>
      <c r="L50" s="335"/>
    </row>
    <row r="51" spans="1:12">
      <c r="A51" s="89">
        <f>IF(C51&lt;&gt;"",'Cash Flow Analysis'!A98,"")</f>
        <v>2045</v>
      </c>
      <c r="B51" s="291">
        <f t="shared" si="1"/>
        <v>37</v>
      </c>
      <c r="C51" s="291">
        <f t="shared" si="2"/>
        <v>34</v>
      </c>
      <c r="D51" s="430"/>
      <c r="E51" s="204">
        <f>+'Carbon Sequestration'!$C$100*(C51&lt;=anal_period)</f>
        <v>0</v>
      </c>
      <c r="F51" s="204">
        <f t="shared" si="0"/>
        <v>0</v>
      </c>
      <c r="G51" s="204">
        <f t="shared" ca="1" si="3"/>
        <v>1394348.6222967049</v>
      </c>
      <c r="H51" s="205">
        <f t="shared" ca="1" si="4"/>
        <v>1368349.9728132533</v>
      </c>
      <c r="I51" s="332"/>
      <c r="J51" s="333"/>
      <c r="K51" s="334"/>
      <c r="L51" s="335"/>
    </row>
    <row r="52" spans="1:12">
      <c r="A52" s="89">
        <f>IF(C52&lt;&gt;"",'Cash Flow Analysis'!A99,"")</f>
        <v>2046</v>
      </c>
      <c r="B52" s="291">
        <f t="shared" si="1"/>
        <v>38</v>
      </c>
      <c r="C52" s="291">
        <f t="shared" si="2"/>
        <v>35</v>
      </c>
      <c r="D52" s="430"/>
      <c r="E52" s="204">
        <f>+'Carbon Sequestration'!$C$100*(C52&lt;=anal_period)</f>
        <v>0</v>
      </c>
      <c r="F52" s="204">
        <f t="shared" si="0"/>
        <v>0</v>
      </c>
      <c r="G52" s="204">
        <f t="shared" ca="1" si="3"/>
        <v>1394348.6222967049</v>
      </c>
      <c r="H52" s="205">
        <f t="shared" ca="1" si="4"/>
        <v>1368349.9728132533</v>
      </c>
      <c r="I52" s="332"/>
      <c r="J52" s="333"/>
      <c r="K52" s="334"/>
      <c r="L52" s="335"/>
    </row>
    <row r="53" spans="1:12">
      <c r="A53" s="89">
        <f>IF(C53&lt;&gt;"",'Cash Flow Analysis'!A100,"")</f>
        <v>2047</v>
      </c>
      <c r="B53" s="291">
        <f t="shared" si="1"/>
        <v>39</v>
      </c>
      <c r="C53" s="291">
        <f t="shared" si="2"/>
        <v>36</v>
      </c>
      <c r="D53" s="430"/>
      <c r="E53" s="204">
        <f>+'Carbon Sequestration'!$C$100*(C53&lt;=anal_period)</f>
        <v>0</v>
      </c>
      <c r="F53" s="204">
        <f t="shared" si="0"/>
        <v>0</v>
      </c>
      <c r="G53" s="204">
        <f t="shared" ca="1" si="3"/>
        <v>1394348.6222967049</v>
      </c>
      <c r="H53" s="205">
        <f t="shared" ca="1" si="4"/>
        <v>1368349.9728132533</v>
      </c>
      <c r="I53" s="332"/>
      <c r="J53" s="333"/>
      <c r="K53" s="334"/>
      <c r="L53" s="335"/>
    </row>
    <row r="54" spans="1:12">
      <c r="A54" s="89">
        <f>IF(C54&lt;&gt;"",'Cash Flow Analysis'!A101,"")</f>
        <v>2048</v>
      </c>
      <c r="B54" s="291">
        <f t="shared" si="1"/>
        <v>40</v>
      </c>
      <c r="C54" s="291">
        <f t="shared" si="2"/>
        <v>37</v>
      </c>
      <c r="D54" s="430"/>
      <c r="E54" s="204">
        <f>+'Carbon Sequestration'!$C$100*(C54&lt;=anal_period)</f>
        <v>0</v>
      </c>
      <c r="F54" s="204">
        <f t="shared" si="0"/>
        <v>0</v>
      </c>
      <c r="G54" s="204">
        <f t="shared" ca="1" si="3"/>
        <v>1394348.6222967049</v>
      </c>
      <c r="H54" s="205">
        <f t="shared" ca="1" si="4"/>
        <v>1368349.9728132533</v>
      </c>
      <c r="I54" s="332"/>
      <c r="J54" s="333"/>
      <c r="K54" s="334"/>
      <c r="L54" s="335"/>
    </row>
    <row r="55" spans="1:12">
      <c r="A55" s="89">
        <f>IF(C55&lt;&gt;"",'Cash Flow Analysis'!A102,"")</f>
        <v>2049</v>
      </c>
      <c r="B55" s="291">
        <f t="shared" si="1"/>
        <v>41</v>
      </c>
      <c r="C55" s="291">
        <f t="shared" si="2"/>
        <v>38</v>
      </c>
      <c r="D55" s="430"/>
      <c r="E55" s="204">
        <f>+'Carbon Sequestration'!$C$100*(C55&lt;=anal_period)</f>
        <v>0</v>
      </c>
      <c r="F55" s="204">
        <f t="shared" si="0"/>
        <v>0</v>
      </c>
      <c r="G55" s="204">
        <f t="shared" ca="1" si="3"/>
        <v>1394348.6222967049</v>
      </c>
      <c r="H55" s="205">
        <f t="shared" ca="1" si="4"/>
        <v>1368349.9728132533</v>
      </c>
      <c r="I55" s="332"/>
      <c r="J55" s="333"/>
      <c r="K55" s="334"/>
      <c r="L55" s="335"/>
    </row>
    <row r="56" spans="1:12">
      <c r="A56" s="89">
        <f>IF(C56&lt;&gt;"",'Cash Flow Analysis'!A103,"")</f>
        <v>2050</v>
      </c>
      <c r="B56" s="291">
        <f t="shared" si="1"/>
        <v>42</v>
      </c>
      <c r="C56" s="291">
        <f t="shared" si="2"/>
        <v>39</v>
      </c>
      <c r="D56" s="430"/>
      <c r="E56" s="204">
        <f>+'Carbon Sequestration'!$C$100*(C56&lt;=anal_period)</f>
        <v>0</v>
      </c>
      <c r="F56" s="204">
        <f t="shared" si="0"/>
        <v>0</v>
      </c>
      <c r="G56" s="204">
        <f t="shared" ca="1" si="3"/>
        <v>1394348.6222967049</v>
      </c>
      <c r="H56" s="205">
        <f t="shared" ca="1" si="4"/>
        <v>1368349.9728132533</v>
      </c>
      <c r="I56" s="332"/>
      <c r="J56" s="333"/>
      <c r="K56" s="334"/>
      <c r="L56" s="335"/>
    </row>
    <row r="57" spans="1:12" ht="14" thickBot="1">
      <c r="A57" s="91">
        <f>IF(C57&lt;&gt;"",'Cash Flow Analysis'!A104,"")</f>
        <v>2051</v>
      </c>
      <c r="B57" s="292">
        <f t="shared" si="1"/>
        <v>43</v>
      </c>
      <c r="C57" s="292">
        <f t="shared" si="2"/>
        <v>40</v>
      </c>
      <c r="D57" s="431"/>
      <c r="E57" s="206">
        <f>+'Carbon Sequestration'!$C$100*(C57&lt;=anal_period)</f>
        <v>0</v>
      </c>
      <c r="F57" s="206">
        <f t="shared" si="0"/>
        <v>0</v>
      </c>
      <c r="G57" s="206">
        <f t="shared" ca="1" si="3"/>
        <v>1394348.6222967049</v>
      </c>
      <c r="H57" s="207">
        <f t="shared" ca="1" si="4"/>
        <v>1368349.9728132533</v>
      </c>
      <c r="I57" s="336"/>
      <c r="J57" s="337"/>
      <c r="K57" s="338"/>
      <c r="L57" s="339"/>
    </row>
    <row r="58" spans="1:12" ht="14" thickTop="1"/>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A1:H48"/>
  <sheetViews>
    <sheetView zoomScale="130" zoomScaleNormal="130" workbookViewId="0">
      <selection activeCell="C7" sqref="C7"/>
    </sheetView>
  </sheetViews>
  <sheetFormatPr baseColWidth="10" defaultColWidth="8.83203125" defaultRowHeight="13"/>
  <cols>
    <col min="2" max="2" width="38.33203125" customWidth="1"/>
    <col min="3" max="3" width="19.6640625" customWidth="1"/>
    <col min="4" max="5" width="18.6640625" customWidth="1"/>
    <col min="6" max="6" width="22.5" customWidth="1"/>
    <col min="7" max="7" width="87.33203125" customWidth="1"/>
    <col min="8" max="8" width="27.33203125" customWidth="1"/>
  </cols>
  <sheetData>
    <row r="1" spans="1:8">
      <c r="A1" s="282"/>
      <c r="B1" s="282"/>
      <c r="C1" s="282"/>
      <c r="D1" s="282"/>
      <c r="E1" s="282"/>
      <c r="F1" s="282"/>
      <c r="G1" s="282"/>
      <c r="H1" s="282"/>
    </row>
    <row r="2" spans="1:8" ht="22.5" customHeight="1">
      <c r="A2" s="282"/>
      <c r="B2" s="293" t="s">
        <v>83</v>
      </c>
      <c r="C2" s="282"/>
      <c r="D2" s="282"/>
      <c r="E2" s="282"/>
      <c r="F2" s="1484"/>
      <c r="G2" s="1484"/>
      <c r="H2" s="1484"/>
    </row>
    <row r="3" spans="1:8">
      <c r="A3" s="282"/>
      <c r="B3" s="282"/>
      <c r="C3" s="282"/>
      <c r="D3" s="282"/>
      <c r="E3" s="282"/>
      <c r="F3" s="1484"/>
      <c r="G3" s="1484"/>
      <c r="H3" s="1484"/>
    </row>
    <row r="4" spans="1:8" ht="16">
      <c r="A4" s="282"/>
      <c r="B4" s="282"/>
      <c r="C4" s="1379" t="s">
        <v>233</v>
      </c>
      <c r="D4" s="282"/>
      <c r="E4" s="282"/>
      <c r="F4" s="1484"/>
      <c r="G4" s="1484"/>
      <c r="H4" s="1484"/>
    </row>
    <row r="5" spans="1:8" ht="16">
      <c r="A5" s="282"/>
      <c r="B5" s="282"/>
      <c r="C5" s="1379"/>
      <c r="D5" s="282"/>
      <c r="E5" s="282"/>
      <c r="F5" s="282"/>
      <c r="G5" s="282"/>
      <c r="H5" s="282"/>
    </row>
    <row r="6" spans="1:8" ht="17" thickBot="1">
      <c r="A6" s="282"/>
      <c r="B6" s="282"/>
      <c r="C6" s="1379"/>
      <c r="D6" s="282"/>
      <c r="E6" s="282"/>
      <c r="F6" s="282"/>
      <c r="G6" s="282"/>
      <c r="H6" s="282"/>
    </row>
    <row r="7" spans="1:8" ht="15" thickBot="1">
      <c r="A7" s="282"/>
      <c r="B7" s="749" t="s">
        <v>825</v>
      </c>
      <c r="C7" s="1410">
        <v>483024</v>
      </c>
      <c r="D7" s="1485" t="s">
        <v>826</v>
      </c>
      <c r="E7" s="1486"/>
      <c r="F7" s="1486"/>
      <c r="G7" s="1486"/>
      <c r="H7" s="1487"/>
    </row>
    <row r="8" spans="1:8" ht="14" thickBot="1">
      <c r="A8" s="282"/>
      <c r="B8" s="282"/>
      <c r="C8" s="282"/>
      <c r="D8" s="1483" t="s">
        <v>1027</v>
      </c>
      <c r="E8" s="1481"/>
      <c r="F8" s="1481"/>
      <c r="G8" s="1481"/>
      <c r="H8" s="1481"/>
    </row>
    <row r="9" spans="1:8">
      <c r="A9" s="282"/>
      <c r="B9" s="1" t="s">
        <v>839</v>
      </c>
      <c r="C9" s="1380">
        <f>BasisYear</f>
        <v>2018</v>
      </c>
      <c r="D9" s="1488"/>
      <c r="E9" s="1489"/>
      <c r="F9" s="1489"/>
      <c r="G9" s="1489"/>
      <c r="H9" s="1490"/>
    </row>
    <row r="10" spans="1:8">
      <c r="A10" s="282"/>
      <c r="B10" s="1" t="s">
        <v>771</v>
      </c>
      <c r="C10" s="1381">
        <v>2018</v>
      </c>
      <c r="D10" s="1477"/>
      <c r="E10" s="1478"/>
      <c r="F10" s="1478"/>
      <c r="G10" s="1478"/>
      <c r="H10" s="1479"/>
    </row>
    <row r="11" spans="1:8">
      <c r="A11" s="282"/>
      <c r="B11" s="1" t="str">
        <f>"CEPCI Inflator ("&amp;BasisYear&amp;" to "&amp;CurrentYear&amp;")"</f>
        <v>CEPCI Inflator (2018 to 2018)</v>
      </c>
      <c r="C11" s="1382">
        <f>VLOOKUP(CurrentYear,Tbl_PlantCostIndexes,2,FALSE)/VLOOKUP(BasisYear,Tbl_PlantCostIndexes,2,FALSE)</f>
        <v>1</v>
      </c>
      <c r="D11" s="1477" t="s">
        <v>818</v>
      </c>
      <c r="E11" s="1478"/>
      <c r="F11" s="1478"/>
      <c r="G11" s="1478"/>
      <c r="H11" s="1479"/>
    </row>
    <row r="12" spans="1:8" ht="14" thickBot="1">
      <c r="A12" s="282"/>
      <c r="B12" s="1" t="str">
        <f>"Consumer Price Inflator ("&amp;CurrentYear&amp;" to "&amp;ref_year&amp;")"</f>
        <v>Consumer Price Inflator (2018 to 2016)</v>
      </c>
      <c r="C12" s="1383">
        <f>VLOOKUP(ref_year,DeflatorTable,2,FALSE)/VLOOKUP(CurrentYear,DeflatorTable,2,FALSE)</f>
        <v>0.9584831859169165</v>
      </c>
      <c r="D12" s="1480" t="s">
        <v>819</v>
      </c>
      <c r="E12" s="1481"/>
      <c r="F12" s="1481"/>
      <c r="G12" s="1481"/>
      <c r="H12" s="1482"/>
    </row>
    <row r="13" spans="1:8" ht="14" thickBot="1">
      <c r="A13" s="282"/>
      <c r="B13" s="282"/>
      <c r="C13" s="282"/>
      <c r="D13" s="282"/>
      <c r="E13" s="282"/>
      <c r="F13" s="282"/>
      <c r="G13" s="282"/>
      <c r="H13" s="282"/>
    </row>
    <row r="14" spans="1:8" ht="18" thickTop="1" thickBot="1">
      <c r="A14" s="282"/>
      <c r="B14" s="1384" t="str">
        <f xml:space="preserve"> "CAPITAL INVESTMENT (Inputs REQUIRED in Basis Year, (" &amp; BasisYear &amp; ") $)"</f>
        <v>CAPITAL INVESTMENT (Inputs REQUIRED in Basis Year, (2018) $)</v>
      </c>
      <c r="C14" s="1385"/>
      <c r="D14" s="1385"/>
      <c r="E14" s="1385"/>
      <c r="F14" s="1385"/>
      <c r="G14" s="1385"/>
      <c r="H14" s="1386"/>
    </row>
    <row r="15" spans="1:8" ht="31" thickTop="1" thickBot="1">
      <c r="A15" s="282"/>
      <c r="B15" s="1387" t="s">
        <v>665</v>
      </c>
      <c r="C15" s="1388" t="str">
        <f>"Baseline Uninstalled Costs $"&amp;BasisYear&amp;" Dollars"</f>
        <v>Baseline Uninstalled Costs $2018 Dollars</v>
      </c>
      <c r="D15" s="1388" t="str">
        <f>"Baseline Uninstalled Costs $"&amp;ref_year&amp;" Dollars"</f>
        <v>Baseline Uninstalled Costs $2016 Dollars</v>
      </c>
      <c r="E15" s="1388" t="s">
        <v>666</v>
      </c>
      <c r="F15" s="1389" t="s">
        <v>1057</v>
      </c>
      <c r="G15" s="1388" t="s">
        <v>1027</v>
      </c>
      <c r="H15" s="1390" t="s">
        <v>668</v>
      </c>
    </row>
    <row r="16" spans="1:8" ht="14">
      <c r="A16" s="282"/>
      <c r="B16" s="1391" t="s">
        <v>1418</v>
      </c>
      <c r="C16" s="1392">
        <v>2180000</v>
      </c>
      <c r="D16" s="1393">
        <f>C16*CEPCIinflator*CPIinflator</f>
        <v>2089493.3452988779</v>
      </c>
      <c r="E16" s="1394">
        <v>1.9321100917431193</v>
      </c>
      <c r="F16" s="1393">
        <f>D16*E16</f>
        <v>4037131.1790820523</v>
      </c>
      <c r="G16" s="1395"/>
      <c r="H16" s="1396"/>
    </row>
    <row r="17" spans="1:8" ht="14">
      <c r="A17" s="282"/>
      <c r="B17" s="1035" t="s">
        <v>1433</v>
      </c>
      <c r="C17" s="1252">
        <v>5305000</v>
      </c>
      <c r="D17" s="1393">
        <f t="shared" ref="D17:D35" si="0">C17*CEPCIinflator*CPIinflator</f>
        <v>5084753.3012892418</v>
      </c>
      <c r="E17" s="1036">
        <v>1.3585296889726672</v>
      </c>
      <c r="F17" s="1393">
        <f t="shared" ref="F17:F35" si="1">D17*E17</f>
        <v>6907788.3209032165</v>
      </c>
      <c r="G17" s="1251"/>
      <c r="H17" s="1264"/>
    </row>
    <row r="18" spans="1:8" ht="14">
      <c r="A18" s="282"/>
      <c r="B18" s="1035" t="s">
        <v>1415</v>
      </c>
      <c r="C18" s="1252">
        <v>32610000</v>
      </c>
      <c r="D18" s="1393">
        <f t="shared" si="0"/>
        <v>31256136.692750648</v>
      </c>
      <c r="E18" s="1036">
        <v>1.4397424103035878</v>
      </c>
      <c r="F18" s="1393">
        <f t="shared" si="1"/>
        <v>45000785.578799233</v>
      </c>
      <c r="G18" s="1251"/>
      <c r="H18" s="1264"/>
    </row>
    <row r="19" spans="1:8" ht="14">
      <c r="A19" s="282"/>
      <c r="B19" s="1035" t="s">
        <v>1417</v>
      </c>
      <c r="C19" s="1252">
        <v>16135000</v>
      </c>
      <c r="D19" s="1393">
        <f t="shared" si="0"/>
        <v>15465126.204769447</v>
      </c>
      <c r="E19" s="1036">
        <v>1.0805082119615743</v>
      </c>
      <c r="F19" s="1393">
        <f t="shared" si="1"/>
        <v>16710195.863275524</v>
      </c>
      <c r="G19" s="1251"/>
      <c r="H19" s="1264"/>
    </row>
    <row r="20" spans="1:8" ht="14">
      <c r="A20" s="282"/>
      <c r="B20" s="1035" t="s">
        <v>1419</v>
      </c>
      <c r="C20" s="1252">
        <v>8001000</v>
      </c>
      <c r="D20" s="1393">
        <f t="shared" si="0"/>
        <v>7668823.9705212489</v>
      </c>
      <c r="E20" s="1036">
        <v>1.1387326584176978</v>
      </c>
      <c r="F20" s="1393">
        <f t="shared" si="1"/>
        <v>8732740.3068890255</v>
      </c>
      <c r="G20" s="1251"/>
      <c r="H20" s="1264"/>
    </row>
    <row r="21" spans="1:8" ht="14">
      <c r="A21" s="282"/>
      <c r="B21" s="1035" t="s">
        <v>1416</v>
      </c>
      <c r="C21" s="1252">
        <v>39658000</v>
      </c>
      <c r="D21" s="1393">
        <f t="shared" si="0"/>
        <v>38011526.187093072</v>
      </c>
      <c r="E21" s="1036">
        <v>1.4997478440667709</v>
      </c>
      <c r="F21" s="1393">
        <f t="shared" si="1"/>
        <v>57007704.44878044</v>
      </c>
      <c r="G21" s="1251"/>
      <c r="H21" s="1264"/>
    </row>
    <row r="22" spans="1:8" ht="15">
      <c r="A22" s="282"/>
      <c r="B22" s="1035" t="s">
        <v>1431</v>
      </c>
      <c r="C22" s="1252">
        <v>3646000</v>
      </c>
      <c r="D22" s="1393">
        <f t="shared" si="0"/>
        <v>3494629.6958530773</v>
      </c>
      <c r="E22" s="1036">
        <v>2.3518924849149752</v>
      </c>
      <c r="F22" s="1393">
        <f t="shared" si="1"/>
        <v>8218993.3192375582</v>
      </c>
      <c r="G22" s="1251" t="s">
        <v>1420</v>
      </c>
      <c r="H22" s="1264"/>
    </row>
    <row r="23" spans="1:8">
      <c r="A23" s="282"/>
      <c r="B23" s="1035"/>
      <c r="C23" s="1252"/>
      <c r="D23" s="1393">
        <f t="shared" si="0"/>
        <v>0</v>
      </c>
      <c r="E23" s="1036"/>
      <c r="F23" s="1393">
        <f t="shared" si="1"/>
        <v>0</v>
      </c>
      <c r="G23" s="1251"/>
      <c r="H23" s="1264"/>
    </row>
    <row r="24" spans="1:8">
      <c r="A24" s="282"/>
      <c r="B24" s="1035"/>
      <c r="C24" s="1252"/>
      <c r="D24" s="1393">
        <f t="shared" si="0"/>
        <v>0</v>
      </c>
      <c r="E24" s="1036"/>
      <c r="F24" s="1393">
        <f t="shared" si="1"/>
        <v>0</v>
      </c>
      <c r="G24" s="1251"/>
      <c r="H24" s="1264"/>
    </row>
    <row r="25" spans="1:8">
      <c r="A25" s="282"/>
      <c r="B25" s="1035"/>
      <c r="C25" s="1252"/>
      <c r="D25" s="1393">
        <f t="shared" si="0"/>
        <v>0</v>
      </c>
      <c r="E25" s="1036"/>
      <c r="F25" s="1393">
        <f t="shared" si="1"/>
        <v>0</v>
      </c>
      <c r="G25" s="1251"/>
      <c r="H25" s="1264"/>
    </row>
    <row r="26" spans="1:8">
      <c r="A26" s="282"/>
      <c r="B26" s="1035"/>
      <c r="C26" s="1252"/>
      <c r="D26" s="1393">
        <f t="shared" si="0"/>
        <v>0</v>
      </c>
      <c r="E26" s="1036"/>
      <c r="F26" s="1393">
        <f t="shared" si="1"/>
        <v>0</v>
      </c>
      <c r="G26" s="1251"/>
      <c r="H26" s="1264"/>
    </row>
    <row r="27" spans="1:8">
      <c r="A27" s="282"/>
      <c r="B27" s="1035"/>
      <c r="C27" s="1252"/>
      <c r="D27" s="1393">
        <f t="shared" si="0"/>
        <v>0</v>
      </c>
      <c r="E27" s="1036"/>
      <c r="F27" s="1393">
        <f t="shared" si="1"/>
        <v>0</v>
      </c>
      <c r="G27" s="1251"/>
      <c r="H27" s="1264"/>
    </row>
    <row r="28" spans="1:8">
      <c r="A28" s="282"/>
      <c r="B28" s="1035"/>
      <c r="C28" s="1252"/>
      <c r="D28" s="1393">
        <f t="shared" si="0"/>
        <v>0</v>
      </c>
      <c r="E28" s="1397"/>
      <c r="F28" s="1393">
        <f t="shared" si="1"/>
        <v>0</v>
      </c>
      <c r="G28" s="1251"/>
      <c r="H28" s="1264"/>
    </row>
    <row r="29" spans="1:8">
      <c r="A29" s="282"/>
      <c r="B29" s="1035"/>
      <c r="C29" s="1252"/>
      <c r="D29" s="1393">
        <f t="shared" si="0"/>
        <v>0</v>
      </c>
      <c r="E29" s="1397"/>
      <c r="F29" s="1393">
        <f t="shared" si="1"/>
        <v>0</v>
      </c>
      <c r="G29" s="1251"/>
      <c r="H29" s="1264"/>
    </row>
    <row r="30" spans="1:8">
      <c r="A30" s="282"/>
      <c r="B30" s="1035"/>
      <c r="C30" s="1252"/>
      <c r="D30" s="1393">
        <f t="shared" si="0"/>
        <v>0</v>
      </c>
      <c r="E30" s="1036"/>
      <c r="F30" s="1393">
        <f t="shared" si="1"/>
        <v>0</v>
      </c>
      <c r="G30" s="1251"/>
      <c r="H30" s="1264"/>
    </row>
    <row r="31" spans="1:8">
      <c r="A31" s="282"/>
      <c r="B31" s="1035"/>
      <c r="C31" s="1252"/>
      <c r="D31" s="1393">
        <f t="shared" si="0"/>
        <v>0</v>
      </c>
      <c r="E31" s="1036"/>
      <c r="F31" s="1393">
        <f t="shared" si="1"/>
        <v>0</v>
      </c>
      <c r="G31" s="1251"/>
      <c r="H31" s="1264"/>
    </row>
    <row r="32" spans="1:8">
      <c r="A32" s="282"/>
      <c r="B32" s="1035"/>
      <c r="C32" s="1252"/>
      <c r="D32" s="1393">
        <f t="shared" si="0"/>
        <v>0</v>
      </c>
      <c r="E32" s="1036"/>
      <c r="F32" s="1393">
        <f t="shared" si="1"/>
        <v>0</v>
      </c>
      <c r="G32" s="1251"/>
      <c r="H32" s="1264"/>
    </row>
    <row r="33" spans="1:8">
      <c r="A33" s="282"/>
      <c r="B33" s="1035"/>
      <c r="C33" s="1252"/>
      <c r="D33" s="1393">
        <f t="shared" si="0"/>
        <v>0</v>
      </c>
      <c r="E33" s="1036"/>
      <c r="F33" s="1393">
        <f t="shared" si="1"/>
        <v>0</v>
      </c>
      <c r="G33" s="1251"/>
      <c r="H33" s="1264"/>
    </row>
    <row r="34" spans="1:8">
      <c r="A34" s="282"/>
      <c r="B34" s="1035"/>
      <c r="C34" s="1252"/>
      <c r="D34" s="1393">
        <f t="shared" si="0"/>
        <v>0</v>
      </c>
      <c r="E34" s="1036"/>
      <c r="F34" s="1393">
        <f t="shared" si="1"/>
        <v>0</v>
      </c>
      <c r="G34" s="1251"/>
      <c r="H34" s="1264"/>
    </row>
    <row r="35" spans="1:8" ht="14" thickBot="1">
      <c r="A35" s="282"/>
      <c r="B35" s="1398"/>
      <c r="C35" s="1252"/>
      <c r="D35" s="1393">
        <f t="shared" si="0"/>
        <v>0</v>
      </c>
      <c r="E35" s="1399"/>
      <c r="F35" s="1393">
        <f t="shared" si="1"/>
        <v>0</v>
      </c>
      <c r="G35" s="1400"/>
      <c r="H35" s="1401"/>
    </row>
    <row r="36" spans="1:8" ht="14" thickBot="1">
      <c r="A36" s="282"/>
      <c r="B36" s="1402"/>
      <c r="C36" s="1403">
        <f>SUM(C16:C35)</f>
        <v>107535000</v>
      </c>
      <c r="D36" s="1404">
        <f>SUM(D16:D35)</f>
        <v>103070489.39757562</v>
      </c>
      <c r="E36" s="1405"/>
      <c r="F36" s="1404">
        <f>SUM(F16:F35)</f>
        <v>146615339.01696706</v>
      </c>
      <c r="G36" s="1406"/>
      <c r="H36" s="1407"/>
    </row>
    <row r="37" spans="1:8" ht="14" thickTop="1">
      <c r="A37" s="282"/>
      <c r="B37" s="282"/>
      <c r="C37" s="1408"/>
      <c r="D37" s="1408"/>
      <c r="E37" s="282"/>
      <c r="F37" s="282"/>
      <c r="G37" s="282"/>
      <c r="H37" s="282"/>
    </row>
    <row r="38" spans="1:8">
      <c r="A38" s="282"/>
      <c r="B38" s="282"/>
      <c r="C38" s="1409"/>
      <c r="D38" s="282"/>
      <c r="E38" s="282"/>
      <c r="F38" s="282"/>
      <c r="G38" s="282"/>
      <c r="H38" s="282"/>
    </row>
    <row r="39" spans="1:8">
      <c r="A39" s="282"/>
      <c r="B39" s="282"/>
      <c r="C39" s="282"/>
      <c r="D39" s="282"/>
      <c r="E39" s="282"/>
      <c r="F39" s="282"/>
      <c r="G39" s="282"/>
      <c r="H39" s="282"/>
    </row>
    <row r="40" spans="1:8">
      <c r="A40" s="282"/>
      <c r="B40" s="282"/>
      <c r="C40" s="282"/>
      <c r="D40" s="282"/>
      <c r="E40" s="282"/>
      <c r="F40" s="282"/>
      <c r="G40" s="282"/>
      <c r="H40" s="282"/>
    </row>
    <row r="41" spans="1:8">
      <c r="A41" s="282"/>
      <c r="B41" s="282"/>
      <c r="C41" s="282"/>
      <c r="D41" s="282"/>
      <c r="E41" s="282"/>
      <c r="F41" s="282"/>
      <c r="G41" s="282"/>
      <c r="H41" s="282"/>
    </row>
    <row r="42" spans="1:8">
      <c r="A42" s="282"/>
      <c r="B42" s="282"/>
      <c r="C42" s="282"/>
      <c r="D42" s="282"/>
      <c r="E42" s="282"/>
      <c r="F42" s="282"/>
      <c r="G42" s="282"/>
      <c r="H42" s="282"/>
    </row>
    <row r="43" spans="1:8">
      <c r="A43" s="282"/>
      <c r="B43" s="282"/>
      <c r="C43" s="282"/>
      <c r="D43" s="282"/>
      <c r="E43" s="282"/>
      <c r="F43" s="282"/>
      <c r="G43" s="282"/>
      <c r="H43" s="282"/>
    </row>
    <row r="44" spans="1:8">
      <c r="A44" s="282"/>
      <c r="B44" s="282"/>
      <c r="C44" s="282"/>
      <c r="D44" s="282"/>
      <c r="E44" s="282"/>
      <c r="F44" s="282"/>
      <c r="G44" s="282"/>
      <c r="H44" s="282"/>
    </row>
    <row r="45" spans="1:8">
      <c r="A45" s="282"/>
      <c r="B45" s="282"/>
      <c r="C45" s="282"/>
      <c r="D45" s="282"/>
      <c r="E45" s="282"/>
      <c r="F45" s="282"/>
      <c r="G45" s="282"/>
      <c r="H45" s="282"/>
    </row>
    <row r="46" spans="1:8">
      <c r="A46" s="282"/>
      <c r="B46" s="282"/>
      <c r="C46" s="282"/>
      <c r="D46" s="282"/>
      <c r="E46" s="282"/>
      <c r="F46" s="282"/>
      <c r="G46" s="282"/>
      <c r="H46" s="282"/>
    </row>
    <row r="47" spans="1:8">
      <c r="A47" s="282"/>
      <c r="B47" s="282"/>
      <c r="C47" s="282"/>
      <c r="D47" s="282"/>
      <c r="E47" s="282"/>
      <c r="F47" s="282"/>
      <c r="G47" s="282"/>
      <c r="H47" s="282"/>
    </row>
    <row r="48" spans="1:8">
      <c r="A48" s="282"/>
      <c r="B48" s="282"/>
      <c r="C48" s="282"/>
      <c r="D48" s="282"/>
      <c r="E48" s="282"/>
      <c r="F48" s="282"/>
      <c r="G48" s="282"/>
      <c r="H48" s="282"/>
    </row>
  </sheetData>
  <mergeCells count="7">
    <mergeCell ref="D11:H11"/>
    <mergeCell ref="D12:H12"/>
    <mergeCell ref="D8:H8"/>
    <mergeCell ref="F2:H4"/>
    <mergeCell ref="D7:H7"/>
    <mergeCell ref="D9:H9"/>
    <mergeCell ref="D10:H10"/>
  </mergeCells>
  <phoneticPr fontId="2" type="noConversion"/>
  <dataValidations disablePrompts="1" count="1">
    <dataValidation type="whole" allowBlank="1" showInputMessage="1" showErrorMessage="1" sqref="C10" xr:uid="{00000000-0002-0000-0500-000000000000}">
      <formula1>1992</formula1>
      <formula2>2025</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38"/>
  <sheetViews>
    <sheetView zoomScale="85" zoomScaleNormal="85" workbookViewId="0">
      <selection activeCell="C8" sqref="C8"/>
    </sheetView>
  </sheetViews>
  <sheetFormatPr baseColWidth="10" defaultColWidth="9.33203125" defaultRowHeight="13"/>
  <cols>
    <col min="1" max="1" width="9.33203125" style="198"/>
    <col min="2" max="2" width="50.6640625" style="198" customWidth="1"/>
    <col min="3" max="3" width="19.6640625" style="198" customWidth="1"/>
    <col min="4" max="4" width="17" style="198" customWidth="1"/>
    <col min="5" max="7" width="18.6640625" style="198" customWidth="1"/>
    <col min="8" max="8" width="16.5" style="198" customWidth="1"/>
    <col min="9" max="9" width="38" style="198" customWidth="1"/>
    <col min="10" max="10" width="120.1640625" style="198" customWidth="1"/>
    <col min="11" max="11" width="27.33203125" style="198" customWidth="1"/>
    <col min="12" max="16384" width="9.33203125" style="198"/>
  </cols>
  <sheetData>
    <row r="1" spans="2:11" ht="14" thickBot="1">
      <c r="B1" s="198" t="s">
        <v>321</v>
      </c>
    </row>
    <row r="2" spans="2:11" ht="20" thickTop="1" thickBot="1">
      <c r="B2" s="668" t="s">
        <v>846</v>
      </c>
      <c r="C2" s="669"/>
      <c r="D2" s="669"/>
      <c r="E2" s="669"/>
      <c r="F2" s="669"/>
      <c r="G2" s="669"/>
      <c r="H2" s="669"/>
      <c r="I2" s="669"/>
      <c r="J2" s="669"/>
      <c r="K2" s="670"/>
    </row>
    <row r="3" spans="2:11" ht="24" customHeight="1" thickBot="1">
      <c r="B3" s="671" t="s">
        <v>671</v>
      </c>
      <c r="C3" s="672">
        <f>Baseline_Design_Capacity</f>
        <v>483024</v>
      </c>
      <c r="D3" s="1493" t="s">
        <v>827</v>
      </c>
      <c r="E3" s="1493"/>
      <c r="F3" s="1493"/>
      <c r="G3" s="673"/>
      <c r="H3" s="673"/>
      <c r="I3" s="673"/>
      <c r="J3" s="673"/>
    </row>
    <row r="4" spans="2:11" ht="29.25" customHeight="1" thickBot="1">
      <c r="B4" s="671" t="s">
        <v>669</v>
      </c>
      <c r="C4" s="674">
        <f ca="1">design_cap/Baseline_Design_Capacity</f>
        <v>1</v>
      </c>
      <c r="D4" s="1494" t="s">
        <v>675</v>
      </c>
      <c r="E4" s="1494"/>
      <c r="F4" s="1494"/>
      <c r="G4" s="673"/>
      <c r="H4" s="673"/>
      <c r="I4" s="673"/>
      <c r="J4" s="673"/>
    </row>
    <row r="5" spans="2:11" ht="29.25" customHeight="1" thickBot="1">
      <c r="B5" s="671" t="s">
        <v>843</v>
      </c>
      <c r="C5" s="674">
        <f ca="1">$G$27/Det_direct_cap</f>
        <v>1</v>
      </c>
      <c r="D5" s="1494" t="s">
        <v>845</v>
      </c>
      <c r="E5" s="1494"/>
      <c r="F5" s="1494"/>
      <c r="G5" s="673"/>
      <c r="H5" s="673"/>
      <c r="I5" s="673"/>
      <c r="J5" s="673"/>
    </row>
    <row r="6" spans="2:11" ht="29.25" customHeight="1" thickBot="1">
      <c r="B6" s="671" t="s">
        <v>1061</v>
      </c>
      <c r="C6" s="676">
        <v>0.6</v>
      </c>
      <c r="D6" s="1494" t="s">
        <v>842</v>
      </c>
      <c r="E6" s="1494"/>
      <c r="F6" s="1494"/>
      <c r="G6" s="673"/>
      <c r="H6" s="673"/>
      <c r="I6" s="673"/>
      <c r="J6" s="673"/>
    </row>
    <row r="7" spans="2:11" ht="41.25" customHeight="1" thickBot="1">
      <c r="B7" s="671" t="s">
        <v>943</v>
      </c>
      <c r="C7" s="677">
        <f>483024*0.5</f>
        <v>241512</v>
      </c>
      <c r="D7" s="1495" t="s">
        <v>919</v>
      </c>
      <c r="E7" s="1496"/>
      <c r="F7" s="1496"/>
      <c r="G7" s="673"/>
      <c r="H7" s="673"/>
      <c r="I7" s="673"/>
      <c r="J7" s="673"/>
    </row>
    <row r="8" spans="2:11" ht="42.75" customHeight="1" thickBot="1">
      <c r="B8" s="671" t="s">
        <v>944</v>
      </c>
      <c r="C8" s="677">
        <f>483024*2</f>
        <v>966048</v>
      </c>
      <c r="D8" s="1491" t="s">
        <v>918</v>
      </c>
      <c r="E8" s="1492"/>
      <c r="F8" s="1492"/>
      <c r="G8" s="673"/>
      <c r="H8" s="673"/>
      <c r="I8" s="673"/>
      <c r="J8" s="673"/>
    </row>
    <row r="9" spans="2:11" ht="15" customHeight="1">
      <c r="B9" s="671"/>
      <c r="C9" s="678"/>
      <c r="D9" s="675"/>
      <c r="E9" s="675"/>
      <c r="F9" s="675"/>
      <c r="G9" s="673"/>
      <c r="H9" s="673"/>
      <c r="I9" s="673"/>
      <c r="J9" s="673"/>
    </row>
    <row r="10" spans="2:11">
      <c r="B10" s="679"/>
      <c r="C10" s="673"/>
      <c r="D10" s="673"/>
      <c r="E10" s="673"/>
      <c r="F10" s="673"/>
      <c r="G10" s="673"/>
      <c r="H10" s="673"/>
      <c r="I10" s="673"/>
      <c r="J10" s="673"/>
    </row>
    <row r="11" spans="2:11" ht="17" thickBot="1">
      <c r="B11" s="432" t="str">
        <f xml:space="preserve"> "CAPITAL INVESTMENT (Inputs REQUIRED in Reference Year, (" &amp; ref_year &amp; ") $)"</f>
        <v>CAPITAL INVESTMENT (Inputs REQUIRED in Reference Year, (2016) $)</v>
      </c>
      <c r="C11" s="433"/>
      <c r="D11" s="433"/>
      <c r="E11" s="433"/>
      <c r="F11" s="433"/>
      <c r="G11" s="434"/>
      <c r="H11" s="434"/>
      <c r="I11" s="434"/>
      <c r="J11" s="435"/>
      <c r="K11" s="680"/>
    </row>
    <row r="12" spans="2:11" ht="31" thickTop="1" thickBot="1">
      <c r="B12" s="446" t="s">
        <v>665</v>
      </c>
      <c r="C12" s="447" t="s">
        <v>673</v>
      </c>
      <c r="D12" s="447" t="s">
        <v>667</v>
      </c>
      <c r="E12" s="447" t="s">
        <v>674</v>
      </c>
      <c r="F12" s="447" t="s">
        <v>666</v>
      </c>
      <c r="G12" s="447" t="s">
        <v>844</v>
      </c>
      <c r="H12" s="447" t="s">
        <v>1060</v>
      </c>
      <c r="I12" s="447" t="s">
        <v>1027</v>
      </c>
      <c r="J12" s="451" t="s">
        <v>668</v>
      </c>
    </row>
    <row r="13" spans="2:11" ht="14">
      <c r="B13" s="663" t="str">
        <f>'Capital Costs'!B16</f>
        <v>Accessory Electric Plant</v>
      </c>
      <c r="C13" s="654">
        <f>'Capital Costs'!D16</f>
        <v>2089493.3452988779</v>
      </c>
      <c r="D13" s="1412">
        <v>0.35004815133276007</v>
      </c>
      <c r="E13" s="654">
        <f ca="1">IF($D13="",$C13*Scale_Ratio^Scaling_Factor_Exponent,$C13*Scale_Ratio^$D13)</f>
        <v>2089493.3452988779</v>
      </c>
      <c r="F13" s="665">
        <f>'Capital Costs'!E16</f>
        <v>1.9321100917431193</v>
      </c>
      <c r="G13" s="655">
        <f ca="1">$E13*$F13</f>
        <v>4037131.1790820523</v>
      </c>
      <c r="H13" s="654">
        <f>C13*F13</f>
        <v>4037131.1790820523</v>
      </c>
      <c r="I13" s="1256" t="s">
        <v>1429</v>
      </c>
      <c r="J13" s="822" t="s">
        <v>1446</v>
      </c>
    </row>
    <row r="14" spans="2:11" ht="14">
      <c r="B14" s="664" t="str">
        <f>'Capital Costs'!B17</f>
        <v>Cooling Water System</v>
      </c>
      <c r="C14" s="656">
        <f>'Capital Costs'!D17</f>
        <v>5084753.3012892418</v>
      </c>
      <c r="D14" s="1411">
        <v>0.66025087807325633</v>
      </c>
      <c r="E14" s="656">
        <f t="shared" ref="E14:E26" ca="1" si="0">IF($D14="",$C14*Scale_Ratio^Scaling_Factor_Exponent,$C14*Scale_Ratio^$D14)</f>
        <v>5084753.3012892418</v>
      </c>
      <c r="F14" s="666">
        <f>'Capital Costs'!E17</f>
        <v>1.3585296889726672</v>
      </c>
      <c r="G14" s="657">
        <f t="shared" ref="G14:G26" ca="1" si="1">$E14*$F14</f>
        <v>6907788.3209032165</v>
      </c>
      <c r="H14" s="656">
        <f t="shared" ref="H14:H26" si="2">C14*F14</f>
        <v>6907788.3209032165</v>
      </c>
      <c r="I14" s="658"/>
      <c r="J14" s="822" t="s">
        <v>1446</v>
      </c>
    </row>
    <row r="15" spans="2:11" ht="14">
      <c r="B15" s="664" t="str">
        <f>'Capital Costs'!B18</f>
        <v>Feedwater &amp; Miscellaneous BOP Systems</v>
      </c>
      <c r="C15" s="656">
        <f>'Capital Costs'!D18</f>
        <v>31256136.692750648</v>
      </c>
      <c r="D15" s="1411">
        <v>0.45714495028780744</v>
      </c>
      <c r="E15" s="656">
        <f t="shared" ca="1" si="0"/>
        <v>31256136.692750648</v>
      </c>
      <c r="F15" s="666">
        <f>'Capital Costs'!E18</f>
        <v>1.4397424103035878</v>
      </c>
      <c r="G15" s="657">
        <f t="shared" ca="1" si="1"/>
        <v>45000785.578799233</v>
      </c>
      <c r="H15" s="656">
        <f t="shared" si="2"/>
        <v>45000785.578799233</v>
      </c>
      <c r="I15" s="658"/>
      <c r="J15" s="822" t="s">
        <v>1446</v>
      </c>
    </row>
    <row r="16" spans="2:11" ht="14">
      <c r="B16" s="664" t="str">
        <f>'Capital Costs'!B19</f>
        <v>Hydrogen Production</v>
      </c>
      <c r="C16" s="656">
        <f>'Capital Costs'!D19</f>
        <v>15465126.204769447</v>
      </c>
      <c r="D16" s="1411">
        <v>0.6</v>
      </c>
      <c r="E16" s="656">
        <f t="shared" ca="1" si="0"/>
        <v>15465126.204769447</v>
      </c>
      <c r="F16" s="666">
        <f>'Capital Costs'!E19</f>
        <v>1.0805082119615743</v>
      </c>
      <c r="G16" s="657">
        <f t="shared" ca="1" si="1"/>
        <v>16710195.863275524</v>
      </c>
      <c r="H16" s="656">
        <f t="shared" si="2"/>
        <v>16710195.863275524</v>
      </c>
      <c r="I16" s="658"/>
      <c r="J16" s="822" t="s">
        <v>1446</v>
      </c>
    </row>
    <row r="17" spans="2:10" ht="14">
      <c r="B17" s="664" t="str">
        <f>'Capital Costs'!B20</f>
        <v>Instrumentation &amp; Control</v>
      </c>
      <c r="C17" s="656">
        <f>'Capital Costs'!D20</f>
        <v>7668823.9705212489</v>
      </c>
      <c r="D17" s="1411">
        <v>0.16</v>
      </c>
      <c r="E17" s="656">
        <f t="shared" ca="1" si="0"/>
        <v>7668823.9705212489</v>
      </c>
      <c r="F17" s="666">
        <f>'Capital Costs'!E20</f>
        <v>1.1387326584176978</v>
      </c>
      <c r="G17" s="657">
        <f t="shared" ca="1" si="1"/>
        <v>8732740.3068890255</v>
      </c>
      <c r="H17" s="656">
        <f t="shared" si="2"/>
        <v>8732740.3068890255</v>
      </c>
      <c r="I17" s="658"/>
      <c r="J17" s="822" t="s">
        <v>1446</v>
      </c>
    </row>
    <row r="18" spans="2:10" ht="14">
      <c r="B18" s="664" t="str">
        <f>'Capital Costs'!B21</f>
        <v>Reformer &amp; Accessories</v>
      </c>
      <c r="C18" s="656">
        <f>'Capital Costs'!D21</f>
        <v>38011526.187093072</v>
      </c>
      <c r="D18" s="1411">
        <v>0.61108290517994701</v>
      </c>
      <c r="E18" s="656">
        <f t="shared" ca="1" si="0"/>
        <v>38011526.187093072</v>
      </c>
      <c r="F18" s="666">
        <f>'Capital Costs'!E21</f>
        <v>1.4997478440667709</v>
      </c>
      <c r="G18" s="657">
        <f t="shared" ca="1" si="1"/>
        <v>57007704.44878044</v>
      </c>
      <c r="H18" s="656">
        <f t="shared" si="2"/>
        <v>57007704.44878044</v>
      </c>
      <c r="I18" s="658"/>
      <c r="J18" s="822" t="s">
        <v>1446</v>
      </c>
    </row>
    <row r="19" spans="2:10" ht="14">
      <c r="B19" s="664" t="str">
        <f>'Capital Costs'!B22</f>
        <v>Syngas Cleanup</v>
      </c>
      <c r="C19" s="656">
        <f>'Capital Costs'!D22</f>
        <v>3494629.6958530773</v>
      </c>
      <c r="D19" s="1411">
        <v>0.8</v>
      </c>
      <c r="E19" s="656">
        <f t="shared" ca="1" si="0"/>
        <v>3494629.6958530773</v>
      </c>
      <c r="F19" s="666">
        <f>'Capital Costs'!E22</f>
        <v>2.3518924849149752</v>
      </c>
      <c r="G19" s="657">
        <f t="shared" ca="1" si="1"/>
        <v>8218993.3192375582</v>
      </c>
      <c r="H19" s="656">
        <f t="shared" si="2"/>
        <v>8218993.3192375582</v>
      </c>
      <c r="I19" s="658"/>
      <c r="J19" s="822" t="s">
        <v>1446</v>
      </c>
    </row>
    <row r="20" spans="2:10" ht="14">
      <c r="B20" s="664"/>
      <c r="C20" s="656">
        <f>'Capital Costs'!D23</f>
        <v>0</v>
      </c>
      <c r="D20" s="1411"/>
      <c r="E20" s="656">
        <f t="shared" ca="1" si="0"/>
        <v>0</v>
      </c>
      <c r="F20" s="666">
        <f>'Capital Costs'!E23</f>
        <v>0</v>
      </c>
      <c r="G20" s="657">
        <f t="shared" ca="1" si="1"/>
        <v>0</v>
      </c>
      <c r="H20" s="656">
        <f t="shared" si="2"/>
        <v>0</v>
      </c>
      <c r="I20" s="658"/>
      <c r="J20" s="822" t="s">
        <v>1446</v>
      </c>
    </row>
    <row r="21" spans="2:10" ht="14">
      <c r="B21" s="664"/>
      <c r="C21" s="656">
        <f>'Capital Costs'!D24</f>
        <v>0</v>
      </c>
      <c r="D21" s="1411"/>
      <c r="E21" s="656">
        <f t="shared" ca="1" si="0"/>
        <v>0</v>
      </c>
      <c r="F21" s="666">
        <f>'Capital Costs'!E24</f>
        <v>0</v>
      </c>
      <c r="G21" s="657">
        <f t="shared" ca="1" si="1"/>
        <v>0</v>
      </c>
      <c r="H21" s="656">
        <f t="shared" si="2"/>
        <v>0</v>
      </c>
      <c r="I21" s="658"/>
      <c r="J21" s="822" t="s">
        <v>1446</v>
      </c>
    </row>
    <row r="22" spans="2:10" ht="14">
      <c r="B22" s="664"/>
      <c r="C22" s="656">
        <f>'Capital Costs'!D25</f>
        <v>0</v>
      </c>
      <c r="D22" s="1411"/>
      <c r="E22" s="656">
        <f t="shared" ca="1" si="0"/>
        <v>0</v>
      </c>
      <c r="F22" s="666">
        <f>'Capital Costs'!E25</f>
        <v>0</v>
      </c>
      <c r="G22" s="657">
        <f t="shared" ca="1" si="1"/>
        <v>0</v>
      </c>
      <c r="H22" s="656">
        <f t="shared" si="2"/>
        <v>0</v>
      </c>
      <c r="I22" s="658"/>
      <c r="J22" s="822" t="s">
        <v>1446</v>
      </c>
    </row>
    <row r="23" spans="2:10">
      <c r="B23" s="664"/>
      <c r="C23" s="656">
        <f>'Capital Costs'!D26</f>
        <v>0</v>
      </c>
      <c r="D23" s="1411"/>
      <c r="E23" s="656">
        <f t="shared" ca="1" si="0"/>
        <v>0</v>
      </c>
      <c r="F23" s="666">
        <f>'Capital Costs'!E26</f>
        <v>0</v>
      </c>
      <c r="G23" s="657">
        <f t="shared" ca="1" si="1"/>
        <v>0</v>
      </c>
      <c r="H23" s="656">
        <f t="shared" si="2"/>
        <v>0</v>
      </c>
      <c r="I23" s="658"/>
      <c r="J23" s="454"/>
    </row>
    <row r="24" spans="2:10">
      <c r="B24" s="664"/>
      <c r="C24" s="656">
        <f>'Capital Costs'!D27</f>
        <v>0</v>
      </c>
      <c r="D24" s="1413"/>
      <c r="E24" s="656">
        <f t="shared" ca="1" si="0"/>
        <v>0</v>
      </c>
      <c r="F24" s="666">
        <f>'Capital Costs'!E27</f>
        <v>0</v>
      </c>
      <c r="G24" s="657">
        <f t="shared" ca="1" si="1"/>
        <v>0</v>
      </c>
      <c r="H24" s="656">
        <f t="shared" si="2"/>
        <v>0</v>
      </c>
      <c r="I24" s="658"/>
      <c r="J24" s="454"/>
    </row>
    <row r="25" spans="2:10">
      <c r="B25" s="664"/>
      <c r="C25" s="656">
        <f>'Capital Costs'!D28</f>
        <v>0</v>
      </c>
      <c r="D25" s="1413"/>
      <c r="E25" s="656">
        <f t="shared" ca="1" si="0"/>
        <v>0</v>
      </c>
      <c r="F25" s="666">
        <f>'Capital Costs'!E28</f>
        <v>0</v>
      </c>
      <c r="G25" s="657">
        <f t="shared" ca="1" si="1"/>
        <v>0</v>
      </c>
      <c r="H25" s="656">
        <f t="shared" si="2"/>
        <v>0</v>
      </c>
      <c r="I25" s="658"/>
      <c r="J25" s="454"/>
    </row>
    <row r="26" spans="2:10" ht="14" thickBot="1">
      <c r="B26" s="664"/>
      <c r="C26" s="656">
        <f>'Capital Costs'!D29</f>
        <v>0</v>
      </c>
      <c r="D26" s="659"/>
      <c r="E26" s="660">
        <f t="shared" ca="1" si="0"/>
        <v>0</v>
      </c>
      <c r="F26" s="666">
        <f>'Capital Costs'!E29</f>
        <v>0</v>
      </c>
      <c r="G26" s="661">
        <f t="shared" ca="1" si="1"/>
        <v>0</v>
      </c>
      <c r="H26" s="660">
        <f t="shared" si="2"/>
        <v>0</v>
      </c>
      <c r="I26" s="662"/>
      <c r="J26" s="455"/>
    </row>
    <row r="27" spans="2:10" ht="15" thickBot="1">
      <c r="B27" s="448" t="s">
        <v>670</v>
      </c>
      <c r="C27" s="449">
        <f>SUM(C13:C26)</f>
        <v>103070489.39757562</v>
      </c>
      <c r="D27" s="452"/>
      <c r="E27" s="449">
        <f ca="1">SUM(E13:E26)</f>
        <v>103070489.39757562</v>
      </c>
      <c r="F27" s="450"/>
      <c r="G27" s="653">
        <f ca="1">SUM(G13:G26)</f>
        <v>146615339.01696706</v>
      </c>
      <c r="H27" s="667">
        <f>SUM(H13:H26)</f>
        <v>146615339.01696706</v>
      </c>
      <c r="I27" s="317"/>
      <c r="J27" s="453"/>
    </row>
    <row r="28" spans="2:10" ht="14" thickTop="1"/>
    <row r="38" spans="3:3">
      <c r="C38" s="1257"/>
    </row>
  </sheetData>
  <mergeCells count="6">
    <mergeCell ref="D8:F8"/>
    <mergeCell ref="D3:F3"/>
    <mergeCell ref="D5:F5"/>
    <mergeCell ref="D4:F4"/>
    <mergeCell ref="D7:F7"/>
    <mergeCell ref="D6:F6"/>
  </mergeCells>
  <phoneticPr fontId="2" type="noConversion"/>
  <hyperlinks>
    <hyperlink ref="D8" r:id="rId1" xr:uid="{00000000-0004-0000-0600-000000000000}"/>
    <hyperlink ref="D7" r:id="rId2" xr:uid="{00000000-0004-0000-0600-000001000000}"/>
    <hyperlink ref="J22" r:id="rId3" xr:uid="{A10C4E6A-AF87-4F4F-85AB-65B20144CFAC}"/>
    <hyperlink ref="J13:J21" r:id="rId4" display="https://netl.doe.gov/projects/files/QualityGuidelinesforEnergySystemStudiesCapitalCostScalingMethodologyRevision4Report_110719.pdf" xr:uid="{6AAA5A20-7E54-4195-9A34-2EEACF49803C}"/>
  </hyperlinks>
  <pageMargins left="0.75" right="0.75" top="1" bottom="1" header="0.5" footer="0.5"/>
  <pageSetup scale="68" fitToWidth="2" orientation="landscape" r:id="rId5"/>
  <headerFooter alignWithMargins="0">
    <oddHeader>&amp;L&amp;F</oddHeader>
  </headerFooter>
  <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N109"/>
  <sheetViews>
    <sheetView workbookViewId="0">
      <selection activeCell="C31" sqref="C31"/>
    </sheetView>
  </sheetViews>
  <sheetFormatPr baseColWidth="10" defaultColWidth="9.33203125" defaultRowHeight="13"/>
  <cols>
    <col min="1" max="1" width="7.5" style="29" customWidth="1"/>
    <col min="2" max="2" width="72.33203125" style="29" customWidth="1"/>
    <col min="3" max="3" width="15.6640625" style="29" customWidth="1"/>
    <col min="4" max="4" width="19.5" style="29" customWidth="1"/>
    <col min="5" max="5" width="12.33203125" style="29" customWidth="1"/>
    <col min="6" max="6" width="15.6640625" style="29" customWidth="1"/>
    <col min="7" max="7" width="14.6640625" style="29" customWidth="1"/>
    <col min="8" max="8" width="17" style="29" customWidth="1"/>
    <col min="9" max="9" width="17.33203125" style="29" customWidth="1"/>
    <col min="10" max="10" width="23.5" style="29" customWidth="1"/>
    <col min="11" max="11" width="16.33203125" style="29" customWidth="1"/>
    <col min="12" max="12" width="11.5" style="29" bestFit="1" customWidth="1"/>
    <col min="13" max="13" width="12.6640625" style="29" bestFit="1" customWidth="1"/>
    <col min="14" max="14" width="11.5" style="29" bestFit="1" customWidth="1"/>
    <col min="15" max="16384" width="9.33203125" style="29"/>
  </cols>
  <sheetData>
    <row r="1" spans="1:10">
      <c r="A1" s="1050"/>
    </row>
    <row r="2" spans="1:10" ht="22">
      <c r="B2" s="702" t="s">
        <v>398</v>
      </c>
    </row>
    <row r="4" spans="1:10" ht="14">
      <c r="B4" s="1515" t="s">
        <v>388</v>
      </c>
      <c r="C4" s="1515"/>
      <c r="D4" s="1515"/>
      <c r="E4" s="1515"/>
      <c r="F4" s="1515"/>
      <c r="G4" s="1515"/>
      <c r="H4" s="1515"/>
      <c r="I4" s="1515"/>
      <c r="J4" s="1515"/>
    </row>
    <row r="5" spans="1:10" ht="67.5" customHeight="1">
      <c r="B5" s="1516" t="s">
        <v>408</v>
      </c>
      <c r="C5" s="1517"/>
      <c r="D5" s="1517"/>
      <c r="E5" s="1517"/>
      <c r="F5" s="1517"/>
      <c r="G5" s="1517"/>
      <c r="H5" s="1517"/>
      <c r="I5" s="1517"/>
      <c r="J5" s="1517"/>
    </row>
    <row r="6" spans="1:10">
      <c r="B6" s="466"/>
      <c r="C6" s="466"/>
      <c r="D6" s="466"/>
      <c r="E6" s="466"/>
      <c r="F6" s="466"/>
      <c r="G6" s="466"/>
      <c r="H6" s="466"/>
      <c r="I6" s="466"/>
      <c r="J6" s="466"/>
    </row>
    <row r="7" spans="1:10" ht="22">
      <c r="B7" s="703" t="s">
        <v>1064</v>
      </c>
      <c r="C7" s="466"/>
      <c r="D7" s="466"/>
      <c r="E7" s="466"/>
      <c r="F7" s="466"/>
      <c r="G7" s="466"/>
      <c r="H7" s="466"/>
      <c r="I7" s="466"/>
      <c r="J7" s="466"/>
    </row>
    <row r="8" spans="1:10" ht="17">
      <c r="B8" s="704" t="s">
        <v>233</v>
      </c>
      <c r="C8" s="466"/>
      <c r="D8" s="466"/>
      <c r="E8" s="466"/>
      <c r="F8" s="466"/>
      <c r="G8" s="466"/>
      <c r="H8" s="466"/>
      <c r="I8" s="466"/>
      <c r="J8" s="466"/>
    </row>
    <row r="9" spans="1:10">
      <c r="B9" s="466"/>
      <c r="C9" s="466"/>
      <c r="D9" s="466"/>
      <c r="E9" s="466"/>
      <c r="F9" s="466"/>
      <c r="G9" s="466"/>
      <c r="H9" s="466"/>
      <c r="I9" s="466"/>
      <c r="J9" s="466"/>
    </row>
    <row r="10" spans="1:10">
      <c r="B10" s="466"/>
      <c r="C10" s="466"/>
      <c r="D10" s="466"/>
      <c r="E10" s="466"/>
      <c r="F10" s="466"/>
      <c r="G10" s="466"/>
      <c r="H10" s="466"/>
      <c r="I10" s="466"/>
      <c r="J10" s="466"/>
    </row>
    <row r="11" spans="1:10" ht="17">
      <c r="B11" s="704" t="s">
        <v>234</v>
      </c>
      <c r="C11" s="466"/>
      <c r="D11" s="466"/>
      <c r="E11" s="466"/>
      <c r="F11" s="466"/>
      <c r="G11" s="466"/>
      <c r="H11" s="466"/>
      <c r="I11" s="466"/>
      <c r="J11" s="466"/>
    </row>
    <row r="12" spans="1:10">
      <c r="B12" s="466"/>
      <c r="C12" s="466"/>
      <c r="D12" s="466"/>
      <c r="E12" s="466"/>
      <c r="F12" s="466"/>
      <c r="G12" s="466"/>
      <c r="H12" s="466"/>
      <c r="I12" s="466"/>
      <c r="J12" s="466"/>
    </row>
    <row r="13" spans="1:10">
      <c r="B13" s="466"/>
      <c r="C13" s="466"/>
      <c r="D13" s="466"/>
      <c r="E13" s="466"/>
      <c r="F13" s="466"/>
      <c r="G13" s="466"/>
      <c r="H13" s="466"/>
      <c r="I13" s="466"/>
      <c r="J13" s="466"/>
    </row>
    <row r="14" spans="1:10">
      <c r="B14" s="466"/>
      <c r="C14" s="466"/>
      <c r="D14" s="466"/>
      <c r="E14" s="466"/>
      <c r="F14" s="466"/>
      <c r="G14" s="466"/>
      <c r="H14" s="466"/>
      <c r="I14" s="466"/>
      <c r="J14" s="466"/>
    </row>
    <row r="15" spans="1:10" ht="15">
      <c r="B15" s="706" t="s">
        <v>410</v>
      </c>
      <c r="C15" s="466"/>
      <c r="D15" s="466"/>
      <c r="E15" s="466"/>
      <c r="F15" s="466"/>
      <c r="G15" s="466"/>
      <c r="H15" s="466"/>
      <c r="I15" s="466"/>
      <c r="J15" s="466"/>
    </row>
    <row r="16" spans="1:10" ht="15">
      <c r="B16" s="706" t="s">
        <v>423</v>
      </c>
      <c r="C16" s="466"/>
      <c r="D16" s="466"/>
      <c r="E16" s="466"/>
      <c r="F16" s="466"/>
      <c r="G16" s="466"/>
      <c r="H16" s="466"/>
      <c r="I16" s="466"/>
      <c r="J16" s="466"/>
    </row>
    <row r="17" spans="2:14" ht="15">
      <c r="B17" s="706" t="s">
        <v>431</v>
      </c>
      <c r="C17" s="466"/>
      <c r="D17" s="466"/>
      <c r="E17" s="466"/>
      <c r="F17" s="466"/>
      <c r="G17" s="466"/>
      <c r="H17" s="466"/>
      <c r="I17" s="466"/>
      <c r="J17" s="466"/>
    </row>
    <row r="18" spans="2:14" ht="16">
      <c r="B18" s="705"/>
    </row>
    <row r="19" spans="2:14" ht="14" thickBot="1"/>
    <row r="20" spans="2:14" ht="44.25" customHeight="1" thickTop="1">
      <c r="B20" s="1097" t="s">
        <v>409</v>
      </c>
      <c r="C20" s="1098"/>
      <c r="D20" s="1099"/>
      <c r="E20" s="1099"/>
      <c r="F20" s="1100"/>
      <c r="H20" s="1520" t="s">
        <v>817</v>
      </c>
      <c r="I20" s="1521"/>
      <c r="J20" s="1521"/>
      <c r="K20" s="1522"/>
    </row>
    <row r="21" spans="2:14" ht="39" customHeight="1">
      <c r="B21" s="479" t="s">
        <v>952</v>
      </c>
      <c r="C21" s="483">
        <f ca="1">Feed_CO2_MTpY</f>
        <v>1487200</v>
      </c>
      <c r="D21" s="1523" t="s">
        <v>411</v>
      </c>
      <c r="E21" s="1523"/>
      <c r="F21" s="1524"/>
      <c r="H21" s="1511" t="s">
        <v>83</v>
      </c>
      <c r="I21" s="1512"/>
      <c r="J21" s="1101"/>
      <c r="K21" s="1102"/>
    </row>
    <row r="22" spans="2:14" ht="14.25" customHeight="1">
      <c r="B22" s="479" t="s">
        <v>951</v>
      </c>
      <c r="C22" s="484">
        <f ca="1">Feed_CO2_kgpkgH2</f>
        <v>9.3727919252335106</v>
      </c>
      <c r="D22" s="480"/>
      <c r="E22" s="480"/>
      <c r="F22" s="481"/>
      <c r="H22" s="1497" t="s">
        <v>426</v>
      </c>
      <c r="I22" s="1498"/>
      <c r="J22" s="1120" t="e">
        <f ca="1">SUM(C54:C57)</f>
        <v>#VALUE!</v>
      </c>
      <c r="K22" s="1102"/>
    </row>
    <row r="23" spans="2:14" ht="14.25" customHeight="1">
      <c r="B23" s="479" t="s">
        <v>427</v>
      </c>
      <c r="C23" s="1064">
        <f ca="1">Feed_CO2_MTpY/365*CO2_Capture_Efficiency</f>
        <v>0</v>
      </c>
      <c r="D23" s="480"/>
      <c r="E23" s="480"/>
      <c r="F23" s="481"/>
      <c r="H23" s="1497" t="s">
        <v>1229</v>
      </c>
      <c r="I23" s="1498"/>
      <c r="J23" s="1120">
        <f ca="1">C71</f>
        <v>80988.893635198634</v>
      </c>
      <c r="K23" s="1102"/>
      <c r="N23" s="1050"/>
    </row>
    <row r="24" spans="2:14" ht="14.25" customHeight="1">
      <c r="B24" s="479" t="s">
        <v>1282</v>
      </c>
      <c r="C24" s="1060">
        <f ca="1">CO2_flowrate*365/1000000</f>
        <v>0</v>
      </c>
      <c r="D24" s="1061"/>
      <c r="E24" s="1061"/>
      <c r="F24" s="1053"/>
      <c r="H24" s="1497" t="s">
        <v>1232</v>
      </c>
      <c r="I24" s="1498"/>
      <c r="J24" s="1120">
        <f ca="1">SUM(C82:C83)</f>
        <v>0</v>
      </c>
      <c r="K24" s="1102"/>
      <c r="N24" s="1050"/>
    </row>
    <row r="25" spans="2:14" ht="15">
      <c r="B25" s="516" t="s">
        <v>429</v>
      </c>
      <c r="C25" s="517">
        <f ca="1">HLOOKUP(startup_year,INDIRECT(TMP_PriceTable),MATCH("Industrial Electricity",INDIRECT(Energy_Feed_List),0),FALSE)*VLOOKUP("kWh",CC_feedconversion,2,FALSE)</f>
        <v>6.9980611257164108E-2</v>
      </c>
      <c r="D25" s="1525" t="s">
        <v>430</v>
      </c>
      <c r="E25" s="1525"/>
      <c r="F25" s="1526"/>
      <c r="H25" s="1509" t="s">
        <v>1234</v>
      </c>
      <c r="I25" s="1510"/>
      <c r="J25" s="1120">
        <f ca="1">SUM(C93:C95)</f>
        <v>39831626.153846137</v>
      </c>
      <c r="K25" s="1104"/>
      <c r="M25" s="1055"/>
    </row>
    <row r="26" spans="2:14" ht="16" thickBot="1">
      <c r="B26" s="482" t="s">
        <v>996</v>
      </c>
      <c r="C26" s="485">
        <f ca="1">IF(C21=0,0,(pump_power)*cap_factor*24*365/output_kgyear)</f>
        <v>0</v>
      </c>
      <c r="D26" s="1518"/>
      <c r="E26" s="1518"/>
      <c r="F26" s="1519"/>
      <c r="H26" s="1527"/>
      <c r="I26" s="1528"/>
      <c r="J26" s="1123">
        <f>IF(CO2_Capture_Efficiency,SUM(J22:J25),0)</f>
        <v>0</v>
      </c>
      <c r="K26" s="1104" t="str">
        <f>"Total ("&amp;ref_year&amp;"$)"</f>
        <v>Total (2016$)</v>
      </c>
    </row>
    <row r="27" spans="2:14" ht="18.75" customHeight="1" thickTop="1" thickBot="1">
      <c r="H27" s="1497" t="s">
        <v>1093</v>
      </c>
      <c r="I27" s="1498"/>
      <c r="J27" s="1120" t="e">
        <f ca="1">IF(CO2_inUse = "To Use Carbon Sequestration Click 'Link to Detail Sheet' in the Input Sheet Capital Cost Section",0,(J23+J24)/1.2+J25/1.5+J22)</f>
        <v>#VALUE!</v>
      </c>
      <c r="K27" s="1102"/>
    </row>
    <row r="28" spans="2:14" ht="31.5" customHeight="1" thickTop="1" thickBot="1">
      <c r="B28" s="1093" t="s">
        <v>410</v>
      </c>
      <c r="C28" s="1094"/>
      <c r="D28" s="1095"/>
      <c r="E28" s="1095"/>
      <c r="F28" s="1096"/>
      <c r="H28" s="1513"/>
      <c r="I28" s="1514"/>
      <c r="J28" s="1103"/>
      <c r="K28" s="1102"/>
    </row>
    <row r="29" spans="2:14" ht="15">
      <c r="B29" s="1078" t="s">
        <v>1241</v>
      </c>
      <c r="C29" s="1076"/>
      <c r="D29" s="1077"/>
      <c r="E29" s="1077"/>
      <c r="F29" s="1079"/>
      <c r="H29" s="1105"/>
      <c r="I29" s="1106"/>
      <c r="J29" s="1103"/>
      <c r="K29" s="1102"/>
    </row>
    <row r="30" spans="2:14" ht="15">
      <c r="B30" s="1080" t="s">
        <v>995</v>
      </c>
      <c r="C30" s="1127">
        <v>0</v>
      </c>
      <c r="D30" s="1065"/>
      <c r="E30" s="1499" t="s">
        <v>1283</v>
      </c>
      <c r="F30" s="1500"/>
      <c r="H30" s="1511" t="s">
        <v>815</v>
      </c>
      <c r="I30" s="1512"/>
      <c r="J30" s="1103"/>
      <c r="K30" s="1102"/>
    </row>
    <row r="31" spans="2:14" ht="27.5" customHeight="1">
      <c r="B31" s="1080" t="s">
        <v>547</v>
      </c>
      <c r="C31" s="1091">
        <v>14.7</v>
      </c>
      <c r="D31" s="1065"/>
      <c r="E31" s="1507" t="s">
        <v>1238</v>
      </c>
      <c r="F31" s="1508"/>
      <c r="H31" s="1497" t="s">
        <v>424</v>
      </c>
      <c r="I31" s="1498"/>
      <c r="J31" s="1120">
        <f ca="1">C74</f>
        <v>0</v>
      </c>
      <c r="K31" s="1102"/>
    </row>
    <row r="32" spans="2:14" ht="30">
      <c r="B32" s="1080" t="s">
        <v>1213</v>
      </c>
      <c r="C32" s="1066">
        <v>1</v>
      </c>
      <c r="D32" s="1065"/>
      <c r="E32" s="1499"/>
      <c r="F32" s="1501"/>
      <c r="H32" s="1121" t="s">
        <v>425</v>
      </c>
      <c r="I32" s="1122"/>
      <c r="J32" s="1120">
        <v>0</v>
      </c>
      <c r="K32" s="1102"/>
    </row>
    <row r="33" spans="2:11" ht="15">
      <c r="B33" s="1080" t="s">
        <v>1212</v>
      </c>
      <c r="C33" s="1067">
        <v>0.75</v>
      </c>
      <c r="D33" s="1065"/>
      <c r="E33" s="1499"/>
      <c r="F33" s="1501"/>
      <c r="H33" s="1497" t="s">
        <v>426</v>
      </c>
      <c r="I33" s="1498"/>
      <c r="J33" s="1120">
        <v>0</v>
      </c>
      <c r="K33" s="1102"/>
    </row>
    <row r="34" spans="2:11" ht="15">
      <c r="B34" s="1080" t="s">
        <v>1204</v>
      </c>
      <c r="C34" s="1068" t="s">
        <v>23</v>
      </c>
      <c r="D34" s="1065"/>
      <c r="E34" s="1499"/>
      <c r="F34" s="1501"/>
      <c r="H34" s="1513"/>
      <c r="I34" s="1514"/>
      <c r="J34" s="1123">
        <f ca="1">SUM(J31:J33)</f>
        <v>0</v>
      </c>
      <c r="K34" s="1104" t="str">
        <f>"Total ("&amp;ref_year&amp;"$)"</f>
        <v>Total (2016$)</v>
      </c>
    </row>
    <row r="35" spans="2:11" ht="15">
      <c r="B35" s="1080" t="s">
        <v>1206</v>
      </c>
      <c r="C35" s="1068" t="s">
        <v>23</v>
      </c>
      <c r="D35" s="1065"/>
      <c r="E35" s="1499"/>
      <c r="F35" s="1501"/>
      <c r="H35" s="1511" t="s">
        <v>816</v>
      </c>
      <c r="I35" s="1512"/>
      <c r="J35" s="1103"/>
      <c r="K35" s="1102"/>
    </row>
    <row r="36" spans="2:11" ht="15">
      <c r="B36" s="1080" t="s">
        <v>1239</v>
      </c>
      <c r="C36" s="1066">
        <v>100</v>
      </c>
      <c r="D36" s="1065"/>
      <c r="E36" s="1499"/>
      <c r="F36" s="1501"/>
      <c r="H36" s="1497" t="s">
        <v>960</v>
      </c>
      <c r="I36" s="1498"/>
      <c r="J36" s="1120">
        <f ca="1">-Feed_CO2_MTpY*CO2_Capture_Efficiency*CO2_credit</f>
        <v>0</v>
      </c>
      <c r="K36" s="1102"/>
    </row>
    <row r="37" spans="2:11" ht="15">
      <c r="B37" s="1080" t="s">
        <v>1240</v>
      </c>
      <c r="C37" s="1066">
        <v>0</v>
      </c>
      <c r="D37" s="1065"/>
      <c r="E37" s="1499"/>
      <c r="F37" s="1501"/>
      <c r="H37" s="1497" t="s">
        <v>426</v>
      </c>
      <c r="I37" s="1498"/>
      <c r="J37" s="1120">
        <f>+C61</f>
        <v>693420.37890424987</v>
      </c>
      <c r="K37" s="1102"/>
    </row>
    <row r="38" spans="2:11" ht="16" thickBot="1">
      <c r="B38" s="1081" t="s">
        <v>1247</v>
      </c>
      <c r="C38" s="1072" t="e">
        <f ca="1">Pipe_Diameter(CO2_PipeLength,
        C67, C66,
        C37,
        0.5,
        CO2_flowrate,
        CO2_Pipeline_Temp,
        n_CO2_pumps)</f>
        <v>#VALUE!</v>
      </c>
      <c r="D38" s="1073"/>
      <c r="E38" s="1505"/>
      <c r="F38" s="1506"/>
      <c r="H38" s="1497" t="s">
        <v>1229</v>
      </c>
      <c r="I38" s="1498"/>
      <c r="J38" s="1120">
        <f ca="1">C78</f>
        <v>3239.5557454079453</v>
      </c>
      <c r="K38" s="1102"/>
    </row>
    <row r="39" spans="2:11" ht="14">
      <c r="B39" s="1502" t="s">
        <v>1242</v>
      </c>
      <c r="C39" s="1503"/>
      <c r="D39" s="1503"/>
      <c r="E39" s="1503"/>
      <c r="F39" s="1504"/>
      <c r="H39" s="1497" t="s">
        <v>1232</v>
      </c>
      <c r="I39" s="1498"/>
      <c r="J39" s="1120">
        <f ca="1">C86</f>
        <v>0</v>
      </c>
      <c r="K39" s="1102"/>
    </row>
    <row r="40" spans="2:11" ht="15">
      <c r="B40" s="1080" t="s">
        <v>1218</v>
      </c>
      <c r="C40" s="1066">
        <v>53</v>
      </c>
      <c r="D40" s="1065"/>
      <c r="E40" s="1499" t="s">
        <v>1246</v>
      </c>
      <c r="F40" s="1501"/>
      <c r="H40" s="1509" t="s">
        <v>1233</v>
      </c>
      <c r="I40" s="1510"/>
      <c r="J40" s="1124">
        <f ca="1">SUM(C103:C107)</f>
        <v>2016053.2255769228</v>
      </c>
      <c r="K40" s="1102"/>
    </row>
    <row r="41" spans="2:11" ht="35.75" customHeight="1" thickBot="1">
      <c r="B41" s="1081" t="s">
        <v>1219</v>
      </c>
      <c r="C41" s="1074">
        <f>denPRCO2(0.00005,AVERAGE(C66:C67)/MPa_to_psi,CO2_Pipeline_Temp)</f>
        <v>865.79471045444359</v>
      </c>
      <c r="D41" s="1073"/>
      <c r="E41" s="1537" t="s">
        <v>1220</v>
      </c>
      <c r="F41" s="1538"/>
      <c r="H41" s="1511"/>
      <c r="I41" s="1512"/>
      <c r="J41" s="1123">
        <f>IF(CO2_Capture_Efficiency&gt;0,SUM(J36:J40),0)</f>
        <v>0</v>
      </c>
      <c r="K41" s="1104" t="str">
        <f>"Total  ("&amp;ref_year&amp;"$)"</f>
        <v>Total  (2016$)</v>
      </c>
    </row>
    <row r="42" spans="2:11" ht="14">
      <c r="B42" s="1502" t="s">
        <v>1243</v>
      </c>
      <c r="C42" s="1503"/>
      <c r="D42" s="1503"/>
      <c r="E42" s="1503"/>
      <c r="F42" s="1504"/>
      <c r="H42" s="1105"/>
      <c r="I42" s="1106"/>
      <c r="J42" s="1103"/>
      <c r="K42" s="1102"/>
    </row>
    <row r="43" spans="2:11" ht="14.75" customHeight="1">
      <c r="B43" s="1080" t="s">
        <v>958</v>
      </c>
      <c r="C43" s="1069">
        <v>0</v>
      </c>
      <c r="D43" s="1065"/>
      <c r="E43" s="1071"/>
      <c r="F43" s="1082"/>
      <c r="H43" s="1497" t="s">
        <v>824</v>
      </c>
      <c r="I43" s="1498"/>
      <c r="J43" s="1123">
        <f>Det_CO2_seq*tax_ins_rate</f>
        <v>0</v>
      </c>
      <c r="K43" s="1104" t="str">
        <f>+K41</f>
        <v>Total  (2016$)</v>
      </c>
    </row>
    <row r="44" spans="2:11" ht="15" customHeight="1" thickBot="1">
      <c r="B44" s="1081" t="s">
        <v>1207</v>
      </c>
      <c r="C44" s="1075">
        <v>0.04</v>
      </c>
      <c r="D44" s="1073"/>
      <c r="E44" s="1539"/>
      <c r="F44" s="1540"/>
      <c r="H44" s="1107"/>
      <c r="I44" s="1108"/>
      <c r="J44" s="1109"/>
      <c r="K44" s="1110"/>
    </row>
    <row r="45" spans="2:11" ht="15" customHeight="1">
      <c r="B45" s="1502" t="s">
        <v>1244</v>
      </c>
      <c r="C45" s="1503"/>
      <c r="D45" s="1503"/>
      <c r="E45" s="1503"/>
      <c r="F45" s="1504"/>
      <c r="H45" s="1531" t="s">
        <v>1235</v>
      </c>
      <c r="I45" s="1532"/>
      <c r="J45" s="1532"/>
      <c r="K45" s="1125" t="e">
        <f ca="1">ROUND(CO2_eCostpY/(Feed_CO2_MTpY*CO2_Capture_Efficiency),1)</f>
        <v>#DIV/0!</v>
      </c>
    </row>
    <row r="46" spans="2:11" ht="15" customHeight="1">
      <c r="B46" s="1080" t="s">
        <v>66</v>
      </c>
      <c r="C46" s="1070">
        <f ca="1">(real_irr*(1+real_irr)^anal_period)/(((real_irr+1)^anal_period)-1)</f>
        <v>8.3860161500585326E-2</v>
      </c>
      <c r="D46" s="1065"/>
      <c r="E46" s="1499"/>
      <c r="F46" s="1501"/>
      <c r="H46" s="1497" t="s">
        <v>1236</v>
      </c>
      <c r="I46" s="1498"/>
      <c r="J46" s="1498"/>
      <c r="K46" s="1126" t="e">
        <f ca="1">ROUND((Det_CO2_OandMcost+ CCS_tax_insurance)/(Feed_CO2_MTpY*CO2_Capture_Efficiency),1)</f>
        <v>#DIV/0!</v>
      </c>
    </row>
    <row r="47" spans="2:11" ht="15" customHeight="1" thickBot="1">
      <c r="B47" s="1080" t="s">
        <v>0</v>
      </c>
      <c r="C47" s="1070">
        <f ca="1">INDEX(MACRS_Table,MATCH("NPV - Real IRR",recovery_year,0),MATCH(depr_length,recovery_period,0))*(1+real_irr)</f>
        <v>0.54674112188719604</v>
      </c>
      <c r="D47" s="1065"/>
      <c r="E47" s="1499"/>
      <c r="F47" s="1501"/>
      <c r="H47" s="1535" t="s">
        <v>1237</v>
      </c>
      <c r="I47" s="1536"/>
      <c r="J47" s="1536"/>
      <c r="K47" s="1129" t="e">
        <f ca="1">ROUND((Det_CO2_seq+(-PV(nominal_irr,plant_life,C100)*(1+nominal_irr)))*CO2_cap_charge_rate/(Feed_CO2_MTpY*CO2_Capture_Efficiency),1)</f>
        <v>#DIV/0!</v>
      </c>
    </row>
    <row r="48" spans="2:11" ht="15" customHeight="1" thickTop="1" thickBot="1">
      <c r="B48" s="1083" t="s">
        <v>1</v>
      </c>
      <c r="C48" s="1092">
        <f ca="1">(CO2_cap_rec*(1-total_tax_rate*CO2_depr_factor))/(1-total_tax_rate)</f>
        <v>9.7035312812405017E-2</v>
      </c>
      <c r="D48" s="1084"/>
      <c r="E48" s="1533"/>
      <c r="F48" s="1534"/>
      <c r="H48" s="1529" t="s">
        <v>1284</v>
      </c>
      <c r="I48" s="1530"/>
      <c r="J48" s="1530"/>
      <c r="K48" s="1128" t="e">
        <f ca="1">SUM(K45:K47)</f>
        <v>#DIV/0!</v>
      </c>
    </row>
    <row r="49" spans="2:11" ht="15" thickTop="1" thickBot="1"/>
    <row r="50" spans="2:11" ht="20" thickTop="1">
      <c r="B50" s="478" t="s">
        <v>1217</v>
      </c>
      <c r="C50" s="486"/>
      <c r="D50" s="486"/>
      <c r="E50" s="486"/>
      <c r="F50" s="486"/>
      <c r="G50" s="486"/>
      <c r="H50" s="486"/>
      <c r="I50" s="486"/>
      <c r="J50" s="486"/>
      <c r="K50" s="487"/>
    </row>
    <row r="51" spans="2:11" ht="14" customHeight="1">
      <c r="B51" s="32" t="str">
        <f>"CO2 Pipeline Costs ("&amp;ref_year&amp;" USD)"</f>
        <v>CO2 Pipeline Costs (2016 USD)</v>
      </c>
      <c r="D51" s="436" t="s">
        <v>1046</v>
      </c>
      <c r="E51" s="1085" t="s">
        <v>1245</v>
      </c>
      <c r="K51" s="488"/>
    </row>
    <row r="52" spans="2:11" ht="12.5" customHeight="1">
      <c r="B52" s="1048" t="s">
        <v>1231</v>
      </c>
      <c r="K52" s="488"/>
    </row>
    <row r="53" spans="2:11" ht="12.5" customHeight="1">
      <c r="B53" s="1111" t="s">
        <v>1203</v>
      </c>
      <c r="C53" s="1112" t="e">
        <f ca="1">IF(CO2_PipeDia&gt;20,1.25, IF(CO2_PipeDia&gt;16,1.18,IF(CO2_PipeDia&gt;12,1.12,1)))</f>
        <v>#VALUE!</v>
      </c>
      <c r="D53" s="1113"/>
      <c r="E53" s="1090" t="s">
        <v>1268</v>
      </c>
      <c r="K53" s="488"/>
    </row>
    <row r="54" spans="2:11" ht="12.5" customHeight="1">
      <c r="B54" s="1111" t="s">
        <v>1254</v>
      </c>
      <c r="C54" s="1114" t="e">
        <f ca="1">(35000+CO2_PipeLength*(330.5*CO2_PipeDia^2+687*CO2_PipeDia+26960))*NG_to_CO2Pipeline*VLOOKUP(ref_year,Tbl_PlantCostIndexes,2)/VLOOKUP(2000,Tbl_PlantCostIndexes,2)</f>
        <v>#VALUE!</v>
      </c>
      <c r="D54" s="1115" t="str">
        <f>ref_year&amp;"$"</f>
        <v>2016$</v>
      </c>
      <c r="E54" s="1090" t="s">
        <v>1274</v>
      </c>
      <c r="K54" s="488"/>
    </row>
    <row r="55" spans="2:11" ht="12.5" customHeight="1">
      <c r="B55" s="1111" t="s">
        <v>1264</v>
      </c>
      <c r="C55" s="1114" t="e">
        <f ca="1">(185000+CO2_PipeLength*(343*CO2_PipeDia^2+2074*CO2_PipeDia+170013))*NG_to_CO2Pipeline*VLOOKUP(ref_year,Tbl_labor_indexes,2)/VLOOKUP(2000,Tbl_labor_indexes,2)</f>
        <v>#VALUE!</v>
      </c>
      <c r="D55" s="1115" t="str">
        <f>ref_year&amp;"$"</f>
        <v>2016$</v>
      </c>
      <c r="E55" s="1090" t="s">
        <v>1275</v>
      </c>
      <c r="K55" s="488"/>
    </row>
    <row r="56" spans="2:11" ht="12.5" customHeight="1">
      <c r="B56" s="1111" t="s">
        <v>1263</v>
      </c>
      <c r="C56" s="1114" t="e">
        <f ca="1">(40000+CO2_PipeLength*(0*CO2_PipeDia^2+577*CO2_PipeDia+29788))*NG_to_CO2Pipeline*(VLOOKUP(ref_year,DeflatorTable,2)/VLOOKUP(2000,DeflatorTable,2))</f>
        <v>#VALUE!</v>
      </c>
      <c r="D56" s="1115" t="str">
        <f>ref_year&amp;"$"</f>
        <v>2016$</v>
      </c>
      <c r="E56" s="1090" t="s">
        <v>1276</v>
      </c>
      <c r="K56" s="488"/>
    </row>
    <row r="57" spans="2:11" ht="12.5" customHeight="1">
      <c r="B57" s="1111" t="s">
        <v>1262</v>
      </c>
      <c r="C57" s="1114" t="e">
        <f ca="1">(95000+CO2_PipeLength*(0*CO2_PipeDia^2+8417*CO2_PipeDia+7324))*NG_to_CO2Pipeline*VLOOKUP(ref_year,DeflatorTable,2)/VLOOKUP(2000,DeflatorTable,2)</f>
        <v>#VALUE!</v>
      </c>
      <c r="D57" s="1115" t="str">
        <f>ref_year&amp;"$"</f>
        <v>2016$</v>
      </c>
      <c r="E57" s="1090" t="s">
        <v>1277</v>
      </c>
      <c r="K57" s="488"/>
    </row>
    <row r="58" spans="2:11" ht="12.5" customHeight="1">
      <c r="B58" s="1111" t="s">
        <v>1265</v>
      </c>
      <c r="C58" s="1114" t="e">
        <f ca="1">SUM(C54:C57)/CO2_PipeLength</f>
        <v>#VALUE!</v>
      </c>
      <c r="D58" s="1115" t="str">
        <f>ref_year&amp;"$/mile"</f>
        <v>2016$/mile</v>
      </c>
      <c r="E58" s="1050"/>
      <c r="K58" s="488"/>
    </row>
    <row r="59" spans="2:11" ht="12.5" customHeight="1">
      <c r="B59" s="1046"/>
      <c r="C59" s="1057"/>
      <c r="E59" s="1050"/>
      <c r="K59" s="488"/>
    </row>
    <row r="60" spans="2:11" ht="12.5" customHeight="1">
      <c r="B60" s="1048" t="s">
        <v>414</v>
      </c>
      <c r="C60" s="1057"/>
      <c r="E60" s="1050"/>
      <c r="K60" s="488"/>
    </row>
    <row r="61" spans="2:11" ht="12.5" customHeight="1">
      <c r="B61" s="1111" t="s">
        <v>1261</v>
      </c>
      <c r="C61" s="1114">
        <f>5000*CO2_PipeLength*(VLOOKUP(ref_year,Tbl_PlantCostIndexes,2)/VLOOKUP(1999,Tbl_PlantCostIndexes,2))</f>
        <v>693420.37890424987</v>
      </c>
      <c r="D61" s="1115" t="str">
        <f>ref_year&amp;"$/year"</f>
        <v>2016$/year</v>
      </c>
      <c r="E61" s="1051" t="s">
        <v>1278</v>
      </c>
      <c r="K61" s="488"/>
    </row>
    <row r="62" spans="2:11" ht="12.5" customHeight="1">
      <c r="B62" s="1046"/>
      <c r="E62" s="1050"/>
      <c r="K62" s="488"/>
    </row>
    <row r="63" spans="2:11" ht="12.5" customHeight="1">
      <c r="B63" s="1046"/>
      <c r="E63" s="1050"/>
      <c r="K63" s="488"/>
    </row>
    <row r="64" spans="2:11" ht="14" customHeight="1">
      <c r="B64" s="32" t="s">
        <v>1202</v>
      </c>
      <c r="E64" s="1050"/>
      <c r="K64" s="488"/>
    </row>
    <row r="65" spans="2:11" ht="12.5" customHeight="1">
      <c r="B65" s="1048" t="s">
        <v>83</v>
      </c>
      <c r="E65" s="1050"/>
      <c r="K65" s="488"/>
    </row>
    <row r="66" spans="2:11" ht="12.5" customHeight="1">
      <c r="B66" s="1111" t="s">
        <v>1208</v>
      </c>
      <c r="C66" s="1116">
        <f>CO2_Pin_psia</f>
        <v>14.7</v>
      </c>
      <c r="D66" s="1115" t="s">
        <v>1210</v>
      </c>
      <c r="E66" s="1050"/>
      <c r="K66" s="488"/>
    </row>
    <row r="67" spans="2:11" ht="12.5" customHeight="1">
      <c r="B67" s="1111" t="s">
        <v>1209</v>
      </c>
      <c r="C67" s="1116">
        <f>15*MPa_to_psi</f>
        <v>2175.5700000000002</v>
      </c>
      <c r="D67" s="1115" t="s">
        <v>1210</v>
      </c>
      <c r="E67" s="1050"/>
      <c r="K67" s="488"/>
    </row>
    <row r="68" spans="2:11" ht="15">
      <c r="B68" s="1111" t="s">
        <v>1211</v>
      </c>
      <c r="C68" s="1116">
        <f ca="1">(1000*1000000*0.001/ (24*3600))*(CO2_flowrate/cap_factor*(C67-C66)/MPa_to_psi)/(C41*Pump_Eff)</f>
        <v>0</v>
      </c>
      <c r="D68" s="1115" t="s">
        <v>412</v>
      </c>
      <c r="E68" s="1051" t="s">
        <v>1271</v>
      </c>
      <c r="K68" s="488"/>
    </row>
    <row r="69" spans="2:11" ht="12.5" customHeight="1">
      <c r="B69" s="1111" t="s">
        <v>1257</v>
      </c>
      <c r="C69" s="1114">
        <f>70000*VLOOKUP(ref_year,Tbl_PlantCostIndexes,2)/VLOOKUP(2005,Tbl_PlantCostIndexes,2)</f>
        <v>80988.893635198634</v>
      </c>
      <c r="D69" s="1115" t="str">
        <f>ref_year&amp;"$"</f>
        <v>2016$</v>
      </c>
      <c r="E69" s="1051" t="s">
        <v>1272</v>
      </c>
      <c r="K69" s="488"/>
    </row>
    <row r="70" spans="2:11" ht="12.5" customHeight="1">
      <c r="B70" s="1111" t="s">
        <v>1258</v>
      </c>
      <c r="C70" s="1114">
        <f ca="1">1110*C68*VLOOKUP(ref_year,Tbl_PlantCostIndexes,2)/VLOOKUP(2005,Tbl_PlantCostIndexes,2)</f>
        <v>0</v>
      </c>
      <c r="D70" s="1115" t="str">
        <f>ref_year&amp;"$"</f>
        <v>2016$</v>
      </c>
      <c r="E70" s="1051" t="s">
        <v>1270</v>
      </c>
      <c r="K70" s="488"/>
    </row>
    <row r="71" spans="2:11" ht="12.5" customHeight="1">
      <c r="B71" s="1111" t="s">
        <v>1267</v>
      </c>
      <c r="C71" s="1114">
        <f ca="1">SUM(C69:C70)</f>
        <v>80988.893635198634</v>
      </c>
      <c r="D71" s="1115" t="str">
        <f>ref_year&amp;"$"</f>
        <v>2016$</v>
      </c>
      <c r="E71" s="1090" t="s">
        <v>1269</v>
      </c>
      <c r="K71" s="488"/>
    </row>
    <row r="72" spans="2:11" ht="12.5" customHeight="1">
      <c r="B72" s="1047"/>
      <c r="C72" s="1052"/>
      <c r="D72" s="1050"/>
      <c r="E72" s="1050"/>
      <c r="K72" s="488"/>
    </row>
    <row r="73" spans="2:11" ht="12.5" customHeight="1">
      <c r="B73" s="1048" t="s">
        <v>1214</v>
      </c>
      <c r="D73" s="1050"/>
      <c r="E73" s="1050"/>
      <c r="K73" s="488"/>
    </row>
    <row r="74" spans="2:11" ht="12.5" customHeight="1">
      <c r="B74" s="1111" t="s">
        <v>1216</v>
      </c>
      <c r="C74" s="1114">
        <f ca="1">CO2_eCost*pump_power*cap_factor*24*365*n_CO2_pumps</f>
        <v>0</v>
      </c>
      <c r="D74" s="1113" t="str">
        <f>startup_year&amp;"$/year"</f>
        <v>2015$/year</v>
      </c>
      <c r="E74" s="1051" t="s">
        <v>1215</v>
      </c>
      <c r="K74" s="488"/>
    </row>
    <row r="75" spans="2:11" ht="12.5" customHeight="1">
      <c r="B75" s="1111" t="s">
        <v>1255</v>
      </c>
      <c r="C75" s="1117">
        <f ca="1">pump_power*cap_factor*24*365*n_CO2_pumps/output_kgyear</f>
        <v>0</v>
      </c>
      <c r="D75" s="1118" t="s">
        <v>1256</v>
      </c>
      <c r="K75" s="488"/>
    </row>
    <row r="76" spans="2:11" ht="12.5" customHeight="1">
      <c r="B76" s="1046"/>
      <c r="K76" s="488"/>
    </row>
    <row r="77" spans="2:11" ht="12.5" customHeight="1">
      <c r="B77" s="1048" t="s">
        <v>414</v>
      </c>
      <c r="K77" s="488"/>
    </row>
    <row r="78" spans="2:11" ht="12.5" customHeight="1">
      <c r="B78" s="1111" t="s">
        <v>1259</v>
      </c>
      <c r="C78" s="1119">
        <f ca="1">C71*CO2_MaintFactor</f>
        <v>3239.5557454079453</v>
      </c>
      <c r="D78" s="1115" t="str">
        <f>ref_year&amp;"$/year"</f>
        <v>2016$/year</v>
      </c>
      <c r="K78" s="488"/>
    </row>
    <row r="79" spans="2:11" ht="12.5" customHeight="1">
      <c r="B79" s="1046"/>
      <c r="K79" s="488"/>
    </row>
    <row r="80" spans="2:11" ht="15" customHeight="1">
      <c r="B80" s="32" t="s">
        <v>1205</v>
      </c>
      <c r="K80" s="488"/>
    </row>
    <row r="81" spans="2:11" ht="12.5" customHeight="1">
      <c r="B81" s="1048" t="s">
        <v>83</v>
      </c>
      <c r="K81" s="488"/>
    </row>
    <row r="82" spans="2:11" ht="12.5" customHeight="1">
      <c r="B82" s="1111" t="s">
        <v>1206</v>
      </c>
      <c r="C82" s="1114">
        <f ca="1">IF(C35="yes",701600*(CO2_flowrate_GTpY/3.2)^Scaling_Factor_Exponent*(VLOOKUP(ref_year,Tbl_PlantCostIndexes,2)/VLOOKUP(2000,Tbl_PlantCostIndexes,2)),0)</f>
        <v>0</v>
      </c>
      <c r="D82" s="1115" t="str">
        <f>ref_year&amp;"$"</f>
        <v>2016$</v>
      </c>
      <c r="E82" s="1051" t="s">
        <v>1273</v>
      </c>
      <c r="K82" s="488"/>
    </row>
    <row r="83" spans="2:11" ht="12.5" customHeight="1">
      <c r="B83" s="1111" t="s">
        <v>1260</v>
      </c>
      <c r="C83" s="1114">
        <f ca="1">IF(C34="yes",94000*(CO2_flowrate_GTpY/3.2)^Scaling_Factor_Exponent*(VLOOKUP(ref_year,Tbl_PlantCostIndexes,2)/VLOOKUP(2000,Tbl_PlantCostIndexes,2)),0)</f>
        <v>0</v>
      </c>
      <c r="D83" s="1115" t="str">
        <f>ref_year&amp;"$"</f>
        <v>2016$</v>
      </c>
      <c r="E83" s="1051" t="s">
        <v>1273</v>
      </c>
      <c r="K83" s="488"/>
    </row>
    <row r="84" spans="2:11" ht="12.5" customHeight="1">
      <c r="B84" s="1047"/>
      <c r="K84" s="488"/>
    </row>
    <row r="85" spans="2:11" ht="12.5" customHeight="1">
      <c r="B85" s="1048" t="s">
        <v>414</v>
      </c>
      <c r="K85" s="488"/>
    </row>
    <row r="86" spans="2:11" ht="12.5" customHeight="1">
      <c r="B86" s="1111" t="s">
        <v>1259</v>
      </c>
      <c r="C86" s="1114">
        <f ca="1">SUM(C82:C83)*CO2_MaintFactor</f>
        <v>0</v>
      </c>
      <c r="D86" s="1115" t="str">
        <f>ref_year&amp;"$/year"</f>
        <v>2016$/year</v>
      </c>
      <c r="K86" s="488"/>
    </row>
    <row r="87" spans="2:11" ht="12.5" customHeight="1" thickBot="1">
      <c r="B87" s="1054"/>
      <c r="C87" s="489"/>
      <c r="D87" s="489"/>
      <c r="E87" s="489"/>
      <c r="F87" s="489"/>
      <c r="G87" s="489"/>
      <c r="H87" s="489"/>
      <c r="I87" s="489"/>
      <c r="J87" s="489"/>
      <c r="K87" s="490"/>
    </row>
    <row r="88" spans="2:11" ht="12.5" customHeight="1" thickTop="1" thickBot="1">
      <c r="B88" s="1049"/>
    </row>
    <row r="89" spans="2:11" ht="21" customHeight="1" thickTop="1">
      <c r="B89" s="478" t="s">
        <v>1225</v>
      </c>
      <c r="C89" s="486"/>
      <c r="D89" s="486"/>
      <c r="E89" s="486"/>
      <c r="F89" s="486"/>
      <c r="G89" s="486"/>
      <c r="H89" s="486"/>
      <c r="I89" s="486"/>
      <c r="J89" s="486"/>
      <c r="K89" s="487"/>
    </row>
    <row r="90" spans="2:11" ht="12.5" customHeight="1">
      <c r="B90" s="32" t="s">
        <v>1230</v>
      </c>
      <c r="D90" s="436" t="s">
        <v>1046</v>
      </c>
      <c r="E90" s="1085" t="s">
        <v>1245</v>
      </c>
      <c r="K90" s="488"/>
    </row>
    <row r="91" spans="2:11" ht="14" hidden="1">
      <c r="B91" s="1047" t="s">
        <v>1228</v>
      </c>
      <c r="C91" s="491">
        <f>VLOOKUP(2005,DeflatorTable,2)/VLOOKUP(2008,DeflatorTable,2)</f>
        <v>0.92667002038709001</v>
      </c>
      <c r="K91" s="488"/>
    </row>
    <row r="92" spans="2:11" ht="12.5" customHeight="1">
      <c r="B92" s="1048" t="str">
        <f>"Capital Costs by Stage (Annual Cost of "&amp;plant_life&amp;" year project in "&amp;ref_year&amp;"$)"</f>
        <v>Capital Costs by Stage (Annual Cost of 40 year project in 2016$)</v>
      </c>
      <c r="E92" s="1051" t="s">
        <v>1281</v>
      </c>
      <c r="K92" s="488"/>
    </row>
    <row r="93" spans="2:11" ht="12.5" customHeight="1">
      <c r="B93" s="1111" t="s">
        <v>1221</v>
      </c>
      <c r="C93" s="1114">
        <f>94000*VLOOKUP(ref_year,Tbl_labor_indexes,2)/VLOOKUP(2008,Tbl_labor_indexes,2)</f>
        <v>109497.94871794869</v>
      </c>
      <c r="D93" s="1115" t="str">
        <f>ref_year&amp;"$"</f>
        <v>2016$</v>
      </c>
      <c r="K93" s="488"/>
    </row>
    <row r="94" spans="2:11" ht="12.5" customHeight="1">
      <c r="B94" s="1111" t="s">
        <v>1222</v>
      </c>
      <c r="C94" s="1114">
        <f ca="1">(-16600*CO2_flowrate_GTpY^2+53500*CO2_flowrate_GTpY+20300)*1000*VLOOKUP(ref_year,Tbl_labor_indexes,2)/VLOOKUP(2008,Tbl_labor_indexes,2)</f>
        <v>23646897.435897429</v>
      </c>
      <c r="D94" s="1115" t="str">
        <f>ref_year&amp;"$"</f>
        <v>2016$</v>
      </c>
      <c r="K94" s="488"/>
    </row>
    <row r="95" spans="2:11" ht="12.5" customHeight="1">
      <c r="B95" s="1111" t="s">
        <v>169</v>
      </c>
      <c r="C95" s="1114">
        <f ca="1" xml:space="preserve"> (-400*CO2_flowrate_GTpY^2 + 2200*CO2_flowrate_GTpY + 13800)*1000*VLOOKUP(ref_year,Tbl_labor_indexes,2)/VLOOKUP(2008,Tbl_labor_indexes,2)</f>
        <v>16075230.769230762</v>
      </c>
      <c r="D95" s="1115" t="str">
        <f>ref_year&amp;"$"</f>
        <v>2016$</v>
      </c>
      <c r="K95" s="488"/>
    </row>
    <row r="96" spans="2:11" ht="12.5" customHeight="1">
      <c r="B96" s="1047"/>
      <c r="C96" s="1062"/>
      <c r="K96" s="488"/>
    </row>
    <row r="97" spans="2:11" ht="12.5" customHeight="1">
      <c r="B97" s="1048" t="s">
        <v>1253</v>
      </c>
      <c r="C97" s="1062"/>
      <c r="E97" s="1051"/>
      <c r="K97" s="488"/>
    </row>
    <row r="98" spans="2:11" ht="12.5" customHeight="1">
      <c r="B98" s="1111" t="s">
        <v>1279</v>
      </c>
      <c r="C98" s="1114">
        <f ca="1">(-36000*CO2_flowrate_GTpY^2+224000*CO2_flowrate_GTpY+47000)*1000*(VLOOKUP(ref_year,Tbl_labor_indexes,2)/VLOOKUP(2008,Tbl_labor_indexes,2))/plant_life</f>
        <v>1368724.3589743585</v>
      </c>
      <c r="D98" s="1115" t="str">
        <f>ref_year&amp;"$/year"</f>
        <v>2016$/year</v>
      </c>
      <c r="K98" s="488"/>
    </row>
    <row r="99" spans="2:11" ht="12.5" customHeight="1">
      <c r="B99" s="1111" t="s">
        <v>1224</v>
      </c>
      <c r="C99" s="1114">
        <f ca="1">(-18000*CO2_flowrate_GTpY^2 + 183000*CO2_flowrate_GTpY+ 40000)*1000*(VLOOKUP(ref_year,Tbl_labor_indexes,2)/VLOOKUP(2008,Tbl_labor_indexes,2))/plant_life</f>
        <v>1164871.7948717945</v>
      </c>
      <c r="D99" s="1115" t="str">
        <f>ref_year&amp;"$/year"</f>
        <v>2016$/year</v>
      </c>
      <c r="K99" s="488"/>
    </row>
    <row r="100" spans="2:11" ht="12.5" customHeight="1">
      <c r="B100" s="1111" t="s">
        <v>1280</v>
      </c>
      <c r="C100" s="1130">
        <f>+IF(CO2_Capture_Efficiency,SUM(C98:C99),0)</f>
        <v>0</v>
      </c>
      <c r="D100" s="1115" t="str">
        <f>ref_year&amp;"$/year"</f>
        <v>2016$/year</v>
      </c>
      <c r="K100" s="488"/>
    </row>
    <row r="101" spans="2:11" ht="12.5" customHeight="1">
      <c r="B101" s="1048"/>
      <c r="C101" s="1062"/>
      <c r="K101" s="488"/>
    </row>
    <row r="102" spans="2:11" ht="12.5" customHeight="1">
      <c r="B102" s="1048" t="s">
        <v>1226</v>
      </c>
      <c r="C102" s="1062"/>
      <c r="E102" s="1051"/>
      <c r="K102" s="488"/>
    </row>
    <row r="103" spans="2:11" ht="12.5" customHeight="1">
      <c r="B103" s="1111" t="s">
        <v>1221</v>
      </c>
      <c r="C103" s="1114">
        <f>0*(VLOOKUP(ref_year,Tbl_labor_indexes,2)/VLOOKUP(2008,Tbl_labor_indexes,2))</f>
        <v>0</v>
      </c>
      <c r="D103" s="1115" t="str">
        <f>ref_year&amp;"$/year"</f>
        <v>2016$/year</v>
      </c>
      <c r="K103" s="488"/>
    </row>
    <row r="104" spans="2:11" ht="12.5" customHeight="1">
      <c r="B104" s="1111" t="s">
        <v>1222</v>
      </c>
      <c r="C104" s="1114">
        <f>395000*(VLOOKUP(ref_year,Tbl_labor_indexes,2)/VLOOKUP(2008,Tbl_labor_indexes,2))/plant_life</f>
        <v>11503.108974358973</v>
      </c>
      <c r="D104" s="1115" t="str">
        <f>ref_year&amp;"$/year"</f>
        <v>2016$/year</v>
      </c>
      <c r="K104" s="488"/>
    </row>
    <row r="105" spans="2:11" ht="12.5" customHeight="1">
      <c r="B105" s="1111" t="s">
        <v>169</v>
      </c>
      <c r="C105" s="1114">
        <f>100000*(VLOOKUP(ref_year,Tbl_labor_indexes,2)/VLOOKUP(2008,Tbl_labor_indexes,2))/plant_life</f>
        <v>2912.1794871794864</v>
      </c>
      <c r="D105" s="1115" t="str">
        <f>ref_year&amp;"$/year"</f>
        <v>2016$/year</v>
      </c>
      <c r="K105" s="488"/>
    </row>
    <row r="106" spans="2:11" ht="12.5" customHeight="1">
      <c r="B106" s="1111" t="s">
        <v>1223</v>
      </c>
      <c r="C106" s="1114">
        <f ca="1" xml:space="preserve"> (-30000*CO2_flowrate_GTpY^2 + 143000*CO2_flowrate_GTpY + 41000)*1000*(VLOOKUP(ref_year,Tbl_labor_indexes,2)/VLOOKUP(2008,Tbl_labor_indexes,2))/plant_life</f>
        <v>1193993.5897435895</v>
      </c>
      <c r="D106" s="1115" t="str">
        <f>ref_year&amp;"$/year"</f>
        <v>2016$/year</v>
      </c>
      <c r="K106" s="488"/>
    </row>
    <row r="107" spans="2:11" ht="12.5" customHeight="1">
      <c r="B107" s="1111" t="s">
        <v>1224</v>
      </c>
      <c r="C107" s="1114">
        <f ca="1">(111200*CO2_flowrate_GTpY+27733.33)*1000*(VLOOKUP(ref_year,Tbl_labor_indexes,2)/VLOOKUP(2008,Tbl_labor_indexes,2))/plant_life</f>
        <v>807644.34737179463</v>
      </c>
      <c r="D107" s="1115" t="str">
        <f>ref_year&amp;"$/year"</f>
        <v>2016$/year</v>
      </c>
      <c r="K107" s="488"/>
    </row>
    <row r="108" spans="2:11" ht="12.5" customHeight="1" thickBot="1">
      <c r="B108" s="1054"/>
      <c r="C108" s="489"/>
      <c r="D108" s="489"/>
      <c r="E108" s="489"/>
      <c r="F108" s="489"/>
      <c r="G108" s="489"/>
      <c r="H108" s="489"/>
      <c r="I108" s="489"/>
      <c r="J108" s="489"/>
      <c r="K108" s="490"/>
    </row>
    <row r="109" spans="2:11" ht="12.5" customHeight="1" thickTop="1">
      <c r="B109" s="1049"/>
      <c r="C109" s="1063"/>
      <c r="D109" s="1050"/>
    </row>
  </sheetData>
  <mergeCells count="48">
    <mergeCell ref="E47:F47"/>
    <mergeCell ref="H48:J48"/>
    <mergeCell ref="H45:J45"/>
    <mergeCell ref="E48:F48"/>
    <mergeCell ref="H41:I41"/>
    <mergeCell ref="H43:I43"/>
    <mergeCell ref="H47:J47"/>
    <mergeCell ref="E41:F41"/>
    <mergeCell ref="E46:F46"/>
    <mergeCell ref="E44:F44"/>
    <mergeCell ref="B4:J4"/>
    <mergeCell ref="B5:J5"/>
    <mergeCell ref="H30:I30"/>
    <mergeCell ref="H21:I21"/>
    <mergeCell ref="H22:I22"/>
    <mergeCell ref="D26:F26"/>
    <mergeCell ref="H28:I28"/>
    <mergeCell ref="H20:K20"/>
    <mergeCell ref="H23:I23"/>
    <mergeCell ref="D21:F21"/>
    <mergeCell ref="D25:F25"/>
    <mergeCell ref="H24:I24"/>
    <mergeCell ref="H26:I26"/>
    <mergeCell ref="H25:I25"/>
    <mergeCell ref="H27:I27"/>
    <mergeCell ref="E33:F33"/>
    <mergeCell ref="H46:J46"/>
    <mergeCell ref="H38:I38"/>
    <mergeCell ref="H40:I40"/>
    <mergeCell ref="H35:I35"/>
    <mergeCell ref="H39:I39"/>
    <mergeCell ref="H34:I34"/>
    <mergeCell ref="H31:I31"/>
    <mergeCell ref="H37:I37"/>
    <mergeCell ref="E30:F30"/>
    <mergeCell ref="E34:F34"/>
    <mergeCell ref="B45:F45"/>
    <mergeCell ref="B42:F42"/>
    <mergeCell ref="B39:F39"/>
    <mergeCell ref="E32:F32"/>
    <mergeCell ref="E40:F40"/>
    <mergeCell ref="E38:F38"/>
    <mergeCell ref="E37:F37"/>
    <mergeCell ref="E36:F36"/>
    <mergeCell ref="E35:F35"/>
    <mergeCell ref="E31:F31"/>
    <mergeCell ref="H36:I36"/>
    <mergeCell ref="H33:I33"/>
  </mergeCells>
  <phoneticPr fontId="2" type="noConversion"/>
  <dataValidations disablePrompts="1" count="1">
    <dataValidation type="list" allowBlank="1" showInputMessage="1" showErrorMessage="1" sqref="C34:C35" xr:uid="{00000000-0002-0000-0700-000000000000}">
      <formula1>Yes_No</formula1>
    </dataValidation>
  </dataValidations>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596" r:id="rId4" name="Check Box 301">
              <controlPr defaultSize="0" autoFill="0" autoLine="0" autoPict="0" macro="[0]!CheckBox301_Click" altText="H2A default">
                <anchor moveWithCells="1">
                  <from>
                    <xdr:col>3</xdr:col>
                    <xdr:colOff>177800</xdr:colOff>
                    <xdr:row>28</xdr:row>
                    <xdr:rowOff>177800</xdr:rowOff>
                  </from>
                  <to>
                    <xdr:col>3</xdr:col>
                    <xdr:colOff>1092200</xdr:colOff>
                    <xdr:row>30</xdr:row>
                    <xdr:rowOff>25400</xdr:rowOff>
                  </to>
                </anchor>
              </controlPr>
            </control>
          </mc:Choice>
        </mc:AlternateContent>
        <mc:AlternateContent xmlns:mc="http://schemas.openxmlformats.org/markup-compatibility/2006">
          <mc:Choice Requires="x14">
            <control shapeId="17597" r:id="rId5" name="Check Box 302">
              <controlPr defaultSize="0" autoFill="0" autoLine="0" autoPict="0" macro="[0]!CheckBox302_Click" altText="H2A default">
                <anchor moveWithCells="1">
                  <from>
                    <xdr:col>3</xdr:col>
                    <xdr:colOff>177800</xdr:colOff>
                    <xdr:row>30</xdr:row>
                    <xdr:rowOff>63500</xdr:rowOff>
                  </from>
                  <to>
                    <xdr:col>3</xdr:col>
                    <xdr:colOff>1092200</xdr:colOff>
                    <xdr:row>30</xdr:row>
                    <xdr:rowOff>254000</xdr:rowOff>
                  </to>
                </anchor>
              </controlPr>
            </control>
          </mc:Choice>
        </mc:AlternateContent>
        <mc:AlternateContent xmlns:mc="http://schemas.openxmlformats.org/markup-compatibility/2006">
          <mc:Choice Requires="x14">
            <control shapeId="17598" r:id="rId6" name="Check Box 303">
              <controlPr defaultSize="0" autoFill="0" autoLine="0" autoPict="0" macro="[0]!CheckBox303_Click" altText="H2A default">
                <anchor moveWithCells="1">
                  <from>
                    <xdr:col>3</xdr:col>
                    <xdr:colOff>177800</xdr:colOff>
                    <xdr:row>31</xdr:row>
                    <xdr:rowOff>63500</xdr:rowOff>
                  </from>
                  <to>
                    <xdr:col>3</xdr:col>
                    <xdr:colOff>1092200</xdr:colOff>
                    <xdr:row>31</xdr:row>
                    <xdr:rowOff>254000</xdr:rowOff>
                  </to>
                </anchor>
              </controlPr>
            </control>
          </mc:Choice>
        </mc:AlternateContent>
        <mc:AlternateContent xmlns:mc="http://schemas.openxmlformats.org/markup-compatibility/2006">
          <mc:Choice Requires="x14">
            <control shapeId="17599" r:id="rId7" name="Check Box 304">
              <controlPr defaultSize="0" autoFill="0" autoLine="0" autoPict="0" macro="[0]!CheckBox304_Click" altText="H2A default">
                <anchor moveWithCells="1">
                  <from>
                    <xdr:col>3</xdr:col>
                    <xdr:colOff>177800</xdr:colOff>
                    <xdr:row>31</xdr:row>
                    <xdr:rowOff>342900</xdr:rowOff>
                  </from>
                  <to>
                    <xdr:col>3</xdr:col>
                    <xdr:colOff>1092200</xdr:colOff>
                    <xdr:row>33</xdr:row>
                    <xdr:rowOff>25400</xdr:rowOff>
                  </to>
                </anchor>
              </controlPr>
            </control>
          </mc:Choice>
        </mc:AlternateContent>
        <mc:AlternateContent xmlns:mc="http://schemas.openxmlformats.org/markup-compatibility/2006">
          <mc:Choice Requires="x14">
            <control shapeId="17600" r:id="rId8" name="Check Box 305">
              <controlPr defaultSize="0" autoFill="0" autoLine="0" autoPict="0" macro="[0]!CheckBox305_Click" altText="H2A default">
                <anchor moveWithCells="1">
                  <from>
                    <xdr:col>3</xdr:col>
                    <xdr:colOff>177800</xdr:colOff>
                    <xdr:row>32</xdr:row>
                    <xdr:rowOff>177800</xdr:rowOff>
                  </from>
                  <to>
                    <xdr:col>3</xdr:col>
                    <xdr:colOff>1092200</xdr:colOff>
                    <xdr:row>34</xdr:row>
                    <xdr:rowOff>25400</xdr:rowOff>
                  </to>
                </anchor>
              </controlPr>
            </control>
          </mc:Choice>
        </mc:AlternateContent>
        <mc:AlternateContent xmlns:mc="http://schemas.openxmlformats.org/markup-compatibility/2006">
          <mc:Choice Requires="x14">
            <control shapeId="17601" r:id="rId9" name="Check Box 306">
              <controlPr defaultSize="0" autoFill="0" autoLine="0" autoPict="0" macro="[0]!CheckBox306_Click" altText="H2A default">
                <anchor moveWithCells="1">
                  <from>
                    <xdr:col>3</xdr:col>
                    <xdr:colOff>177800</xdr:colOff>
                    <xdr:row>33</xdr:row>
                    <xdr:rowOff>177800</xdr:rowOff>
                  </from>
                  <to>
                    <xdr:col>3</xdr:col>
                    <xdr:colOff>1092200</xdr:colOff>
                    <xdr:row>35</xdr:row>
                    <xdr:rowOff>25400</xdr:rowOff>
                  </to>
                </anchor>
              </controlPr>
            </control>
          </mc:Choice>
        </mc:AlternateContent>
        <mc:AlternateContent xmlns:mc="http://schemas.openxmlformats.org/markup-compatibility/2006">
          <mc:Choice Requires="x14">
            <control shapeId="17602" r:id="rId10" name="Check Box 307">
              <controlPr defaultSize="0" autoFill="0" autoLine="0" autoPict="0" macro="[0]!CheckBox307_Click" altText="H2A default">
                <anchor moveWithCells="1">
                  <from>
                    <xdr:col>3</xdr:col>
                    <xdr:colOff>177800</xdr:colOff>
                    <xdr:row>34</xdr:row>
                    <xdr:rowOff>177800</xdr:rowOff>
                  </from>
                  <to>
                    <xdr:col>3</xdr:col>
                    <xdr:colOff>1092200</xdr:colOff>
                    <xdr:row>36</xdr:row>
                    <xdr:rowOff>25400</xdr:rowOff>
                  </to>
                </anchor>
              </controlPr>
            </control>
          </mc:Choice>
        </mc:AlternateContent>
        <mc:AlternateContent xmlns:mc="http://schemas.openxmlformats.org/markup-compatibility/2006">
          <mc:Choice Requires="x14">
            <control shapeId="17603" r:id="rId11" name="Check Box 308">
              <controlPr defaultSize="0" autoFill="0" autoLine="0" autoPict="0" macro="[0]!CheckBox308_Click" altText="H2A default">
                <anchor moveWithCells="1">
                  <from>
                    <xdr:col>3</xdr:col>
                    <xdr:colOff>177800</xdr:colOff>
                    <xdr:row>35</xdr:row>
                    <xdr:rowOff>152400</xdr:rowOff>
                  </from>
                  <to>
                    <xdr:col>3</xdr:col>
                    <xdr:colOff>1092200</xdr:colOff>
                    <xdr:row>37</xdr:row>
                    <xdr:rowOff>25400</xdr:rowOff>
                  </to>
                </anchor>
              </controlPr>
            </control>
          </mc:Choice>
        </mc:AlternateContent>
        <mc:AlternateContent xmlns:mc="http://schemas.openxmlformats.org/markup-compatibility/2006">
          <mc:Choice Requires="x14">
            <control shapeId="17604" r:id="rId12" name="Check Box 309">
              <controlPr defaultSize="0" autoFill="0" autoLine="0" autoPict="0" macro="[0]!CheckBox309_Click" altText="H2A default">
                <anchor moveWithCells="1">
                  <from>
                    <xdr:col>3</xdr:col>
                    <xdr:colOff>177800</xdr:colOff>
                    <xdr:row>38</xdr:row>
                    <xdr:rowOff>177800</xdr:rowOff>
                  </from>
                  <to>
                    <xdr:col>3</xdr:col>
                    <xdr:colOff>1092200</xdr:colOff>
                    <xdr:row>40</xdr:row>
                    <xdr:rowOff>25400</xdr:rowOff>
                  </to>
                </anchor>
              </controlPr>
            </control>
          </mc:Choice>
        </mc:AlternateContent>
        <mc:AlternateContent xmlns:mc="http://schemas.openxmlformats.org/markup-compatibility/2006">
          <mc:Choice Requires="x14">
            <control shapeId="17605" r:id="rId13" name="Check Box 310">
              <controlPr defaultSize="0" autoFill="0" autoLine="0" autoPict="0" macro="[0]!CheckBox310_Click" altText="H2A default">
                <anchor moveWithCells="1">
                  <from>
                    <xdr:col>3</xdr:col>
                    <xdr:colOff>177800</xdr:colOff>
                    <xdr:row>41</xdr:row>
                    <xdr:rowOff>177800</xdr:rowOff>
                  </from>
                  <to>
                    <xdr:col>3</xdr:col>
                    <xdr:colOff>1092200</xdr:colOff>
                    <xdr:row>43</xdr:row>
                    <xdr:rowOff>25400</xdr:rowOff>
                  </to>
                </anchor>
              </controlPr>
            </control>
          </mc:Choice>
        </mc:AlternateContent>
        <mc:AlternateContent xmlns:mc="http://schemas.openxmlformats.org/markup-compatibility/2006">
          <mc:Choice Requires="x14">
            <control shapeId="17606" r:id="rId14" name="Check Box 311">
              <controlPr defaultSize="0" autoFill="0" autoLine="0" autoPict="0" macro="[0]!CheckBox311_Click" altText="H2A default">
                <anchor moveWithCells="1">
                  <from>
                    <xdr:col>3</xdr:col>
                    <xdr:colOff>177800</xdr:colOff>
                    <xdr:row>42</xdr:row>
                    <xdr:rowOff>177800</xdr:rowOff>
                  </from>
                  <to>
                    <xdr:col>3</xdr:col>
                    <xdr:colOff>1092200</xdr:colOff>
                    <xdr:row>44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zoomScaleNormal="100" workbookViewId="0">
      <selection activeCell="G27" sqref="G27"/>
    </sheetView>
  </sheetViews>
  <sheetFormatPr baseColWidth="10" defaultColWidth="8.83203125" defaultRowHeight="13"/>
  <cols>
    <col min="2" max="2" width="28.6640625" customWidth="1"/>
    <col min="3" max="3" width="25.33203125" customWidth="1"/>
    <col min="4" max="4" width="22.6640625" customWidth="1"/>
    <col min="5" max="5" width="22.33203125" customWidth="1"/>
    <col min="6" max="6" width="20.33203125" customWidth="1"/>
    <col min="7" max="7" width="18.5" customWidth="1"/>
    <col min="8" max="8" width="15.6640625" customWidth="1"/>
    <col min="9" max="9" width="16.33203125" customWidth="1"/>
  </cols>
  <sheetData>
    <row r="1" spans="2:9" ht="14" thickBot="1"/>
    <row r="2" spans="2:9" ht="17" thickTop="1">
      <c r="B2" s="648" t="s">
        <v>1064</v>
      </c>
      <c r="C2" s="649"/>
    </row>
    <row r="3" spans="2:9">
      <c r="B3" s="650" t="s">
        <v>79</v>
      </c>
      <c r="C3" s="609"/>
    </row>
    <row r="4" spans="2:9">
      <c r="B4" s="650" t="s">
        <v>916</v>
      </c>
      <c r="C4" s="609"/>
    </row>
    <row r="5" spans="2:9">
      <c r="B5" s="650" t="s">
        <v>392</v>
      </c>
      <c r="C5" s="609"/>
    </row>
    <row r="6" spans="2:9">
      <c r="B6" s="650" t="s">
        <v>1065</v>
      </c>
      <c r="C6" s="609"/>
    </row>
    <row r="7" spans="2:9">
      <c r="B7" s="650" t="s">
        <v>400</v>
      </c>
      <c r="C7" s="609"/>
    </row>
    <row r="8" spans="2:9">
      <c r="B8" s="650" t="s">
        <v>533</v>
      </c>
      <c r="C8" s="609"/>
    </row>
    <row r="9" spans="2:9">
      <c r="B9" s="650" t="s">
        <v>1066</v>
      </c>
      <c r="C9" s="609"/>
    </row>
    <row r="10" spans="2:9" ht="14" thickBot="1">
      <c r="B10" s="651" t="s">
        <v>1067</v>
      </c>
      <c r="C10" s="652"/>
    </row>
    <row r="11" spans="2:9" ht="14" thickTop="1"/>
    <row r="12" spans="2:9" ht="25">
      <c r="B12" s="400" t="s">
        <v>389</v>
      </c>
      <c r="C12" s="127"/>
      <c r="D12" s="127"/>
      <c r="E12" s="48"/>
      <c r="F12" s="48"/>
      <c r="G12" s="36"/>
      <c r="H12" s="37"/>
      <c r="I12" s="48"/>
    </row>
    <row r="13" spans="2:9">
      <c r="D13" s="127"/>
      <c r="E13" s="128"/>
      <c r="F13" s="48"/>
      <c r="G13" s="36"/>
      <c r="H13" s="37"/>
      <c r="I13" s="48"/>
    </row>
    <row r="14" spans="2:9" ht="22" thickBot="1">
      <c r="B14" s="293" t="s">
        <v>390</v>
      </c>
      <c r="D14" s="127"/>
      <c r="E14" s="48"/>
      <c r="F14" s="48"/>
      <c r="G14" s="36"/>
      <c r="H14" s="37"/>
      <c r="I14" s="48"/>
    </row>
    <row r="15" spans="2:9" ht="17" thickBot="1">
      <c r="B15" s="828" t="s">
        <v>1092</v>
      </c>
      <c r="C15" s="829">
        <f ca="1">total_cap/(ProcEqpCap+IF(CO2_Capture_Efficiency&gt;0,CCSEqpCap,0))</f>
        <v>2.7521179150974104</v>
      </c>
      <c r="D15" s="127"/>
      <c r="E15" s="48"/>
      <c r="F15" s="48"/>
      <c r="G15" s="36"/>
      <c r="H15" s="37"/>
      <c r="I15" s="48"/>
    </row>
    <row r="16" spans="2:9" ht="14" thickBot="1">
      <c r="B16" s="48"/>
      <c r="C16" s="48"/>
      <c r="D16" s="48"/>
      <c r="E16" s="48"/>
      <c r="F16" s="48"/>
      <c r="G16" s="36"/>
      <c r="H16" s="37"/>
      <c r="I16" s="48"/>
    </row>
    <row r="17" spans="2:9" ht="18" thickTop="1" thickBot="1">
      <c r="B17" s="44" t="s">
        <v>79</v>
      </c>
      <c r="C17" s="139"/>
      <c r="D17" s="140"/>
      <c r="E17" s="48"/>
      <c r="F17" s="1541" t="str">
        <f>IF(CO2_inUse = "Carbon Sequestration","Approximate Carbon Sequestration Costs*","Carbon Sequestration is not included in this case")</f>
        <v>Approximate Carbon Sequestration Costs*</v>
      </c>
      <c r="G17" s="1542"/>
      <c r="H17" s="1543"/>
      <c r="I17" s="48"/>
    </row>
    <row r="18" spans="2:9" ht="61" thickTop="1">
      <c r="B18" s="142" t="s">
        <v>80</v>
      </c>
      <c r="C18" s="51" t="s">
        <v>81</v>
      </c>
      <c r="D18" s="399" t="s">
        <v>82</v>
      </c>
      <c r="E18" s="48"/>
      <c r="F18" s="1037" t="s">
        <v>80</v>
      </c>
      <c r="G18" s="1038" t="s">
        <v>2</v>
      </c>
      <c r="H18" s="1039" t="s">
        <v>3</v>
      </c>
      <c r="I18" s="48"/>
    </row>
    <row r="19" spans="2:9" ht="14">
      <c r="B19" s="550" t="s">
        <v>83</v>
      </c>
      <c r="C19" s="713">
        <f ca="1">'Cash Flow Analysis'!D119</f>
        <v>0.1452988409788411</v>
      </c>
      <c r="D19" s="143">
        <f ca="1">'Cash Flow Analysis'!C119</f>
        <v>0.13415856221128303</v>
      </c>
      <c r="E19" s="48"/>
      <c r="F19" s="1040" t="s">
        <v>83</v>
      </c>
      <c r="G19" s="1041">
        <f ca="1">IF(CO2_inUse = "Carbon Sequestration",ROUND((Det_CO2_seq+CO2_aprx_indCap)*CO2_cap_charge_rate/output_kgyear,2),"")</f>
        <v>0</v>
      </c>
      <c r="H19" s="1042" t="e">
        <f ca="1">IF(CO2_inUse = "Carbon Sequestration",CO2_capptonneCO2,"")</f>
        <v>#DIV/0!</v>
      </c>
      <c r="I19" s="48"/>
    </row>
    <row r="20" spans="2:9" ht="14">
      <c r="B20" s="550" t="s">
        <v>84</v>
      </c>
      <c r="C20" s="220">
        <f ca="1">'Cash Flow Analysis'!D120</f>
        <v>6.7842642975131297E-4</v>
      </c>
      <c r="D20" s="144">
        <f ca="1">'Cash Flow Analysis'!C120</f>
        <v>6.2641046389918771E-4</v>
      </c>
      <c r="E20" s="48"/>
      <c r="F20" s="1040" t="s">
        <v>4</v>
      </c>
      <c r="G20" s="1041">
        <f ca="1">IF(CO2_inUse = "Carbon Sequestration",ROUND(Det_CO2_OandMcost/output_kgyear,2),"")</f>
        <v>0</v>
      </c>
      <c r="H20" s="1042" t="e">
        <f ca="1">IF(CO2_inUse = "Carbon Sequestration",CO2_OandMptonneCO2,"")</f>
        <v>#DIV/0!</v>
      </c>
      <c r="I20" s="48"/>
    </row>
    <row r="21" spans="2:9" ht="14">
      <c r="B21" s="550" t="s">
        <v>85</v>
      </c>
      <c r="C21" s="220">
        <f ca="1">'Cash Flow Analysis'!D121</f>
        <v>8.5475901235362098E-2</v>
      </c>
      <c r="D21" s="144">
        <f ca="1">'Cash Flow Analysis'!C121</f>
        <v>7.892233644946775E-2</v>
      </c>
      <c r="E21" s="48"/>
      <c r="F21" s="1040" t="s">
        <v>5</v>
      </c>
      <c r="G21" s="1041">
        <f ca="1">IF(CO2_inUse = "Carbon Sequestration",ROUND(CO2_eCostpY/output_kgyear,2),"")</f>
        <v>0</v>
      </c>
      <c r="H21" s="1042" t="e">
        <f ca="1">IF(CO2_inUse = "Carbon Sequestration",CO2_energyptonneCO2,"")</f>
        <v>#DIV/0!</v>
      </c>
      <c r="I21" s="48"/>
    </row>
    <row r="22" spans="2:9" ht="15" thickBot="1">
      <c r="B22" s="550" t="s">
        <v>1001</v>
      </c>
      <c r="C22" s="220">
        <f ca="1">'Cash Flow Analysis'!D122</f>
        <v>0.8242612173581072</v>
      </c>
      <c r="D22" s="144">
        <f ca="1">'Cash Flow Analysis'!C122</f>
        <v>0.76106388091140231</v>
      </c>
      <c r="E22" s="48"/>
      <c r="F22" s="1043" t="s">
        <v>58</v>
      </c>
      <c r="G22" s="1044">
        <f ca="1">SUM(G19:G21)</f>
        <v>0</v>
      </c>
      <c r="H22" s="1045" t="e">
        <f ca="1">SUM(H19:H21)</f>
        <v>#DIV/0!</v>
      </c>
      <c r="I22" s="48"/>
    </row>
    <row r="23" spans="2:9" ht="27" customHeight="1" thickTop="1">
      <c r="B23" s="550" t="s">
        <v>86</v>
      </c>
      <c r="C23" s="220">
        <f ca="1">'Cash Flow Analysis'!D123</f>
        <v>1.691062886595238E-2</v>
      </c>
      <c r="D23" s="144">
        <f ca="1">'Cash Flow Analysis'!C123</f>
        <v>1.5614065738316299E-2</v>
      </c>
      <c r="E23" s="48"/>
      <c r="F23" s="1544" t="s">
        <v>6</v>
      </c>
      <c r="G23" s="1544"/>
      <c r="H23" s="1544"/>
      <c r="I23" s="48"/>
    </row>
    <row r="24" spans="2:9">
      <c r="B24" s="550" t="s">
        <v>87</v>
      </c>
      <c r="C24" s="220">
        <f ca="1">'Cash Flow Analysis'!D124</f>
        <v>0</v>
      </c>
      <c r="D24" s="144">
        <f ca="1">'Cash Flow Analysis'!C124</f>
        <v>0</v>
      </c>
      <c r="E24" s="48"/>
      <c r="F24" s="48"/>
      <c r="I24" s="48"/>
    </row>
    <row r="25" spans="2:9" ht="28">
      <c r="B25" s="551" t="s">
        <v>88</v>
      </c>
      <c r="C25" s="220">
        <f ca="1">'Cash Flow Analysis'!D125</f>
        <v>1.0413134795616723E-2</v>
      </c>
      <c r="D25" s="144">
        <f ca="1">'Cash Flow Analysis'!C125</f>
        <v>9.6147442256312252E-3</v>
      </c>
      <c r="E25" s="48"/>
      <c r="F25" s="48"/>
      <c r="I25" s="48"/>
    </row>
    <row r="26" spans="2:9" ht="14" thickBot="1">
      <c r="B26" s="552" t="s">
        <v>58</v>
      </c>
      <c r="C26" s="714">
        <f ca="1">SUM(C19:C25)</f>
        <v>1.0830381496636308</v>
      </c>
      <c r="D26" s="493"/>
      <c r="E26" s="48"/>
      <c r="F26" s="48"/>
      <c r="I26" s="48"/>
    </row>
    <row r="27" spans="2:9" ht="14" thickTop="1">
      <c r="B27" s="48"/>
      <c r="C27" s="48"/>
      <c r="D27" s="135"/>
      <c r="E27" s="48"/>
      <c r="F27" s="48"/>
      <c r="I27" s="48"/>
    </row>
    <row r="28" spans="2:9" ht="21">
      <c r="B28" s="293" t="s">
        <v>391</v>
      </c>
      <c r="C28" s="48"/>
      <c r="D28" s="37"/>
      <c r="E28" s="48"/>
      <c r="F28" s="48"/>
      <c r="G28" s="48"/>
      <c r="H28" s="48"/>
      <c r="I28" s="48"/>
    </row>
    <row r="29" spans="2:9" ht="14" thickBot="1">
      <c r="I29" s="48"/>
    </row>
    <row r="30" spans="2:9" ht="18" thickTop="1" thickBot="1">
      <c r="B30" s="1545" t="s">
        <v>916</v>
      </c>
      <c r="C30" s="1546"/>
      <c r="D30" s="534"/>
      <c r="E30" s="534"/>
      <c r="F30" s="534"/>
      <c r="G30" s="535"/>
      <c r="H30" s="535"/>
      <c r="I30" s="539"/>
    </row>
    <row r="31" spans="2:9" ht="46" thickBot="1">
      <c r="B31" s="540" t="s">
        <v>248</v>
      </c>
      <c r="C31" s="541" t="s">
        <v>920</v>
      </c>
      <c r="D31" s="541" t="s">
        <v>915</v>
      </c>
      <c r="E31" s="542" t="s">
        <v>706</v>
      </c>
      <c r="F31" s="542" t="s">
        <v>264</v>
      </c>
      <c r="G31" s="542" t="s">
        <v>914</v>
      </c>
      <c r="H31" s="542" t="s">
        <v>931</v>
      </c>
      <c r="I31" s="543" t="s">
        <v>1189</v>
      </c>
    </row>
    <row r="32" spans="2:9" ht="14">
      <c r="B32" s="626" t="str">
        <f>IF('Cash Flow Analysis'!$B$131=0,"",'Cash Flow Analysis'!$B$131)</f>
        <v>Industrial Electricity</v>
      </c>
      <c r="C32" s="627">
        <f ca="1">IF($B$32="","",$E$32*$F$32*$H$32)</f>
        <v>4.7222498260955967E-4</v>
      </c>
      <c r="D32" s="627">
        <f ca="1">IF($B32="","",$C32*1000*MJ_to_kWh)</f>
        <v>0.13117360628043326</v>
      </c>
      <c r="E32" s="628">
        <f ca="1">IF($B$32&lt;&gt;"",VLOOKUP($B$32,MASTER_PROPERTY_TABLE,MATCH("H2A LHV (GJ/ H2A usage input unit)",key_MPTable,0),FALSE),"")</f>
        <v>3.5999999999999995E-3</v>
      </c>
      <c r="F32" s="628">
        <f>IF('Cash Flow Analysis'!$B$133="","",'Cash Flow Analysis'!$B$133)</f>
        <v>0.13117360628043326</v>
      </c>
      <c r="G32" s="629" t="str">
        <f ca="1">IF($B$32&lt;&gt;"",VLOOKUP($B$32,MASTER_PROPERTY_TABLE,MATCH("H2A Usage Input Unit/ kg H2",key_MPTable,0),FALSE),"")</f>
        <v>kWh</v>
      </c>
      <c r="H32" s="629">
        <f ca="1">IF($B32="","",IF(VLOOKUP($B32,MASTER_PROPERTY_TABLE,MATCH("Unit System",key_MPTable,0),FALSE)="English",mmBTU_to_GJ,1))</f>
        <v>1</v>
      </c>
      <c r="I32" s="1000">
        <f ca="1">+'Cash Flow Analysis'!$B$233</f>
        <v>7.7853020431673081E-2</v>
      </c>
    </row>
    <row r="33" spans="2:9" ht="14">
      <c r="B33" s="581" t="str">
        <f>IF('Cash Flow Analysis'!$C$131=0,"",'Cash Flow Analysis'!$C$131)</f>
        <v>Industrial Natural Gas</v>
      </c>
      <c r="C33" s="630">
        <f ca="1">IF($B$33="","",$E$33*$F$33*$H$33)</f>
        <v>0.16643408619370614</v>
      </c>
      <c r="D33" s="630">
        <f ca="1">IF($B33="","",$C33*1000*MJ_to_kWh)</f>
        <v>46.231690609362822</v>
      </c>
      <c r="E33" s="585">
        <f ca="1">IF($B$33&lt;&gt;"",VLOOKUP($B$33,MASTER_PROPERTY_TABLE,MATCH("H2A LHV (GJ/ H2A usage input unit)",key_MPTable,0),FALSE),"")</f>
        <v>1.0549999999999999</v>
      </c>
      <c r="F33" s="585">
        <f>IF('Cash Flow Analysis'!$C$133="","",'Cash Flow Analysis'!$C$133)</f>
        <v>0.15775742767175938</v>
      </c>
      <c r="G33" s="631" t="str">
        <f ca="1">IF($B$33&lt;&gt;"",VLOOKUP($B$33,MASTER_PROPERTY_TABLE,MATCH("H2A Usage Input Unit/ kg H2",key_MPTable,0),FALSE),"")</f>
        <v>mmBtu</v>
      </c>
      <c r="H33" s="631">
        <f ca="1">IF($B$33="","",IF(VLOOKUP($B$33,MASTER_PROPERTY_TABLE,MATCH("Unit System",key_MPTable,0),FALSE)="English",mmBTU_to_GJ,1))</f>
        <v>1</v>
      </c>
      <c r="I33" s="1001">
        <f ca="1">+'Cash Flow Analysis'!$C$233</f>
        <v>5.4636424194057636</v>
      </c>
    </row>
    <row r="34" spans="2:9" ht="14">
      <c r="B34" s="581" t="str">
        <f>IF('Cash Flow Analysis'!$D$131=0,"",'Cash Flow Analysis'!$D$131)</f>
        <v/>
      </c>
      <c r="C34" s="630" t="str">
        <f>IF($B$34="","",$E$34*$F$34*$H$34)</f>
        <v/>
      </c>
      <c r="D34" s="630" t="str">
        <f>IF($B34="","",$C34*1000*MJ_to_kWh)</f>
        <v/>
      </c>
      <c r="E34" s="585" t="str">
        <f>IF($B$34&lt;&gt;"",VLOOKUP($B$34,MASTER_PROPERTY_TABLE,MATCH("H2A LHV (GJ/ H2A usage input unit)",key_MPTable,0),FALSE),"")</f>
        <v/>
      </c>
      <c r="F34" s="585" t="str">
        <f>IF('Cash Flow Analysis'!$D$133="","",'Cash Flow Analysis'!$D$133)</f>
        <v/>
      </c>
      <c r="G34" s="631" t="str">
        <f>IF($B$34&lt;&gt;"",VLOOKUP($B$34,MASTER_PROPERTY_TABLE,MATCH("H2A Usage Input Unit/ kg H2",key_MPTable,0),FALSE),"")</f>
        <v/>
      </c>
      <c r="H34" s="631" t="str">
        <f>IF($B$34="","",IF(VLOOKUP($B$34,MASTER_PROPERTY_TABLE,MATCH("Unit System",key_MPTable,0),FALSE)="English",mmBTU_to_GJ,1))</f>
        <v/>
      </c>
      <c r="I34" s="1001" t="str">
        <f>+'Cash Flow Analysis'!$D$233</f>
        <v/>
      </c>
    </row>
    <row r="35" spans="2:9" ht="15" thickBot="1">
      <c r="B35" s="633" t="str">
        <f>IF('Cash Flow Analysis'!$E$131=0,"",'Cash Flow Analysis'!$E$131)</f>
        <v/>
      </c>
      <c r="C35" s="634" t="str">
        <f>IF($B$35="","",$E$35*$F$35*$H$35)</f>
        <v/>
      </c>
      <c r="D35" s="634" t="str">
        <f>IF($B35="","",$C35*1000*MJ_to_kWh)</f>
        <v/>
      </c>
      <c r="E35" s="635" t="str">
        <f>IF($B$35&lt;&gt;"",VLOOKUP($B$35,MASTER_PROPERTY_TABLE,MATCH("H2A LHV (GJ/ H2A usage input unit)",key_MPTable,0),FALSE),"")</f>
        <v/>
      </c>
      <c r="F35" s="635" t="str">
        <f>IF('Cash Flow Analysis'!$E$133="","",'Cash Flow Analysis'!$E$133)</f>
        <v/>
      </c>
      <c r="G35" s="636" t="str">
        <f>IF($B$35&lt;&gt;"",VLOOKUP($B$35,MASTER_PROPERTY_TABLE,MATCH("H2A Usage Input Unit/ kg H2",key_MPTable,0),FALSE),"")</f>
        <v/>
      </c>
      <c r="H35" s="636" t="str">
        <f>IF($B$35="","",IF(VLOOKUP($B$35,MASTER_PROPERTY_TABLE,MATCH("Unit System",key_MPTable,0),FALSE)="English",mmBTU_to_GJ,1))</f>
        <v/>
      </c>
      <c r="I35" s="1002" t="str">
        <f>+'Cash Flow Analysis'!$E$233</f>
        <v/>
      </c>
    </row>
    <row r="36" spans="2:9" ht="15">
      <c r="B36" s="637" t="s">
        <v>271</v>
      </c>
      <c r="C36" s="638"/>
      <c r="D36" s="638"/>
      <c r="E36" s="547"/>
      <c r="F36" s="547"/>
      <c r="G36" s="548"/>
      <c r="H36" s="548"/>
      <c r="I36" s="1003"/>
    </row>
    <row r="37" spans="2:9" ht="14">
      <c r="B37" s="581" t="str">
        <f>IF('Cash Flow Analysis'!$F$131=0,"",'Cash Flow Analysis'!$F$131)</f>
        <v/>
      </c>
      <c r="C37" s="630" t="str">
        <f>IF($B$37="","",$E$37*$F$37*$H$37)</f>
        <v/>
      </c>
      <c r="D37" s="630" t="str">
        <f>IF($B37="","",$C37*1000*MJ_to_kWh)</f>
        <v/>
      </c>
      <c r="E37" s="585" t="str">
        <f>IF($B37&lt;&gt;"",VLOOKUP($B37,MASTER_PROPERTY_TABLE,MATCH("H2A LHV (GJ/ H2A usage input unit)",key_MPTable,0),FALSE),"")</f>
        <v/>
      </c>
      <c r="F37" s="585" t="str">
        <f>IF('Cash Flow Analysis'!$F$133="","",'Cash Flow Analysis'!$F$133)</f>
        <v/>
      </c>
      <c r="G37" s="631" t="str">
        <f>IF($B$37&lt;&gt;"",VLOOKUP($B$37,MASTER_PROPERTY_TABLE,MATCH("H2A Usage Input Unit/ kg H2",key_MPTable,0),FALSE),"")</f>
        <v/>
      </c>
      <c r="H37" s="631" t="str">
        <f>IF($B$37="","",IF(VLOOKUP($B$37,MASTER_PROPERTY_TABLE,MATCH("Unit System",key_MPTable,0),FALSE)="English",mmBTU_to_GJ,1))</f>
        <v/>
      </c>
      <c r="I37" s="1001" t="str">
        <f>+'Cash Flow Analysis'!$F$233</f>
        <v/>
      </c>
    </row>
    <row r="38" spans="2:9" ht="14">
      <c r="B38" s="581" t="str">
        <f>IF('Cash Flow Analysis'!$G$131=0,"",'Cash Flow Analysis'!$G$131)</f>
        <v/>
      </c>
      <c r="C38" s="630" t="str">
        <f>IF($B$38="","",$E$38*$F$38*$H$38)</f>
        <v/>
      </c>
      <c r="D38" s="630" t="str">
        <f>IF($B38="","",$C38*1000*MJ_to_kWh)</f>
        <v/>
      </c>
      <c r="E38" s="585" t="str">
        <f>IF($B38&lt;&gt;"",VLOOKUP($B38,MASTER_PROPERTY_TABLE,MATCH("H2A LHV (GJ/ H2A usage input unit)",key_MPTable,0),FALSE),"")</f>
        <v/>
      </c>
      <c r="F38" s="585" t="str">
        <f>IF('Cash Flow Analysis'!$G$133="","",'Cash Flow Analysis'!$G$133)</f>
        <v/>
      </c>
      <c r="G38" s="631" t="str">
        <f>IF($B$38&lt;&gt;"",VLOOKUP($B$38,MASTER_PROPERTY_TABLE,MATCH("H2A Usage Input Unit/ kg H2",key_MPTable,0),FALSE),"")</f>
        <v/>
      </c>
      <c r="H38" s="631" t="str">
        <f>IF($B$38="","",IF(VLOOKUP($B$38,MASTER_PROPERTY_TABLE,MATCH("Unit System",key_MPTable,0),FALSE)="English",mmBTU_to_GJ,1))</f>
        <v/>
      </c>
      <c r="I38" s="1001" t="str">
        <f>+'Cash Flow Analysis'!$G$233</f>
        <v/>
      </c>
    </row>
    <row r="39" spans="2:9" ht="14">
      <c r="B39" s="581" t="str">
        <f>IF('Cash Flow Analysis'!$H$131=0,"",'Cash Flow Analysis'!$H$131)</f>
        <v/>
      </c>
      <c r="C39" s="630" t="str">
        <f>IF($B$39="","",$E$39*$F$39*$H$39)</f>
        <v/>
      </c>
      <c r="D39" s="630" t="str">
        <f>IF($B39="","",$C39*1000*MJ_to_kWh)</f>
        <v/>
      </c>
      <c r="E39" s="585" t="str">
        <f>IF($B39&lt;&gt;"",VLOOKUP($B39,MASTER_PROPERTY_TABLE,MATCH("H2A LHV (GJ/ H2A usage input unit)",key_MPTable,0),FALSE),"")</f>
        <v/>
      </c>
      <c r="F39" s="585" t="str">
        <f>IF('Cash Flow Analysis'!$H$133="","",'Cash Flow Analysis'!$H$133)</f>
        <v/>
      </c>
      <c r="G39" s="631" t="str">
        <f>IF($B$39&lt;&gt;"",VLOOKUP($B$39,MASTER_PROPERTY_TABLE,MATCH("H2A Usage Input Unit/ kg H2",key_MPTable,0),FALSE),"")</f>
        <v/>
      </c>
      <c r="H39" s="631" t="str">
        <f>IF($B$39="","",IF(VLOOKUP($B$39,MASTER_PROPERTY_TABLE,MATCH("Unit System",key_MPTable,0),FALSE)="English",mmBTU_to_GJ,1))</f>
        <v/>
      </c>
      <c r="I39" s="1001" t="str">
        <f>+'Cash Flow Analysis'!$H$233</f>
        <v/>
      </c>
    </row>
    <row r="40" spans="2:9" ht="15" thickBot="1">
      <c r="B40" s="633" t="str">
        <f>IF('Cash Flow Analysis'!$I$131=0,"",'Cash Flow Analysis'!$I$131)</f>
        <v/>
      </c>
      <c r="C40" s="634" t="str">
        <f>IF($B$40="","",$E$40*$F$40*$H$40)</f>
        <v/>
      </c>
      <c r="D40" s="634" t="str">
        <f>IF($B40="","",$C40*1000*MJ_to_kWh)</f>
        <v/>
      </c>
      <c r="E40" s="635" t="str">
        <f>IF($B40&lt;&gt;"",VLOOKUP($B40,MASTER_PROPERTY_TABLE,MATCH("H2A LHV (GJ/ H2A usage input unit)",key_MPTable,0),FALSE),"")</f>
        <v/>
      </c>
      <c r="F40" s="635" t="str">
        <f>IF('Cash Flow Analysis'!$I$133="","",'Cash Flow Analysis'!$I$133)</f>
        <v/>
      </c>
      <c r="G40" s="636" t="str">
        <f>IF($B$40&lt;&gt;"",VLOOKUP($B$40,MASTER_PROPERTY_TABLE,MATCH("H2A Usage Input Unit/ kg H2",key_MPTable,0),FALSE),"")</f>
        <v/>
      </c>
      <c r="H40" s="636" t="str">
        <f>IF($B$40="","",IF(VLOOKUP($B$40,MASTER_PROPERTY_TABLE,MATCH("Unit System",key_MPTable,0),FALSE)="English",mmBTU_to_GJ,1))</f>
        <v/>
      </c>
      <c r="I40" s="1002" t="str">
        <f>+'Cash Flow Analysis'!$I$233</f>
        <v/>
      </c>
    </row>
    <row r="41" spans="2:9" ht="15">
      <c r="B41" s="637" t="s">
        <v>398</v>
      </c>
      <c r="C41" s="638"/>
      <c r="D41" s="638"/>
      <c r="E41" s="547"/>
      <c r="F41" s="547"/>
      <c r="G41" s="548"/>
      <c r="H41" s="548"/>
      <c r="I41" s="549"/>
    </row>
    <row r="42" spans="2:9" ht="15" thickBot="1">
      <c r="B42" s="536" t="str">
        <f ca="1">IF('Cash Flow Analysis'!$J$131=0,"",'Cash Flow Analysis'!$J$131)</f>
        <v/>
      </c>
      <c r="C42" s="603" t="str">
        <f ca="1">IF($B$42="","",$E$42*$F$42*$H$42)</f>
        <v/>
      </c>
      <c r="D42" s="603" t="str">
        <f ca="1">IF($B42="","",$C42*1000*MJ_to_kWh)</f>
        <v/>
      </c>
      <c r="E42" s="546" t="str">
        <f ca="1">IF($B42&lt;&gt;"",VLOOKUP($B42,MASTER_PROPERTY_TABLE,MATCH("H2A LHV (GJ/ H2A usage input unit)",key_MPTable,0),FALSE),"")</f>
        <v/>
      </c>
      <c r="F42" s="546">
        <f ca="1">CO2_CashFlow_eUse</f>
        <v>0</v>
      </c>
      <c r="G42" s="544" t="str">
        <f ca="1">IF($B$42&lt;&gt;"",VLOOKUP($B$42,MASTER_PROPERTY_TABLE,MATCH("H2A Usage Input Unit/ kg H2",key_MPTable,0),FALSE),"")</f>
        <v/>
      </c>
      <c r="H42" s="544" t="str">
        <f ca="1">IF($B42="","",IF(VLOOKUP($B42,MASTER_PROPERTY_TABLE,MATCH("Unit System",key_MPTable,0),FALSE)="English",mmBTU_to_GJ,1))</f>
        <v/>
      </c>
      <c r="I42" s="545"/>
    </row>
    <row r="43" spans="2:9" ht="47" thickTop="1" thickBot="1">
      <c r="B43" s="621"/>
      <c r="C43" s="622" t="s">
        <v>921</v>
      </c>
      <c r="D43" s="623" t="s">
        <v>998</v>
      </c>
      <c r="E43" s="624" t="s">
        <v>706</v>
      </c>
      <c r="F43" s="622" t="s">
        <v>913</v>
      </c>
      <c r="G43" s="624" t="s">
        <v>914</v>
      </c>
      <c r="H43" s="624" t="s">
        <v>931</v>
      </c>
      <c r="I43" s="625"/>
    </row>
    <row r="44" spans="2:9" ht="14">
      <c r="B44" s="537" t="s">
        <v>922</v>
      </c>
      <c r="C44" s="603">
        <f>kgH2_to_GJ</f>
        <v>0.12021163829516093</v>
      </c>
      <c r="D44" s="603">
        <f>IF($B44="","",$C44*1000*MJ_to_kWh)</f>
        <v>33.392121748655818</v>
      </c>
      <c r="E44" s="546">
        <f>kgH2_to_GJ</f>
        <v>0.12021163829516093</v>
      </c>
      <c r="F44" s="546">
        <v>1</v>
      </c>
      <c r="G44" s="544" t="s">
        <v>268</v>
      </c>
      <c r="H44" s="544">
        <v>1</v>
      </c>
      <c r="I44" s="545"/>
    </row>
    <row r="45" spans="2:9" ht="14" thickBot="1">
      <c r="B45" s="537"/>
      <c r="C45" s="604"/>
      <c r="D45" s="604"/>
      <c r="E45" s="546"/>
      <c r="F45" s="546"/>
      <c r="G45" s="544"/>
      <c r="H45" s="544"/>
      <c r="I45" s="545"/>
    </row>
    <row r="46" spans="2:9" ht="15">
      <c r="B46" s="637" t="s">
        <v>917</v>
      </c>
      <c r="C46" s="638"/>
      <c r="D46" s="638"/>
      <c r="E46" s="547"/>
      <c r="F46" s="547"/>
      <c r="G46" s="548"/>
      <c r="H46" s="548"/>
      <c r="I46" s="549"/>
    </row>
    <row r="47" spans="2:9" ht="14">
      <c r="B47" s="581" t="str">
        <f>IF('Cash Flow Analysis'!$K$131=0,"",'Cash Flow Analysis'!$K$131)</f>
        <v/>
      </c>
      <c r="C47" s="630" t="str">
        <f>IF($B$47="","",$E$47*$F$47*$H$47)</f>
        <v/>
      </c>
      <c r="D47" s="630" t="str">
        <f>IF($B47="","",$C47*1000*MJ_to_kWh)</f>
        <v/>
      </c>
      <c r="E47" s="585" t="str">
        <f>IF($B47&lt;&gt;"",VLOOKUP($B47,MASTER_PROPERTY_TABLE,MATCH("H2A LHV (GJ/ H2A usage input unit)",key_MPTable,0),FALSE),"")</f>
        <v/>
      </c>
      <c r="F47" s="585" t="str">
        <f>IF('Cash Flow Analysis'!$K$133="","",'Cash Flow Analysis'!$K$133)</f>
        <v/>
      </c>
      <c r="G47" s="631" t="str">
        <f>IF($B$47&lt;&gt;"",VLOOKUP($B$47,MASTER_PROPERTY_TABLE,MATCH("H2A Usage Input Unit/ kg H2",key_MPTable,0),FALSE),"")</f>
        <v/>
      </c>
      <c r="H47" s="631" t="str">
        <f>IF($B$47="","",IF(VLOOKUP($B$47,MASTER_PROPERTY_TABLE,MATCH("Unit System",key_MPTable,0),FALSE)="English",mmBTU_to_GJ,1))</f>
        <v/>
      </c>
      <c r="I47" s="632" t="str">
        <f>+'Cash Flow Analysis'!$K$233</f>
        <v/>
      </c>
    </row>
    <row r="48" spans="2:9" ht="14">
      <c r="B48" s="581" t="str">
        <f>IF('Cash Flow Analysis'!$L$131=0,"",'Cash Flow Analysis'!$L$131)</f>
        <v/>
      </c>
      <c r="C48" s="630" t="str">
        <f>IF($B$48="","",$E$48*$F$48*$H$48)</f>
        <v/>
      </c>
      <c r="D48" s="630" t="str">
        <f>IF($B48="","",$C48*1000*MJ_to_kWh)</f>
        <v/>
      </c>
      <c r="E48" s="585" t="str">
        <f>IF($B48&lt;&gt;"",VLOOKUP($B48,MASTER_PROPERTY_TABLE,MATCH("H2A LHV (GJ/ H2A usage input unit)",key_MPTable,0),FALSE),"")</f>
        <v/>
      </c>
      <c r="F48" s="585" t="str">
        <f>IF('Cash Flow Analysis'!$L$133="","",'Cash Flow Analysis'!$L$133)</f>
        <v/>
      </c>
      <c r="G48" s="631" t="str">
        <f>IF($B$48&lt;&gt;"",VLOOKUP($B$48,MASTER_PROPERTY_TABLE,MATCH("H2A Usage Input Unit/ kg H2",key_MPTable,0),FALSE),"")</f>
        <v/>
      </c>
      <c r="H48" s="631" t="str">
        <f>IF($B$48="","",IF(VLOOKUP($B$48,MASTER_PROPERTY_TABLE,MATCH("Unit System",key_MPTable,0),FALSE)="English",mmBTU_to_GJ,1))</f>
        <v/>
      </c>
      <c r="I48" s="632" t="str">
        <f>+'Cash Flow Analysis'!$L$233</f>
        <v/>
      </c>
    </row>
    <row r="49" spans="2:9" ht="14">
      <c r="B49" s="581" t="str">
        <f>IF('Cash Flow Analysis'!$M$131=0,"",'Cash Flow Analysis'!$M$131)</f>
        <v/>
      </c>
      <c r="C49" s="630" t="str">
        <f>IF($B$49="","",$E$49*$F$49*$H$49)</f>
        <v/>
      </c>
      <c r="D49" s="630" t="str">
        <f>IF($B49="","",$C49*1000*MJ_to_kWh)</f>
        <v/>
      </c>
      <c r="E49" s="585" t="str">
        <f>IF($B49&lt;&gt;"",VLOOKUP($B49,MASTER_PROPERTY_TABLE,MATCH("H2A LHV (GJ/ H2A usage input unit)",key_MPTable,0),FALSE),"")</f>
        <v/>
      </c>
      <c r="F49" s="585" t="str">
        <f>IF('Cash Flow Analysis'!$M$133="","",'Cash Flow Analysis'!$M$133)</f>
        <v/>
      </c>
      <c r="G49" s="631" t="str">
        <f>IF($B$49&lt;&gt;"",VLOOKUP($B$49,MASTER_PROPERTY_TABLE,MATCH("H2A Usage Input Unit/ kg H2",key_MPTable,0),FALSE),"")</f>
        <v/>
      </c>
      <c r="H49" s="631" t="str">
        <f>IF($B$49="","",IF(VLOOKUP($B$49,MASTER_PROPERTY_TABLE,MATCH("Unit System",key_MPTable,0),FALSE)="English",mmBTU_to_GJ,1))</f>
        <v/>
      </c>
      <c r="I49" s="632" t="str">
        <f>+'Cash Flow Analysis'!$M$233</f>
        <v/>
      </c>
    </row>
    <row r="50" spans="2:9" ht="15" thickBot="1">
      <c r="B50" s="582" t="str">
        <f>IF('Cash Flow Analysis'!$N$131=0,"",'Cash Flow Analysis'!$N$131)</f>
        <v/>
      </c>
      <c r="C50" s="639" t="str">
        <f>IF($B$50="","",$E$50*$F$50*$H$50)</f>
        <v/>
      </c>
      <c r="D50" s="639" t="str">
        <f>IF($B50="","",$C50*1000*MJ_to_kWh)</f>
        <v/>
      </c>
      <c r="E50" s="596" t="str">
        <f>IF($B50&lt;&gt;"",VLOOKUP($B50,MASTER_PROPERTY_TABLE,MATCH("H2A LHV (GJ/ H2A usage input unit)",key_MPTable,0),FALSE),"")</f>
        <v/>
      </c>
      <c r="F50" s="596" t="str">
        <f>IF('Cash Flow Analysis'!$N$133="","",'Cash Flow Analysis'!$N$133)</f>
        <v/>
      </c>
      <c r="G50" s="640" t="str">
        <f>IF($B$50&lt;&gt;"",VLOOKUP($B$50,MASTER_PROPERTY_TABLE,MATCH("H2A Usage Input Unit/ kg H2",key_MPTable,0),FALSE),"")</f>
        <v/>
      </c>
      <c r="H50" s="640" t="str">
        <f>IF($B$50="","",IF(VLOOKUP($B$50,MASTER_PROPERTY_TABLE,MATCH("Unit System",key_MPTable,0),FALSE)="English",mmBTU_to_GJ,1))</f>
        <v/>
      </c>
      <c r="I50" s="641" t="str">
        <f>+'Cash Flow Analysis'!$N$233</f>
        <v/>
      </c>
    </row>
    <row r="51" spans="2:9" ht="15" thickTop="1" thickBot="1"/>
    <row r="52" spans="2:9" ht="17" thickBot="1">
      <c r="B52" s="1547" t="s">
        <v>392</v>
      </c>
      <c r="C52" s="1548"/>
      <c r="D52" s="289">
        <f ca="1">(C56+C57)/(C53+C54+C55)</f>
        <v>0.72023422869955067</v>
      </c>
      <c r="F52" s="28"/>
    </row>
    <row r="53" spans="2:9" ht="14">
      <c r="B53" s="494" t="s">
        <v>595</v>
      </c>
      <c r="C53" s="495">
        <f ca="1">SUM(C32:C35)</f>
        <v>0.16690631117631571</v>
      </c>
      <c r="D53" s="496"/>
    </row>
    <row r="54" spans="2:9" ht="14">
      <c r="B54" s="497" t="s">
        <v>596</v>
      </c>
      <c r="C54" s="498">
        <f>SUM(C37:C40)</f>
        <v>0</v>
      </c>
      <c r="D54" s="499"/>
    </row>
    <row r="55" spans="2:9" ht="28">
      <c r="B55" s="497" t="s">
        <v>393</v>
      </c>
      <c r="C55" s="498">
        <f ca="1">IF(C42="",0,C42)</f>
        <v>0</v>
      </c>
      <c r="D55" s="499"/>
    </row>
    <row r="56" spans="2:9" ht="14">
      <c r="B56" s="497" t="s">
        <v>597</v>
      </c>
      <c r="C56" s="498">
        <f>C44</f>
        <v>0.12021163829516093</v>
      </c>
      <c r="D56" s="499"/>
    </row>
    <row r="57" spans="2:9" ht="29" thickBot="1">
      <c r="B57" s="500" t="s">
        <v>598</v>
      </c>
      <c r="C57" s="501">
        <f>SUM(C47:C50)</f>
        <v>0</v>
      </c>
      <c r="D57" s="502"/>
    </row>
    <row r="58" spans="2:9" ht="14" thickBot="1"/>
    <row r="59" spans="2:9" ht="18" thickTop="1" thickBot="1">
      <c r="B59" s="1545" t="s">
        <v>394</v>
      </c>
      <c r="C59" s="1546"/>
      <c r="D59" s="534"/>
      <c r="E59" s="553"/>
    </row>
    <row r="60" spans="2:9" ht="14">
      <c r="B60" s="537" t="s">
        <v>248</v>
      </c>
      <c r="C60" s="503" t="s">
        <v>395</v>
      </c>
      <c r="D60" s="503" t="s">
        <v>396</v>
      </c>
      <c r="E60" s="554" t="s">
        <v>397</v>
      </c>
    </row>
    <row r="61" spans="2:9" ht="14">
      <c r="B61" s="536" t="str">
        <f>B32</f>
        <v>Industrial Electricity</v>
      </c>
      <c r="C61" s="599">
        <f ca="1">IF($B61="","",$C32/1000000*VLOOKUP($B61,Tbl_Emissions,3,FALSE))</f>
        <v>8.4386604392328328E-4</v>
      </c>
      <c r="D61" s="599">
        <f ca="1">IF($B61="","",$C32/1000000*VLOOKUP($B61,Tbl_Emissions,4,FALSE))</f>
        <v>6.4700069561760898E-4</v>
      </c>
      <c r="E61" s="600">
        <f ca="1">IF($B61="","",$C32/1000000*VLOOKUP($B61,Tbl_Emissions,5,FALSE))</f>
        <v>9.9718175494385361E-6</v>
      </c>
    </row>
    <row r="62" spans="2:9" ht="14">
      <c r="B62" s="536" t="str">
        <f>B33</f>
        <v>Industrial Natural Gas</v>
      </c>
      <c r="C62" s="599">
        <f ca="1">IF($B62="","",$C33/1000000*VLOOKUP($B62,Tbl_Emissions,3,FALSE))</f>
        <v>0.18180150015225835</v>
      </c>
      <c r="D62" s="599">
        <f ca="1">IF($B62="","",$C33/1000000*VLOOKUP($B62,Tbl_Emissions,4,FALSE))</f>
        <v>0.18174602212352711</v>
      </c>
      <c r="E62" s="600">
        <f ca="1">IF($B62="","",$C33/1000000*VLOOKUP($B62,Tbl_Emissions,5,FALSE))</f>
        <v>6.6292545798577536E-4</v>
      </c>
    </row>
    <row r="63" spans="2:9" ht="14">
      <c r="B63" s="536" t="str">
        <f>B34</f>
        <v/>
      </c>
      <c r="C63" s="599" t="str">
        <f>IF($B63="","",$C34/1000000*VLOOKUP($B63,Tbl_Emissions,3,FALSE))</f>
        <v/>
      </c>
      <c r="D63" s="599" t="str">
        <f>IF($B63="","",$C34/1000000*VLOOKUP($B63,Tbl_Emissions,4,FALSE))</f>
        <v/>
      </c>
      <c r="E63" s="600" t="str">
        <f>IF($B63="","",$C34/1000000*VLOOKUP($B63,Tbl_Emissions,5,FALSE))</f>
        <v/>
      </c>
    </row>
    <row r="64" spans="2:9" ht="14">
      <c r="B64" s="536" t="str">
        <f>B35</f>
        <v/>
      </c>
      <c r="C64" s="599" t="str">
        <f>IF($B64="","",$C35/1000000*VLOOKUP($B64,Tbl_Emissions,3,FALSE))</f>
        <v/>
      </c>
      <c r="D64" s="599" t="str">
        <f>IF($B64="","",$C35/1000000*VLOOKUP($B64,Tbl_Emissions,4,FALSE))</f>
        <v/>
      </c>
      <c r="E64" s="600" t="str">
        <f>IF($B64="","",$C35/1000000*VLOOKUP($B64,Tbl_Emissions,5,FALSE))</f>
        <v/>
      </c>
    </row>
    <row r="65" spans="2:7" ht="14">
      <c r="B65" s="537" t="s">
        <v>271</v>
      </c>
      <c r="C65" s="642"/>
      <c r="D65" s="642"/>
      <c r="E65" s="643"/>
    </row>
    <row r="66" spans="2:7" ht="14">
      <c r="B66" s="536" t="str">
        <f>B37</f>
        <v/>
      </c>
      <c r="C66" s="599" t="str">
        <f>IF($B66="","",$C37/1000000*VLOOKUP($B66,Tbl_Emissions,3,FALSE))</f>
        <v/>
      </c>
      <c r="D66" s="599" t="str">
        <f>IF($B66="","",$C37/1000000*VLOOKUP($B66,Tbl_Emissions,4,FALSE))</f>
        <v/>
      </c>
      <c r="E66" s="600" t="str">
        <f>IF($B66="","",$C37/1000000*VLOOKUP($B66,Tbl_Emissions,5,FALSE))</f>
        <v/>
      </c>
    </row>
    <row r="67" spans="2:7" ht="14">
      <c r="B67" s="536" t="str">
        <f>B38</f>
        <v/>
      </c>
      <c r="C67" s="599" t="str">
        <f>IF($B67="","",$C38/1000000*VLOOKUP($B67,Tbl_Emissions,3,FALSE))</f>
        <v/>
      </c>
      <c r="D67" s="599" t="str">
        <f>IF($B67="","",$C38/1000000*VLOOKUP($B67,Tbl_Emissions,4,FALSE))</f>
        <v/>
      </c>
      <c r="E67" s="600" t="str">
        <f>IF($B67="","",$C38/1000000*VLOOKUP($B67,Tbl_Emissions,5,FALSE))</f>
        <v/>
      </c>
    </row>
    <row r="68" spans="2:7" ht="14">
      <c r="B68" s="536" t="str">
        <f>B39</f>
        <v/>
      </c>
      <c r="C68" s="599" t="str">
        <f>IF($B68="","",$C39/1000000*VLOOKUP($B68,Tbl_Emissions,3,FALSE))</f>
        <v/>
      </c>
      <c r="D68" s="599" t="str">
        <f>IF($B68="","",$C39/1000000*VLOOKUP($B68,Tbl_Emissions,4,FALSE))</f>
        <v/>
      </c>
      <c r="E68" s="600" t="str">
        <f>IF($B68="","",$C39/1000000*VLOOKUP($B68,Tbl_Emissions,5,FALSE))</f>
        <v/>
      </c>
    </row>
    <row r="69" spans="2:7" ht="14">
      <c r="B69" s="536" t="str">
        <f>B40</f>
        <v/>
      </c>
      <c r="C69" s="599" t="str">
        <f>IF($B69="","",$C40/1000000*VLOOKUP($B69,Tbl_Emissions,3,FALSE))</f>
        <v/>
      </c>
      <c r="D69" s="599" t="str">
        <f>IF($B69="","",$C40/1000000*VLOOKUP($B69,Tbl_Emissions,4,FALSE))</f>
        <v/>
      </c>
      <c r="E69" s="600" t="str">
        <f>IF($B69="","",$C40/1000000*VLOOKUP($B69,Tbl_Emissions,5,FALSE))</f>
        <v/>
      </c>
    </row>
    <row r="70" spans="2:7" ht="14">
      <c r="B70" s="537" t="s">
        <v>398</v>
      </c>
      <c r="C70" s="642"/>
      <c r="D70" s="642"/>
      <c r="E70" s="643"/>
    </row>
    <row r="71" spans="2:7" ht="15" thickBot="1">
      <c r="B71" s="538" t="str">
        <f ca="1">B42</f>
        <v/>
      </c>
      <c r="C71" s="601" t="str">
        <f ca="1">IF($B71="","",$C42/1000000*VLOOKUP($B71,Tbl_Emissions,3,FALSE))</f>
        <v/>
      </c>
      <c r="D71" s="601" t="str">
        <f ca="1">IF($B71="","",$C42/1000000*VLOOKUP($B71,Tbl_Emissions,4,FALSE))</f>
        <v/>
      </c>
      <c r="E71" s="602" t="str">
        <f ca="1">IF($B71="","",$C42/1000000*VLOOKUP($B71,Tbl_Emissions,5,FALSE))</f>
        <v/>
      </c>
    </row>
    <row r="72" spans="2:7" ht="14" thickTop="1"/>
    <row r="74" spans="2:7" ht="21">
      <c r="B74" s="293" t="s">
        <v>399</v>
      </c>
    </row>
    <row r="75" spans="2:7" ht="14" thickBot="1"/>
    <row r="76" spans="2:7" ht="18" thickTop="1" thickBot="1">
      <c r="B76" s="605" t="s">
        <v>400</v>
      </c>
      <c r="C76" s="606"/>
      <c r="D76" s="607" t="s">
        <v>401</v>
      </c>
      <c r="E76" s="607" t="s">
        <v>402</v>
      </c>
      <c r="F76" s="607" t="s">
        <v>403</v>
      </c>
      <c r="G76" s="608" t="s">
        <v>404</v>
      </c>
    </row>
    <row r="77" spans="2:7">
      <c r="B77" s="1551" t="s">
        <v>537</v>
      </c>
      <c r="C77" s="1552"/>
      <c r="D77" s="610">
        <f ca="1">C121</f>
        <v>1.0254448318523408</v>
      </c>
      <c r="E77" s="614">
        <f ca="1">D121</f>
        <v>3.0829530165845383E-2</v>
      </c>
      <c r="F77" s="614">
        <f ca="1">E121</f>
        <v>1.4434169618099754E-4</v>
      </c>
      <c r="G77" s="615">
        <f ca="1">F121</f>
        <v>1.8391969114604128</v>
      </c>
    </row>
    <row r="78" spans="2:7">
      <c r="B78" s="1549" t="s">
        <v>536</v>
      </c>
      <c r="C78" s="1550"/>
      <c r="D78" s="611">
        <f ca="1">D89</f>
        <v>9.3727919252335106</v>
      </c>
      <c r="E78" s="616">
        <f ca="1">E89</f>
        <v>0</v>
      </c>
      <c r="F78" s="616">
        <f ca="1">F89</f>
        <v>0</v>
      </c>
      <c r="G78" s="617">
        <f ca="1">G89</f>
        <v>9.3727919252335106</v>
      </c>
    </row>
    <row r="79" spans="2:7">
      <c r="B79" s="1549"/>
      <c r="C79" s="1550"/>
      <c r="D79" s="612"/>
      <c r="E79" s="456"/>
      <c r="F79" s="456"/>
      <c r="G79" s="618"/>
    </row>
    <row r="80" spans="2:7" ht="14" thickBot="1">
      <c r="B80" s="1553" t="s">
        <v>538</v>
      </c>
      <c r="C80" s="1554"/>
      <c r="D80" s="613">
        <f ca="1">SUM(D77:D79)</f>
        <v>10.398236757085851</v>
      </c>
      <c r="E80" s="619">
        <f ca="1">SUM(E77:E79)</f>
        <v>3.0829530165845383E-2</v>
      </c>
      <c r="F80" s="619">
        <f ca="1">SUM(F77:F79)</f>
        <v>1.4434169618099754E-4</v>
      </c>
      <c r="G80" s="620">
        <f ca="1">SUM(G77:G79)</f>
        <v>11.211988836693923</v>
      </c>
    </row>
    <row r="81" spans="2:7" ht="15" thickTop="1" thickBot="1"/>
    <row r="82" spans="2:7" ht="18" thickTop="1" thickBot="1">
      <c r="B82" s="397" t="s">
        <v>533</v>
      </c>
      <c r="C82" s="398"/>
      <c r="D82" s="569" t="s">
        <v>401</v>
      </c>
      <c r="E82" s="570" t="s">
        <v>402</v>
      </c>
      <c r="F82" s="570" t="s">
        <v>403</v>
      </c>
      <c r="G82" s="571" t="s">
        <v>404</v>
      </c>
    </row>
    <row r="83" spans="2:7">
      <c r="B83" s="1551" t="s">
        <v>235</v>
      </c>
      <c r="C83" s="1552"/>
      <c r="D83" s="572">
        <f ca="1">SUM(C95:C105)</f>
        <v>9.3727919252335106</v>
      </c>
      <c r="E83" s="572">
        <f ca="1">SUM(D95:D105)</f>
        <v>0</v>
      </c>
      <c r="F83" s="572">
        <f ca="1">SUM(E95:E105)</f>
        <v>0</v>
      </c>
      <c r="G83" s="573">
        <f ca="1">SUM(F95:F105)</f>
        <v>9.3727919252335106</v>
      </c>
    </row>
    <row r="84" spans="2:7">
      <c r="B84" s="1549" t="s">
        <v>236</v>
      </c>
      <c r="C84" s="1550"/>
      <c r="D84" s="574">
        <f ca="1">ROUND(D83*output_kgyear/1000,-2)</f>
        <v>1487200</v>
      </c>
      <c r="E84" s="574">
        <f ca="1">ROUND(E83*output_kgyear/1000,-2)</f>
        <v>0</v>
      </c>
      <c r="F84" s="574">
        <f ca="1">ROUND(F83*output_kgyear/1000,-2)</f>
        <v>0</v>
      </c>
      <c r="G84" s="575">
        <f ca="1">ROUND(G83*output_kgyear/1000,-2)</f>
        <v>1487200</v>
      </c>
    </row>
    <row r="85" spans="2:7">
      <c r="B85" s="1549" t="s">
        <v>237</v>
      </c>
      <c r="C85" s="1550"/>
      <c r="D85" s="576">
        <f ca="1">SUM(C95:C98)</f>
        <v>9.3727919252335106</v>
      </c>
      <c r="E85" s="576">
        <f ca="1">SUM(D95:D98)</f>
        <v>0</v>
      </c>
      <c r="F85" s="576">
        <f ca="1">SUM(E95:E98)</f>
        <v>0</v>
      </c>
      <c r="G85" s="577">
        <f ca="1">SUM(F95:F98)</f>
        <v>9.3727919252335106</v>
      </c>
    </row>
    <row r="86" spans="2:7">
      <c r="B86" s="1549" t="s">
        <v>238</v>
      </c>
      <c r="C86" s="1550"/>
      <c r="D86" s="574">
        <f ca="1">ROUND(D85*output_kgyear/1000,-2)</f>
        <v>1487200</v>
      </c>
      <c r="E86" s="574">
        <f ca="1">ROUND(E85*output_kgyear/1000,-2)</f>
        <v>0</v>
      </c>
      <c r="F86" s="574">
        <f ca="1">ROUND(F85*output_kgyear/1000,-2)</f>
        <v>0</v>
      </c>
      <c r="G86" s="575">
        <f ca="1">ROUND(G85*output_kgyear/1000,-2)</f>
        <v>1487200</v>
      </c>
    </row>
    <row r="87" spans="2:7" ht="14">
      <c r="B87" s="682" t="s">
        <v>240</v>
      </c>
      <c r="C87" s="683"/>
      <c r="D87" s="707">
        <f ca="1">IF(CO2_CashFlow_eUse&gt;0,D85*CO2_Capture_Efficiency,0)</f>
        <v>0</v>
      </c>
      <c r="E87" s="574"/>
      <c r="F87" s="574"/>
      <c r="G87" s="708"/>
    </row>
    <row r="88" spans="2:7">
      <c r="B88" s="1549" t="s">
        <v>241</v>
      </c>
      <c r="C88" s="1550"/>
      <c r="D88" s="574">
        <f ca="1">ROUND(D87*output_kgyear/1000,-2)</f>
        <v>0</v>
      </c>
      <c r="E88" s="574"/>
      <c r="F88" s="574"/>
      <c r="G88" s="575"/>
    </row>
    <row r="89" spans="2:7">
      <c r="B89" s="1549" t="s">
        <v>239</v>
      </c>
      <c r="C89" s="1550"/>
      <c r="D89" s="707">
        <f ca="1">D83-D87</f>
        <v>9.3727919252335106</v>
      </c>
      <c r="E89" s="574">
        <f ca="1">E83-E87</f>
        <v>0</v>
      </c>
      <c r="F89" s="574">
        <f ca="1">F83-F87</f>
        <v>0</v>
      </c>
      <c r="G89" s="708">
        <f ca="1">D89*GHG_CO2_factor + E89*GHG_CH4_factor + F89*GHG_N2O_factor</f>
        <v>9.3727919252335106</v>
      </c>
    </row>
    <row r="90" spans="2:7" ht="14" thickBot="1">
      <c r="B90" s="1553" t="s">
        <v>1056</v>
      </c>
      <c r="C90" s="1554"/>
      <c r="D90" s="578">
        <f ca="1">ROUND(D89*output_kgyear/1000,-2)</f>
        <v>1487200</v>
      </c>
      <c r="E90" s="578">
        <f ca="1">ROUND(E89*output_kgyear/1000,-2)</f>
        <v>0</v>
      </c>
      <c r="F90" s="578">
        <f ca="1">ROUND(F89*output_kgyear/1000,-2)</f>
        <v>0</v>
      </c>
      <c r="G90" s="579">
        <f ca="1">ROUND(G89*output_kgyear/1000,-2)</f>
        <v>1487200</v>
      </c>
    </row>
    <row r="91" spans="2:7" ht="14" thickTop="1">
      <c r="B91" t="s">
        <v>242</v>
      </c>
    </row>
    <row r="92" spans="2:7" ht="14" thickBot="1"/>
    <row r="93" spans="2:7" ht="18" thickTop="1" thickBot="1">
      <c r="B93" s="1545" t="s">
        <v>534</v>
      </c>
      <c r="C93" s="1546"/>
      <c r="D93" s="534"/>
      <c r="E93" s="534"/>
      <c r="F93" s="553"/>
    </row>
    <row r="94" spans="2:7" ht="14">
      <c r="B94" s="580" t="s">
        <v>248</v>
      </c>
      <c r="C94" s="583" t="s">
        <v>401</v>
      </c>
      <c r="D94" s="583" t="s">
        <v>402</v>
      </c>
      <c r="E94" s="583" t="s">
        <v>403</v>
      </c>
      <c r="F94" s="584" t="s">
        <v>404</v>
      </c>
    </row>
    <row r="95" spans="2:7" ht="14">
      <c r="B95" s="581" t="str">
        <f>B32</f>
        <v>Industrial Electricity</v>
      </c>
      <c r="C95" s="585">
        <f ca="1">IF($B95="","",VLOOKUP($B95,MASTER_PROPERTY_TABLE,MATCH("CO2 Emissions Factor (kg CO2 produced/GJ feed)",key_MPTable,0),FALSE)*$E32*$F32)</f>
        <v>0</v>
      </c>
      <c r="D95" s="590">
        <f ca="1">IF($B95="","",VLOOKUP($B95,MASTER_PROPERTY_TABLE,MATCH("CH4 Emissions Factor (kg CH4 produced/GJ or mmBtu feed)",key_MPTable,0),FALSE)*$E32*$F32)</f>
        <v>0</v>
      </c>
      <c r="E95" s="590">
        <f ca="1">IF($B95="","",VLOOKUP($B95,MASTER_PROPERTY_TABLE,MATCH("N2O Emissions Factor (kg N2O produced/GJ or mmBtu feed)",key_MPTable,0),FALSE)*$E32*$F32)</f>
        <v>0</v>
      </c>
      <c r="F95" s="593">
        <f ca="1">IF($B95="","",$C95*GHG_CO2_factor+$D95*GHG_CH4_factor+$E95*GHG_N2O_factor)</f>
        <v>0</v>
      </c>
    </row>
    <row r="96" spans="2:7" ht="14">
      <c r="B96" s="581" t="str">
        <f>B33</f>
        <v>Industrial Natural Gas</v>
      </c>
      <c r="C96" s="585">
        <f ca="1">IF($B96="","",VLOOKUP($B96,MASTER_PROPERTY_TABLE,MATCH("CO2 Emissions Factor (kg CO2 produced/GJ feed)",key_MPTable,0),FALSE)*$E33*$F33)</f>
        <v>9.3727919252335106</v>
      </c>
      <c r="D96" s="590">
        <f ca="1">IF($B96="","",VLOOKUP($B96,MASTER_PROPERTY_TABLE,MATCH("CH4 Emissions Factor (kg CH4 produced/GJ or mmBtu feed)",key_MPTable,0),FALSE)*$E33*$F33)</f>
        <v>0</v>
      </c>
      <c r="E96" s="590">
        <f ca="1">IF($B96="","",VLOOKUP($B96,MASTER_PROPERTY_TABLE,MATCH("N2O Emissions Factor (kg N2O produced/GJ or mmBtu feed)",key_MPTable,0),FALSE)*$E33*$F33)</f>
        <v>0</v>
      </c>
      <c r="F96" s="593">
        <f ca="1">IF($B96="","",$C96*GHG_CO2_factor+$D96*GHG_CH4_factor+$E96*GHG_N2O_factor)</f>
        <v>9.3727919252335106</v>
      </c>
    </row>
    <row r="97" spans="2:6" ht="14">
      <c r="B97" s="581" t="str">
        <f>B34</f>
        <v/>
      </c>
      <c r="C97" s="585" t="str">
        <f>IF($B97="","",VLOOKUP($B97,MASTER_PROPERTY_TABLE,MATCH("CO2 Emissions Factor (kg CO2 produced/GJ feed)",key_MPTable,0),FALSE)*$E34*$F34)</f>
        <v/>
      </c>
      <c r="D97" s="590" t="str">
        <f>IF($B97="","",VLOOKUP($B97,MASTER_PROPERTY_TABLE,MATCH("CH4 Emissions Factor (kg CH4 produced/GJ or mmBtu feed)",key_MPTable,0),FALSE)*$E34*$F34)</f>
        <v/>
      </c>
      <c r="E97" s="590" t="str">
        <f>IF($B97="","",VLOOKUP($B97,MASTER_PROPERTY_TABLE,MATCH("N2O Emissions Factor (kg N2O produced/GJ or mmBtu feed)",key_MPTable,0),FALSE)*$E34*$F34)</f>
        <v/>
      </c>
      <c r="F97" s="593" t="str">
        <f>IF($B97="","",$C97*GHG_CO2_factor+$D97*GHG_CH4_factor+$E97*GHG_N2O_factor)</f>
        <v/>
      </c>
    </row>
    <row r="98" spans="2:6" ht="14">
      <c r="B98" s="581" t="str">
        <f>B35</f>
        <v/>
      </c>
      <c r="C98" s="585" t="str">
        <f>IF($B98="","",VLOOKUP($B98,MASTER_PROPERTY_TABLE,MATCH("CO2 Emissions Factor (kg CO2 produced/GJ feed)",key_MPTable,0),FALSE)*$E35*$F35)</f>
        <v/>
      </c>
      <c r="D98" s="590" t="str">
        <f>IF($B98="","",VLOOKUP($B98,MASTER_PROPERTY_TABLE,MATCH("CH4 Emissions Factor (kg CH4 produced/GJ or mmBtu feed)",key_MPTable,0),FALSE)*$E35*$F35)</f>
        <v/>
      </c>
      <c r="E98" s="590" t="str">
        <f>IF($B98="","",VLOOKUP($B98,MASTER_PROPERTY_TABLE,MATCH("N2O Emissions Factor (kg N2O produced/GJ or mmBtu feed)",key_MPTable,0),FALSE)*$E35*$F35)</f>
        <v/>
      </c>
      <c r="F98" s="593" t="str">
        <f>IF($B98="","",$C98*GHG_CO2_factor+$D98*GHG_CH4_factor+$E98*GHG_N2O_factor)</f>
        <v/>
      </c>
    </row>
    <row r="99" spans="2:6" ht="14">
      <c r="B99" s="644" t="s">
        <v>271</v>
      </c>
      <c r="C99" s="645"/>
      <c r="D99" s="646"/>
      <c r="E99" s="646"/>
      <c r="F99" s="647"/>
    </row>
    <row r="100" spans="2:6" ht="14">
      <c r="B100" s="581" t="str">
        <f>B37</f>
        <v/>
      </c>
      <c r="C100" s="585" t="str">
        <f>IF($B100="","",VLOOKUP($B100,MASTER_PROPERTY_TABLE,MATCH("CO2 Emissions Factor (kg CO2 produced/GJ feed)",key_MPTable,0),FALSE)*$E37*$F37)</f>
        <v/>
      </c>
      <c r="D100" s="590" t="str">
        <f>IF($B100="","",VLOOKUP($B100,MASTER_PROPERTY_TABLE,MATCH("CH4 Emissions Factor (kg CH4 produced/GJ or mmBtu feed)",key_MPTable,0),FALSE)*$E37*$F37)</f>
        <v/>
      </c>
      <c r="E100" s="590" t="str">
        <f>IF($B100="","",VLOOKUP($B100,MASTER_PROPERTY_TABLE,MATCH("N2O Emissions Factor (kg N2O produced/GJ or mmBtu feed)",key_MPTable,0),FALSE)*$E37*$F37)</f>
        <v/>
      </c>
      <c r="F100" s="593" t="str">
        <f>IF($B100="","",$C100*GHG_CO2_factor+$D100*GHG_CH4_factor+$E100*GHG_N2O_factor)</f>
        <v/>
      </c>
    </row>
    <row r="101" spans="2:6" ht="14">
      <c r="B101" s="581" t="str">
        <f>B38</f>
        <v/>
      </c>
      <c r="C101" s="585" t="str">
        <f>IF($B101="","",VLOOKUP($B101,MASTER_PROPERTY_TABLE,MATCH("CO2 Emissions Factor (kg CO2 produced/GJ feed)",key_MPTable,0),FALSE)*$E38*$F38)</f>
        <v/>
      </c>
      <c r="D101" s="590" t="str">
        <f>IF($B101="","",VLOOKUP($B101,MASTER_PROPERTY_TABLE,MATCH("CH4 Emissions Factor (kg CH4 produced/GJ or mmBtu feed)",key_MPTable,0),FALSE)*$E38*$F38)</f>
        <v/>
      </c>
      <c r="E101" s="590" t="str">
        <f>IF($B101="","",VLOOKUP($B101,MASTER_PROPERTY_TABLE,MATCH("N2O Emissions Factor (kg N2O produced/GJ or mmBtu feed)",key_MPTable,0),FALSE)*$E38*$F38)</f>
        <v/>
      </c>
      <c r="F101" s="593" t="str">
        <f>IF($B101="","",$C101*GHG_CO2_factor+$D101*GHG_CH4_factor+$E101*GHG_N2O_factor)</f>
        <v/>
      </c>
    </row>
    <row r="102" spans="2:6" ht="14">
      <c r="B102" s="581" t="str">
        <f>B39</f>
        <v/>
      </c>
      <c r="C102" s="585" t="str">
        <f>IF($B102="","",VLOOKUP($B102,MASTER_PROPERTY_TABLE,MATCH("CO2 Emissions Factor (kg CO2 produced/GJ feed)",key_MPTable,0),FALSE)*$E39*$F39)</f>
        <v/>
      </c>
      <c r="D102" s="590" t="str">
        <f>IF($B102="","",VLOOKUP($B102,MASTER_PROPERTY_TABLE,MATCH("CH4 Emissions Factor (kg CH4 produced/GJ or mmBtu feed)",key_MPTable,0),FALSE)*$E39*$F39)</f>
        <v/>
      </c>
      <c r="E102" s="590" t="str">
        <f>IF($B102="","",VLOOKUP($B102,MASTER_PROPERTY_TABLE,MATCH("N2O Emissions Factor (kg N2O produced/GJ or mmBtu feed)",key_MPTable,0),FALSE)*$E39*$F39)</f>
        <v/>
      </c>
      <c r="F102" s="593" t="str">
        <f>IF($B102="","",$C102*GHG_CO2_factor+$D102*GHG_CH4_factor+$E102*GHG_N2O_factor)</f>
        <v/>
      </c>
    </row>
    <row r="103" spans="2:6" ht="14">
      <c r="B103" s="581" t="str">
        <f>B40</f>
        <v/>
      </c>
      <c r="C103" s="585" t="str">
        <f>IF($B103="","",VLOOKUP($B103,MASTER_PROPERTY_TABLE,MATCH("CO2 Emissions Factor (kg CO2 produced/GJ feed)",key_MPTable,0),FALSE)*$E40*$F40)</f>
        <v/>
      </c>
      <c r="D103" s="590" t="str">
        <f>IF($B103="","",VLOOKUP($B103,MASTER_PROPERTY_TABLE,MATCH("CH4 Emissions Factor (kg CH4 produced/GJ or mmBtu feed)",key_MPTable,0),FALSE)*$E40*$F40)</f>
        <v/>
      </c>
      <c r="E103" s="590" t="str">
        <f>IF($B103="","",VLOOKUP($B103,MASTER_PROPERTY_TABLE,MATCH("N2O Emissions Factor (kg N2O produced/GJ or mmBtu feed)",key_MPTable,0),FALSE)*$E40*$F40)</f>
        <v/>
      </c>
      <c r="F103" s="593" t="str">
        <f>IF($B103="","",$C103*GHG_CO2_factor+$D103*GHG_CH4_factor+$E103*GHG_N2O_factor)</f>
        <v/>
      </c>
    </row>
    <row r="104" spans="2:6" ht="14">
      <c r="B104" s="644" t="s">
        <v>398</v>
      </c>
      <c r="C104" s="645"/>
      <c r="D104" s="646"/>
      <c r="E104" s="646"/>
      <c r="F104" s="647"/>
    </row>
    <row r="105" spans="2:6" ht="15" thickBot="1">
      <c r="B105" s="582" t="str">
        <f ca="1">B42</f>
        <v/>
      </c>
      <c r="C105" s="596" t="str">
        <f ca="1">IF($B105="","",VLOOKUP($B105,MASTER_PROPERTY_TABLE,MATCH("CO2 Emissions Factor (kg CO2 produced/GJ feed)",key_MPTable,0),FALSE)*$E42*$F42)</f>
        <v/>
      </c>
      <c r="D105" s="597" t="str">
        <f ca="1">IF($B105="","",VLOOKUP($B105,MASTER_PROPERTY_TABLE,MATCH("CH4 Emissions Factor (kg CH4 produced/GJ or mmBtu feed)",key_MPTable,0),FALSE)*$E42*$F42)</f>
        <v/>
      </c>
      <c r="E105" s="597" t="str">
        <f ca="1">IF($B105="","",VLOOKUP($B105,MASTER_PROPERTY_TABLE,MATCH("N2O Emissions Factor (kg N2O produced/GJ or mmBtu feed)",key_MPTable,0),FALSE)*$E42*$F42)</f>
        <v/>
      </c>
      <c r="F105" s="598" t="str">
        <f ca="1">IF($B105="","",$C105*GHG_CO2_factor+$D105*GHG_CH4_factor+$E105*GHG_N2O_factor)</f>
        <v/>
      </c>
    </row>
    <row r="106" spans="2:6" ht="14" thickTop="1"/>
    <row r="107" spans="2:6" ht="14" thickBot="1"/>
    <row r="108" spans="2:6" ht="18" thickTop="1" thickBot="1">
      <c r="B108" s="1545" t="s">
        <v>1338</v>
      </c>
      <c r="C108" s="1546"/>
      <c r="D108" s="534"/>
      <c r="E108" s="534"/>
      <c r="F108" s="553"/>
    </row>
    <row r="109" spans="2:6" ht="14">
      <c r="B109" s="580" t="s">
        <v>248</v>
      </c>
      <c r="C109" s="583" t="s">
        <v>401</v>
      </c>
      <c r="D109" s="583" t="s">
        <v>402</v>
      </c>
      <c r="E109" s="583" t="s">
        <v>403</v>
      </c>
      <c r="F109" s="584" t="s">
        <v>404</v>
      </c>
    </row>
    <row r="110" spans="2:6" ht="14">
      <c r="B110" s="581" t="str">
        <f>B32</f>
        <v>Industrial Electricity</v>
      </c>
      <c r="C110" s="585">
        <f ca="1">IF($B110="","",$C32*VLOOKUP($B110,Tbl_Emissions,6,FALSE))</f>
        <v>6.6168689257676619E-2</v>
      </c>
      <c r="D110" s="590">
        <f ca="1">IF($B110="","",$C32*VLOOKUP($B110,Tbl_Emissions,7,FALSE))</f>
        <v>1.0037950034780878E-4</v>
      </c>
      <c r="E110" s="590">
        <f ca="1">IF($B110="","",$C32*VLOOKUP($B110,Tbl_Emissions,8,FALSE))</f>
        <v>9.6797726324157812E-7</v>
      </c>
      <c r="F110" s="593">
        <f ca="1">IF($B110="","",$C110*GHG_CO2_factor+$D110*GHG_CH4_factor+$E110*GHG_N2O_factor)</f>
        <v>6.896663399081783E-2</v>
      </c>
    </row>
    <row r="111" spans="2:6" ht="14">
      <c r="B111" s="581" t="str">
        <f>B33</f>
        <v>Industrial Natural Gas</v>
      </c>
      <c r="C111" s="585">
        <f ca="1">IF($B111="","",$C33*VLOOKUP($B111,Tbl_Emissions,6,FALSE))</f>
        <v>0.95927614259466409</v>
      </c>
      <c r="D111" s="590">
        <f ca="1">IF($B111="","",$C33*VLOOKUP($B111,Tbl_Emissions,7,FALSE))</f>
        <v>3.0729150665497574E-2</v>
      </c>
      <c r="E111" s="590">
        <f ca="1">IF($B111="","",$C33*VLOOKUP($B111,Tbl_Emissions,8,FALSE))</f>
        <v>1.4337371891775597E-4</v>
      </c>
      <c r="F111" s="593">
        <f ca="1">IF($B111="","",$C111*GHG_CO2_factor+$D111*GHG_CH4_factor+$E111*GHG_N2O_factor)</f>
        <v>1.7702302774695948</v>
      </c>
    </row>
    <row r="112" spans="2:6" ht="14">
      <c r="B112" s="581" t="str">
        <f>B34</f>
        <v/>
      </c>
      <c r="C112" s="585" t="str">
        <f>IF($B112="","",$C34*VLOOKUP($B112,Tbl_Emissions,6,FALSE))</f>
        <v/>
      </c>
      <c r="D112" s="590" t="str">
        <f>IF($B112="","",$C34*VLOOKUP($B112,Tbl_Emissions,7,FALSE))</f>
        <v/>
      </c>
      <c r="E112" s="590" t="str">
        <f>IF($B112="","",$C34*VLOOKUP($B112,Tbl_Emissions,8,FALSE))</f>
        <v/>
      </c>
      <c r="F112" s="593" t="str">
        <f>IF($B112="","",$C112*GHG_CO2_factor+$D112*GHG_CH4_factor+$E112*GHG_N2O_factor)</f>
        <v/>
      </c>
    </row>
    <row r="113" spans="2:6" ht="14">
      <c r="B113" s="581" t="str">
        <f>B35</f>
        <v/>
      </c>
      <c r="C113" s="585" t="str">
        <f>IF($B113="","",$C35*VLOOKUP($B113,Tbl_Emissions,6,FALSE))</f>
        <v/>
      </c>
      <c r="D113" s="590" t="str">
        <f>IF($B113="","",$C35*VLOOKUP($B113,Tbl_Emissions,7,FALSE))</f>
        <v/>
      </c>
      <c r="E113" s="590" t="str">
        <f>IF($B113="","",$C35*VLOOKUP($B113,Tbl_Emissions,8,FALSE))</f>
        <v/>
      </c>
      <c r="F113" s="593" t="str">
        <f>IF($B113="","",$C113*GHG_CO2_factor+$D113*GHG_CH4_factor+$E113*GHG_N2O_factor)</f>
        <v/>
      </c>
    </row>
    <row r="114" spans="2:6" ht="14">
      <c r="B114" s="644" t="s">
        <v>271</v>
      </c>
      <c r="C114" s="645"/>
      <c r="D114" s="646"/>
      <c r="E114" s="646"/>
      <c r="F114" s="647"/>
    </row>
    <row r="115" spans="2:6" ht="14">
      <c r="B115" s="581" t="str">
        <f>B37</f>
        <v/>
      </c>
      <c r="C115" s="585" t="str">
        <f>IF($B115="","",$C37*VLOOKUP($B115,Tbl_Emissions,6,FALSE))</f>
        <v/>
      </c>
      <c r="D115" s="590" t="str">
        <f>IF($B115="","",$C37*VLOOKUP($B115,Tbl_Emissions,7,FALSE))</f>
        <v/>
      </c>
      <c r="E115" s="590" t="str">
        <f>IF($B115="","",$C37*VLOOKUP($B115,Tbl_Emissions,8,FALSE))</f>
        <v/>
      </c>
      <c r="F115" s="593" t="str">
        <f>IF($B115="","",$C115*GHG_CO2_factor+$D115*GHG_CH4_factor+$E115*GHG_N2O_factor)</f>
        <v/>
      </c>
    </row>
    <row r="116" spans="2:6" ht="14">
      <c r="B116" s="581" t="str">
        <f>B38</f>
        <v/>
      </c>
      <c r="C116" s="585" t="str">
        <f>IF($B116="","",$C38*VLOOKUP($B116,Tbl_Emissions,6,FALSE))</f>
        <v/>
      </c>
      <c r="D116" s="590" t="str">
        <f>IF($B116="","",$C38*VLOOKUP($B116,Tbl_Emissions,7,FALSE))</f>
        <v/>
      </c>
      <c r="E116" s="590" t="str">
        <f>IF($B116="","",$C38*VLOOKUP($B116,Tbl_Emissions,8,FALSE))</f>
        <v/>
      </c>
      <c r="F116" s="593" t="str">
        <f>IF($B116="","",$C116*GHG_CO2_factor+$D116*GHG_CH4_factor+$E116*GHG_N2O_factor)</f>
        <v/>
      </c>
    </row>
    <row r="117" spans="2:6" ht="14">
      <c r="B117" s="581" t="str">
        <f>B39</f>
        <v/>
      </c>
      <c r="C117" s="585" t="str">
        <f>IF($B117="","",$C39*VLOOKUP($B117,Tbl_Emissions,6,FALSE))</f>
        <v/>
      </c>
      <c r="D117" s="590" t="str">
        <f>IF($B117="","",$C39*VLOOKUP($B117,Tbl_Emissions,7,FALSE))</f>
        <v/>
      </c>
      <c r="E117" s="590" t="str">
        <f>IF($B117="","",$C39*VLOOKUP($B117,Tbl_Emissions,8,FALSE))</f>
        <v/>
      </c>
      <c r="F117" s="593" t="str">
        <f>IF($B117="","",$C117*GHG_CO2_factor+$D117*GHG_CH4_factor+$E117*GHG_N2O_factor)</f>
        <v/>
      </c>
    </row>
    <row r="118" spans="2:6" ht="14">
      <c r="B118" s="581" t="str">
        <f>B40</f>
        <v/>
      </c>
      <c r="C118" s="585" t="str">
        <f>IF($B118="","",$C40*VLOOKUP($B118,Tbl_Emissions,6,FALSE))</f>
        <v/>
      </c>
      <c r="D118" s="590" t="str">
        <f>IF($B118="","",$C40*VLOOKUP($B118,Tbl_Emissions,7,FALSE))</f>
        <v/>
      </c>
      <c r="E118" s="590" t="str">
        <f>IF($B118="","",$C40*VLOOKUP($B118,Tbl_Emissions,8,FALSE))</f>
        <v/>
      </c>
      <c r="F118" s="593" t="str">
        <f>IF($B118="","",$C118*GHG_CO2_factor+$D118*GHG_CH4_factor+$E118*GHG_N2O_factor)</f>
        <v/>
      </c>
    </row>
    <row r="119" spans="2:6" ht="14">
      <c r="B119" s="644" t="s">
        <v>398</v>
      </c>
      <c r="C119" s="645"/>
      <c r="D119" s="646"/>
      <c r="E119" s="646"/>
      <c r="F119" s="647"/>
    </row>
    <row r="120" spans="2:6" ht="15" thickBot="1">
      <c r="B120" s="586" t="str">
        <f ca="1">B42</f>
        <v/>
      </c>
      <c r="C120" s="588" t="str">
        <f ca="1">IF($B120="","",$C42*VLOOKUP($B120,Tbl_Emissions,6,FALSE))</f>
        <v/>
      </c>
      <c r="D120" s="591" t="str">
        <f ca="1">IF($B120="","",$C42*VLOOKUP($B120,Tbl_Emissions,7,FALSE))</f>
        <v/>
      </c>
      <c r="E120" s="591" t="str">
        <f ca="1">IF($B120="","",$C42*VLOOKUP($B120,Tbl_Emissions,8,FALSE))</f>
        <v/>
      </c>
      <c r="F120" s="594" t="str">
        <f ca="1">IF($B120="","",$C120*GHG_CO2_factor+$D120*GHG_CH4_factor+$E120*GHG_N2O_factor)</f>
        <v/>
      </c>
    </row>
    <row r="121" spans="2:6" ht="14" thickBot="1">
      <c r="B121" s="587" t="s">
        <v>539</v>
      </c>
      <c r="C121" s="589">
        <f ca="1">SUM(C110:C120)</f>
        <v>1.0254448318523408</v>
      </c>
      <c r="D121" s="592">
        <f ca="1">SUM(D110:D120)</f>
        <v>3.0829530165845383E-2</v>
      </c>
      <c r="E121" s="592">
        <f ca="1">SUM(E110:E120)</f>
        <v>1.4434169618099754E-4</v>
      </c>
      <c r="F121" s="595">
        <f ca="1">SUM(F110:F120)</f>
        <v>1.8391969114604128</v>
      </c>
    </row>
    <row r="122" spans="2:6" ht="14" thickTop="1"/>
  </sheetData>
  <mergeCells count="18">
    <mergeCell ref="B108:C108"/>
    <mergeCell ref="B86:C86"/>
    <mergeCell ref="B59:C59"/>
    <mergeCell ref="B77:C77"/>
    <mergeCell ref="B78:C78"/>
    <mergeCell ref="B79:C79"/>
    <mergeCell ref="B80:C80"/>
    <mergeCell ref="B90:C90"/>
    <mergeCell ref="B88:C88"/>
    <mergeCell ref="B83:C83"/>
    <mergeCell ref="B84:C84"/>
    <mergeCell ref="B85:C85"/>
    <mergeCell ref="B89:C89"/>
    <mergeCell ref="F17:H17"/>
    <mergeCell ref="F23:H23"/>
    <mergeCell ref="B30:C30"/>
    <mergeCell ref="B52:C52"/>
    <mergeCell ref="B93:C93"/>
  </mergeCells>
  <phoneticPr fontId="2"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workbookViewId="0">
      <selection activeCell="C48" sqref="C48"/>
    </sheetView>
  </sheetViews>
  <sheetFormatPr baseColWidth="10" defaultColWidth="8.83203125" defaultRowHeight="13"/>
  <cols>
    <col min="1" max="1" width="7.33203125" customWidth="1"/>
    <col min="2" max="2" width="35.5" customWidth="1"/>
    <col min="3" max="3" width="18.6640625" customWidth="1"/>
    <col min="4" max="6" width="20.6640625" customWidth="1"/>
    <col min="7" max="8" width="16.33203125" customWidth="1"/>
    <col min="9" max="9" width="16" bestFit="1" customWidth="1"/>
    <col min="10" max="15" width="12.33203125" customWidth="1"/>
    <col min="16" max="16" width="17.5" bestFit="1" customWidth="1"/>
    <col min="17" max="22" width="12.33203125" customWidth="1"/>
    <col min="23" max="23" width="18.5" customWidth="1"/>
    <col min="24" max="24" width="12.33203125" customWidth="1"/>
  </cols>
  <sheetData>
    <row r="1" spans="1:73">
      <c r="A1" s="876"/>
      <c r="B1" s="876"/>
      <c r="C1" s="877"/>
      <c r="D1" s="876"/>
      <c r="E1" s="876"/>
      <c r="F1" s="877"/>
      <c r="G1" s="877"/>
      <c r="H1" s="876"/>
      <c r="I1" s="876"/>
      <c r="J1" s="876"/>
      <c r="K1" s="876"/>
      <c r="L1" s="876"/>
      <c r="M1" s="876"/>
      <c r="N1" s="876"/>
      <c r="O1" s="876"/>
      <c r="P1" s="876"/>
      <c r="Q1" s="876"/>
      <c r="R1" s="876"/>
      <c r="S1" s="876"/>
      <c r="T1" s="876"/>
      <c r="U1" s="876"/>
      <c r="V1" s="876"/>
      <c r="W1" s="876"/>
      <c r="X1" s="876"/>
      <c r="Y1" s="876"/>
      <c r="Z1" s="876"/>
      <c r="AA1" s="876"/>
      <c r="AB1" s="876"/>
      <c r="AC1" s="876"/>
      <c r="AD1" s="876"/>
      <c r="AE1" s="876"/>
      <c r="AF1" s="876"/>
      <c r="AG1" s="876"/>
      <c r="AH1" s="876"/>
      <c r="AI1" s="876"/>
      <c r="AJ1" s="876"/>
      <c r="AK1" s="876"/>
      <c r="AL1" s="876"/>
      <c r="AM1" s="876"/>
      <c r="AN1" s="876"/>
      <c r="AO1" s="876"/>
      <c r="AP1" s="876"/>
      <c r="AQ1" s="876"/>
      <c r="AR1" s="876"/>
      <c r="AS1" s="876"/>
      <c r="AT1" s="876"/>
      <c r="AU1" s="876"/>
      <c r="AV1" s="876"/>
      <c r="AW1" s="876"/>
      <c r="AX1" s="876"/>
      <c r="AY1" s="876"/>
      <c r="AZ1" s="876"/>
      <c r="BA1" s="876"/>
      <c r="BB1" s="876"/>
      <c r="BC1" s="876"/>
      <c r="BD1" s="876"/>
      <c r="BE1" s="876"/>
      <c r="BF1" s="876"/>
      <c r="BG1" s="876"/>
      <c r="BH1" s="876"/>
      <c r="BI1" s="876"/>
      <c r="BJ1" s="876"/>
      <c r="BK1" s="876"/>
      <c r="BL1" s="876"/>
      <c r="BM1" s="876"/>
      <c r="BN1" s="876"/>
      <c r="BO1" s="876"/>
      <c r="BP1" s="876"/>
      <c r="BQ1" s="876"/>
      <c r="BR1" s="876"/>
      <c r="BS1" s="876"/>
      <c r="BT1" s="876"/>
      <c r="BU1" s="876"/>
    </row>
    <row r="2" spans="1:73" ht="28">
      <c r="A2" s="876"/>
      <c r="B2" s="887" t="s">
        <v>1132</v>
      </c>
      <c r="C2" s="887" t="s">
        <v>1131</v>
      </c>
      <c r="D2" s="887" t="s">
        <v>1198</v>
      </c>
      <c r="E2" s="887" t="s">
        <v>1199</v>
      </c>
      <c r="F2" s="887" t="s">
        <v>1135</v>
      </c>
      <c r="G2" s="887" t="s">
        <v>1136</v>
      </c>
      <c r="H2" s="887" t="s">
        <v>1137</v>
      </c>
      <c r="I2" s="887" t="s">
        <v>1138</v>
      </c>
      <c r="J2" s="877"/>
      <c r="K2" s="877"/>
      <c r="L2" s="876"/>
      <c r="M2" s="876"/>
      <c r="N2" s="876"/>
      <c r="O2" s="876"/>
      <c r="P2" s="876"/>
      <c r="Q2" s="876"/>
      <c r="R2" s="876"/>
      <c r="S2" s="876"/>
      <c r="T2" s="876"/>
      <c r="U2" s="876"/>
      <c r="V2" s="876"/>
      <c r="W2" s="876"/>
      <c r="X2" s="876"/>
      <c r="Y2" s="876"/>
      <c r="Z2" s="876"/>
      <c r="AA2" s="876"/>
      <c r="AB2" s="876"/>
      <c r="AC2" s="876"/>
      <c r="AD2" s="876"/>
      <c r="AE2" s="876"/>
      <c r="AF2" s="876"/>
      <c r="AG2" s="876"/>
      <c r="AH2" s="876"/>
      <c r="AI2" s="876"/>
      <c r="AJ2" s="876"/>
      <c r="AK2" s="876"/>
      <c r="AL2" s="876"/>
      <c r="AM2" s="876"/>
      <c r="AN2" s="876"/>
      <c r="AO2" s="876"/>
      <c r="AP2" s="876"/>
      <c r="AQ2" s="876"/>
      <c r="AR2" s="876"/>
      <c r="AS2" s="876"/>
      <c r="AT2" s="876"/>
      <c r="AU2" s="876"/>
      <c r="AV2" s="876"/>
      <c r="AW2" s="876"/>
      <c r="AX2" s="876"/>
      <c r="AY2" s="876"/>
      <c r="AZ2" s="876"/>
      <c r="BA2" s="876"/>
      <c r="BB2" s="876"/>
      <c r="BC2" s="876"/>
      <c r="BD2" s="876"/>
      <c r="BE2" s="876"/>
      <c r="BF2" s="876"/>
      <c r="BG2" s="876"/>
      <c r="BH2" s="876"/>
      <c r="BI2" s="876"/>
      <c r="BJ2" s="876"/>
      <c r="BK2" s="876"/>
      <c r="BL2" s="876"/>
      <c r="BM2" s="876"/>
      <c r="BN2" s="876"/>
      <c r="BO2" s="876"/>
      <c r="BP2" s="876"/>
      <c r="BQ2" s="876"/>
      <c r="BR2" s="876"/>
      <c r="BS2" s="876"/>
      <c r="BT2" s="876"/>
      <c r="BU2" s="876"/>
    </row>
    <row r="3" spans="1:73">
      <c r="A3" s="876"/>
      <c r="B3" s="879" t="s">
        <v>1172</v>
      </c>
      <c r="C3" s="883">
        <f ca="1">+cap_factor</f>
        <v>0.9</v>
      </c>
      <c r="D3" s="882">
        <v>0.05</v>
      </c>
      <c r="E3" s="882">
        <v>0.05</v>
      </c>
      <c r="F3" s="891">
        <f>1+D3</f>
        <v>1.05</v>
      </c>
      <c r="G3" s="889">
        <f>1-E3</f>
        <v>0.95</v>
      </c>
      <c r="H3" s="881">
        <f t="shared" ref="H3:H9" ca="1" si="0">+C3*F3</f>
        <v>0.94500000000000006</v>
      </c>
      <c r="I3" s="881">
        <f t="shared" ref="I3:I9" ca="1" si="1">+C3*G3</f>
        <v>0.85499999999999998</v>
      </c>
      <c r="J3" s="1197"/>
      <c r="K3" s="1197"/>
      <c r="L3" s="876"/>
      <c r="M3" s="876"/>
      <c r="N3" s="876"/>
      <c r="O3" s="876"/>
      <c r="P3" s="876"/>
      <c r="Q3" s="876"/>
      <c r="R3" s="876"/>
      <c r="S3" s="876"/>
      <c r="T3" s="876"/>
      <c r="U3" s="876"/>
      <c r="V3" s="876"/>
      <c r="W3" s="876"/>
      <c r="X3" s="876"/>
      <c r="Y3" s="876"/>
      <c r="Z3" s="876"/>
      <c r="AA3" s="876"/>
      <c r="AB3" s="876"/>
      <c r="AC3" s="876"/>
      <c r="AD3" s="876"/>
      <c r="AE3" s="876"/>
      <c r="AF3" s="876"/>
      <c r="AG3" s="876"/>
      <c r="AH3" s="876"/>
      <c r="AI3" s="876"/>
      <c r="AJ3" s="876"/>
      <c r="AK3" s="876"/>
      <c r="AL3" s="876"/>
      <c r="AM3" s="876"/>
      <c r="AN3" s="876"/>
      <c r="AO3" s="876"/>
      <c r="AP3" s="876"/>
      <c r="AQ3" s="876"/>
      <c r="AR3" s="876"/>
      <c r="AS3" s="876"/>
      <c r="AT3" s="876"/>
      <c r="AU3" s="876"/>
      <c r="AV3" s="876"/>
      <c r="AW3" s="876"/>
      <c r="AX3" s="876"/>
      <c r="AY3" s="876"/>
      <c r="AZ3" s="876"/>
      <c r="BA3" s="876"/>
      <c r="BB3" s="876"/>
      <c r="BC3" s="876"/>
      <c r="BD3" s="876"/>
      <c r="BE3" s="876"/>
      <c r="BF3" s="876"/>
      <c r="BG3" s="876"/>
      <c r="BH3" s="876"/>
      <c r="BI3" s="876"/>
      <c r="BJ3" s="876"/>
      <c r="BK3" s="876"/>
      <c r="BL3" s="876"/>
      <c r="BM3" s="876"/>
      <c r="BN3" s="876"/>
      <c r="BO3" s="876"/>
      <c r="BP3" s="876"/>
      <c r="BQ3" s="876"/>
      <c r="BR3" s="876"/>
      <c r="BS3" s="876"/>
      <c r="BT3" s="876"/>
      <c r="BU3" s="876"/>
    </row>
    <row r="4" spans="1:73">
      <c r="A4" s="876"/>
      <c r="B4" s="879" t="str">
        <f>+Input_Sheet_Template!B26</f>
        <v>Plant Design Capacity (kg of H2/day)</v>
      </c>
      <c r="C4" s="884">
        <f ca="1">+design_cap</f>
        <v>483024</v>
      </c>
      <c r="D4" s="882">
        <v>0.05</v>
      </c>
      <c r="E4" s="882">
        <v>0.05</v>
      </c>
      <c r="F4" s="891">
        <f>1+D4</f>
        <v>1.05</v>
      </c>
      <c r="G4" s="889">
        <f>1-E4</f>
        <v>0.95</v>
      </c>
      <c r="H4" s="886">
        <f t="shared" ca="1" si="0"/>
        <v>507175.2</v>
      </c>
      <c r="I4" s="886">
        <f t="shared" ca="1" si="1"/>
        <v>458872.8</v>
      </c>
      <c r="J4" s="1197"/>
      <c r="K4" s="1197"/>
      <c r="L4" s="876"/>
      <c r="M4" s="876"/>
      <c r="N4" s="876"/>
      <c r="O4" s="876"/>
      <c r="P4" s="876"/>
      <c r="Q4" s="876"/>
      <c r="R4" s="876"/>
      <c r="S4" s="876"/>
      <c r="T4" s="876"/>
      <c r="U4" s="876"/>
      <c r="V4" s="876"/>
      <c r="W4" s="876"/>
      <c r="X4" s="876"/>
      <c r="Y4" s="876"/>
      <c r="Z4" s="876"/>
      <c r="AA4" s="876"/>
      <c r="AB4" s="876"/>
      <c r="AC4" s="876"/>
      <c r="AD4" s="876"/>
      <c r="AE4" s="876"/>
      <c r="AF4" s="876"/>
      <c r="AG4" s="876"/>
      <c r="AH4" s="876"/>
      <c r="AI4" s="876"/>
      <c r="AJ4" s="876"/>
      <c r="AK4" s="876"/>
      <c r="AL4" s="876"/>
      <c r="AM4" s="876"/>
      <c r="AN4" s="876"/>
      <c r="AO4" s="876"/>
      <c r="AP4" s="876"/>
      <c r="AQ4" s="876"/>
      <c r="AR4" s="876"/>
      <c r="AS4" s="876"/>
      <c r="AT4" s="876"/>
      <c r="AU4" s="876"/>
      <c r="AV4" s="876"/>
      <c r="AW4" s="876"/>
      <c r="AX4" s="876"/>
      <c r="AY4" s="876"/>
      <c r="AZ4" s="876"/>
      <c r="BA4" s="876"/>
      <c r="BB4" s="876"/>
      <c r="BC4" s="876"/>
      <c r="BD4" s="876"/>
      <c r="BE4" s="876"/>
      <c r="BF4" s="876"/>
      <c r="BG4" s="876"/>
      <c r="BH4" s="876"/>
      <c r="BI4" s="876"/>
      <c r="BJ4" s="876"/>
      <c r="BK4" s="876"/>
      <c r="BL4" s="876"/>
      <c r="BM4" s="876"/>
      <c r="BN4" s="876"/>
      <c r="BO4" s="876"/>
      <c r="BP4" s="876"/>
      <c r="BQ4" s="876"/>
      <c r="BR4" s="876"/>
      <c r="BS4" s="876"/>
      <c r="BT4" s="876"/>
      <c r="BU4" s="876"/>
    </row>
    <row r="5" spans="1:73">
      <c r="A5" s="876"/>
      <c r="B5" s="879" t="s">
        <v>1173</v>
      </c>
      <c r="C5" s="883">
        <f ca="1">+real_irr</f>
        <v>0.08</v>
      </c>
      <c r="D5" s="882">
        <v>0.05</v>
      </c>
      <c r="E5" s="882">
        <v>0.05</v>
      </c>
      <c r="F5" s="891">
        <f>1-D5</f>
        <v>0.95</v>
      </c>
      <c r="G5" s="889">
        <f>1+E5</f>
        <v>1.05</v>
      </c>
      <c r="H5" s="881">
        <f t="shared" ca="1" si="0"/>
        <v>7.5999999999999998E-2</v>
      </c>
      <c r="I5" s="881">
        <f t="shared" ca="1" si="1"/>
        <v>8.4000000000000005E-2</v>
      </c>
      <c r="J5" s="1197"/>
      <c r="K5" s="1197"/>
      <c r="L5" s="876"/>
      <c r="M5" s="876"/>
      <c r="N5" s="876"/>
      <c r="O5" s="876"/>
      <c r="P5" s="876"/>
      <c r="Q5" s="876"/>
      <c r="R5" s="876"/>
      <c r="S5" s="876"/>
      <c r="T5" s="876"/>
      <c r="U5" s="876"/>
      <c r="V5" s="876"/>
      <c r="W5" s="876"/>
      <c r="X5" s="876"/>
      <c r="Y5" s="876"/>
      <c r="Z5" s="876"/>
      <c r="AA5" s="876"/>
      <c r="AB5" s="876"/>
      <c r="AC5" s="876"/>
      <c r="AD5" s="876"/>
      <c r="AE5" s="876"/>
      <c r="AF5" s="876"/>
      <c r="AG5" s="876"/>
      <c r="AH5" s="876"/>
      <c r="AI5" s="876"/>
      <c r="AJ5" s="876"/>
      <c r="AK5" s="876"/>
      <c r="AL5" s="876"/>
      <c r="AM5" s="876"/>
      <c r="AN5" s="876"/>
      <c r="AO5" s="876"/>
      <c r="AP5" s="876"/>
      <c r="AQ5" s="876"/>
      <c r="AR5" s="876"/>
      <c r="AS5" s="876"/>
      <c r="AT5" s="876"/>
      <c r="AU5" s="876"/>
      <c r="AV5" s="876"/>
      <c r="AW5" s="876"/>
      <c r="AX5" s="876"/>
      <c r="AY5" s="876"/>
      <c r="AZ5" s="876"/>
      <c r="BA5" s="876"/>
      <c r="BB5" s="876"/>
      <c r="BC5" s="876"/>
      <c r="BD5" s="876"/>
      <c r="BE5" s="876"/>
      <c r="BF5" s="876"/>
      <c r="BG5" s="876"/>
      <c r="BH5" s="876"/>
      <c r="BI5" s="876"/>
      <c r="BJ5" s="876"/>
      <c r="BK5" s="876"/>
      <c r="BL5" s="876"/>
      <c r="BM5" s="876"/>
      <c r="BN5" s="876"/>
      <c r="BO5" s="876"/>
      <c r="BP5" s="876"/>
      <c r="BQ5" s="876"/>
      <c r="BR5" s="876"/>
      <c r="BS5" s="876"/>
      <c r="BT5" s="876"/>
      <c r="BU5" s="876"/>
    </row>
    <row r="6" spans="1:73">
      <c r="A6" s="876"/>
      <c r="B6" s="879" t="s">
        <v>1182</v>
      </c>
      <c r="C6" s="974">
        <v>1</v>
      </c>
      <c r="D6" s="882">
        <v>0.05</v>
      </c>
      <c r="E6" s="882">
        <v>0.05</v>
      </c>
      <c r="F6" s="891">
        <f>1-D6</f>
        <v>0.95</v>
      </c>
      <c r="G6" s="889">
        <f>1+E6</f>
        <v>1.05</v>
      </c>
      <c r="H6" s="972">
        <f t="shared" si="0"/>
        <v>0.95</v>
      </c>
      <c r="I6" s="972">
        <f t="shared" si="1"/>
        <v>1.05</v>
      </c>
      <c r="J6" s="1197"/>
      <c r="K6" s="1197"/>
      <c r="L6" s="876"/>
      <c r="M6" s="876"/>
      <c r="N6" s="876"/>
      <c r="O6" s="876"/>
      <c r="P6" s="876"/>
      <c r="Q6" s="876"/>
      <c r="R6" s="876"/>
      <c r="S6" s="876"/>
      <c r="T6" s="876"/>
      <c r="U6" s="876"/>
      <c r="V6" s="876"/>
      <c r="W6" s="876"/>
      <c r="X6" s="876"/>
      <c r="Y6" s="876"/>
      <c r="Z6" s="876"/>
      <c r="AA6" s="876"/>
      <c r="AB6" s="876"/>
      <c r="AC6" s="876"/>
      <c r="AD6" s="876"/>
      <c r="AE6" s="876"/>
      <c r="AF6" s="876"/>
      <c r="AG6" s="876"/>
      <c r="AH6" s="876"/>
      <c r="AI6" s="876"/>
      <c r="AJ6" s="876"/>
      <c r="AK6" s="876"/>
      <c r="AL6" s="876"/>
      <c r="AM6" s="876"/>
      <c r="AN6" s="876"/>
      <c r="AO6" s="876"/>
      <c r="AP6" s="876"/>
      <c r="AQ6" s="876"/>
      <c r="AR6" s="876"/>
      <c r="AS6" s="876"/>
      <c r="AT6" s="876"/>
      <c r="AU6" s="876"/>
      <c r="AV6" s="876"/>
      <c r="AW6" s="876"/>
      <c r="AX6" s="876"/>
      <c r="AY6" s="876"/>
      <c r="AZ6" s="876"/>
      <c r="BA6" s="876"/>
      <c r="BB6" s="876"/>
      <c r="BC6" s="876"/>
      <c r="BD6" s="876"/>
      <c r="BE6" s="876"/>
      <c r="BF6" s="876"/>
      <c r="BG6" s="876"/>
      <c r="BH6" s="876"/>
      <c r="BI6" s="876"/>
      <c r="BJ6" s="876"/>
      <c r="BK6" s="876"/>
      <c r="BL6" s="876"/>
      <c r="BM6" s="876"/>
      <c r="BN6" s="876"/>
      <c r="BO6" s="876"/>
      <c r="BP6" s="876"/>
      <c r="BQ6" s="876"/>
      <c r="BR6" s="876"/>
      <c r="BS6" s="876"/>
      <c r="BT6" s="876"/>
      <c r="BU6" s="876"/>
    </row>
    <row r="7" spans="1:73">
      <c r="A7" s="876"/>
      <c r="B7" s="879" t="s">
        <v>1183</v>
      </c>
      <c r="C7" s="974">
        <v>1</v>
      </c>
      <c r="D7" s="882">
        <v>0.05</v>
      </c>
      <c r="E7" s="882">
        <v>0.05</v>
      </c>
      <c r="F7" s="891">
        <f>1-D7</f>
        <v>0.95</v>
      </c>
      <c r="G7" s="889">
        <f>1+E7</f>
        <v>1.05</v>
      </c>
      <c r="H7" s="972">
        <f t="shared" si="0"/>
        <v>0.95</v>
      </c>
      <c r="I7" s="972">
        <f t="shared" si="1"/>
        <v>1.05</v>
      </c>
      <c r="J7" s="1197"/>
      <c r="K7" s="1197"/>
      <c r="L7" s="876"/>
      <c r="M7" s="876"/>
      <c r="N7" s="876"/>
      <c r="O7" s="876"/>
      <c r="P7" s="876"/>
      <c r="Q7" s="876"/>
      <c r="R7" s="876"/>
      <c r="S7" s="876"/>
      <c r="T7" s="876"/>
      <c r="U7" s="876"/>
      <c r="V7" s="876"/>
      <c r="W7" s="876"/>
      <c r="X7" s="876"/>
      <c r="Y7" s="876"/>
      <c r="Z7" s="876"/>
      <c r="AA7" s="876"/>
      <c r="AB7" s="876"/>
      <c r="AC7" s="876"/>
      <c r="AD7" s="876"/>
      <c r="AE7" s="876"/>
      <c r="AF7" s="876"/>
      <c r="AG7" s="876"/>
      <c r="AH7" s="876"/>
      <c r="AI7" s="876"/>
      <c r="AJ7" s="876"/>
      <c r="AK7" s="876"/>
      <c r="AL7" s="876"/>
      <c r="AM7" s="876"/>
      <c r="AN7" s="876"/>
      <c r="AO7" s="876"/>
      <c r="AP7" s="876"/>
      <c r="AQ7" s="876"/>
      <c r="AR7" s="876"/>
      <c r="AS7" s="876"/>
      <c r="AT7" s="876"/>
      <c r="AU7" s="876"/>
      <c r="AV7" s="876"/>
      <c r="AW7" s="876"/>
      <c r="AX7" s="876"/>
      <c r="AY7" s="876"/>
      <c r="AZ7" s="876"/>
      <c r="BA7" s="876"/>
      <c r="BB7" s="876"/>
      <c r="BC7" s="876"/>
      <c r="BD7" s="876"/>
      <c r="BE7" s="876"/>
      <c r="BF7" s="876"/>
      <c r="BG7" s="876"/>
      <c r="BH7" s="876"/>
      <c r="BI7" s="876"/>
      <c r="BJ7" s="876"/>
      <c r="BK7" s="876"/>
      <c r="BL7" s="876"/>
      <c r="BM7" s="876"/>
      <c r="BN7" s="876"/>
      <c r="BO7" s="876"/>
      <c r="BP7" s="876"/>
      <c r="BQ7" s="876"/>
      <c r="BR7" s="876"/>
      <c r="BS7" s="876"/>
      <c r="BT7" s="876"/>
      <c r="BU7" s="876"/>
    </row>
    <row r="8" spans="1:73">
      <c r="A8" s="876"/>
      <c r="B8" s="879" t="s">
        <v>117</v>
      </c>
      <c r="C8" s="884">
        <f ca="1">+total_cap</f>
        <v>283662140.38892555</v>
      </c>
      <c r="D8" s="882">
        <v>0.05</v>
      </c>
      <c r="E8" s="882">
        <v>0.05</v>
      </c>
      <c r="F8" s="891">
        <f>1-D8</f>
        <v>0.95</v>
      </c>
      <c r="G8" s="889">
        <f>1+E8</f>
        <v>1.05</v>
      </c>
      <c r="H8" s="886">
        <f t="shared" ca="1" si="0"/>
        <v>269479033.36947924</v>
      </c>
      <c r="I8" s="886">
        <f t="shared" ca="1" si="1"/>
        <v>297845247.40837187</v>
      </c>
      <c r="J8" s="1197"/>
      <c r="K8" s="1197"/>
      <c r="L8" s="876"/>
      <c r="M8" s="876"/>
      <c r="N8" s="876"/>
      <c r="O8" s="876"/>
      <c r="P8" s="876"/>
      <c r="Q8" s="876"/>
      <c r="R8" s="876"/>
      <c r="S8" s="876"/>
      <c r="T8" s="876"/>
      <c r="U8" s="876"/>
      <c r="V8" s="876"/>
      <c r="W8" s="876"/>
      <c r="X8" s="876"/>
      <c r="Y8" s="876"/>
      <c r="Z8" s="876"/>
      <c r="AA8" s="876"/>
      <c r="AB8" s="876"/>
      <c r="AC8" s="876"/>
      <c r="AD8" s="876"/>
      <c r="AE8" s="876"/>
      <c r="AF8" s="876"/>
      <c r="AG8" s="876"/>
      <c r="AH8" s="876"/>
      <c r="AI8" s="876"/>
      <c r="AJ8" s="876"/>
      <c r="AK8" s="876"/>
      <c r="AL8" s="876"/>
      <c r="AM8" s="876"/>
      <c r="AN8" s="876"/>
      <c r="AO8" s="876"/>
      <c r="AP8" s="876"/>
      <c r="AQ8" s="876"/>
      <c r="AR8" s="876"/>
      <c r="AS8" s="876"/>
      <c r="AT8" s="876"/>
      <c r="AU8" s="876"/>
      <c r="AV8" s="876"/>
      <c r="AW8" s="876"/>
      <c r="AX8" s="876"/>
      <c r="AY8" s="876"/>
      <c r="AZ8" s="876"/>
      <c r="BA8" s="876"/>
      <c r="BB8" s="876"/>
      <c r="BC8" s="876"/>
      <c r="BD8" s="876"/>
      <c r="BE8" s="876"/>
      <c r="BF8" s="876"/>
      <c r="BG8" s="876"/>
      <c r="BH8" s="876"/>
      <c r="BI8" s="876"/>
      <c r="BJ8" s="876"/>
      <c r="BK8" s="876"/>
      <c r="BL8" s="876"/>
      <c r="BM8" s="876"/>
      <c r="BN8" s="876"/>
      <c r="BO8" s="876"/>
      <c r="BP8" s="876"/>
      <c r="BQ8" s="876"/>
      <c r="BR8" s="876"/>
      <c r="BS8" s="876"/>
      <c r="BT8" s="876"/>
      <c r="BU8" s="876"/>
    </row>
    <row r="9" spans="1:73">
      <c r="A9" s="876"/>
      <c r="B9" s="879" t="s">
        <v>632</v>
      </c>
      <c r="C9" s="884">
        <f ca="1">+fixed</f>
        <v>13562750.499464674</v>
      </c>
      <c r="D9" s="882">
        <v>0.05</v>
      </c>
      <c r="E9" s="882">
        <v>0.05</v>
      </c>
      <c r="F9" s="891">
        <f>1-D9</f>
        <v>0.95</v>
      </c>
      <c r="G9" s="889">
        <f>1+E9</f>
        <v>1.05</v>
      </c>
      <c r="H9" s="886">
        <f t="shared" ca="1" si="0"/>
        <v>12884612.97449144</v>
      </c>
      <c r="I9" s="886">
        <f t="shared" ca="1" si="1"/>
        <v>14240888.024437908</v>
      </c>
      <c r="J9" s="1197"/>
      <c r="K9" s="1197"/>
      <c r="L9" s="876"/>
      <c r="M9" s="876"/>
      <c r="N9" s="876"/>
      <c r="O9" s="876"/>
      <c r="P9" s="876"/>
      <c r="Q9" s="876"/>
      <c r="R9" s="876"/>
      <c r="S9" s="876"/>
      <c r="T9" s="876"/>
      <c r="U9" s="876"/>
      <c r="V9" s="876"/>
      <c r="W9" s="876"/>
      <c r="X9" s="876"/>
      <c r="Y9" s="876"/>
      <c r="Z9" s="876"/>
      <c r="AA9" s="876"/>
      <c r="AB9" s="876"/>
      <c r="AC9" s="876"/>
      <c r="AD9" s="876"/>
      <c r="AE9" s="876"/>
      <c r="AF9" s="876"/>
      <c r="AG9" s="876"/>
      <c r="AH9" s="876"/>
      <c r="AI9" s="876"/>
      <c r="AJ9" s="876"/>
      <c r="AK9" s="876"/>
      <c r="AL9" s="876"/>
      <c r="AM9" s="876"/>
      <c r="AN9" s="876"/>
      <c r="AO9" s="876"/>
      <c r="AP9" s="876"/>
      <c r="AQ9" s="876"/>
      <c r="AR9" s="876"/>
      <c r="AS9" s="876"/>
      <c r="AT9" s="876"/>
      <c r="AU9" s="876"/>
      <c r="AV9" s="876"/>
      <c r="AW9" s="876"/>
      <c r="AX9" s="876"/>
      <c r="AY9" s="876"/>
      <c r="AZ9" s="876"/>
      <c r="BA9" s="876"/>
      <c r="BB9" s="876"/>
      <c r="BC9" s="876"/>
      <c r="BD9" s="876"/>
      <c r="BE9" s="876"/>
      <c r="BF9" s="876"/>
      <c r="BG9" s="876"/>
      <c r="BH9" s="876"/>
      <c r="BI9" s="876"/>
      <c r="BJ9" s="876"/>
      <c r="BK9" s="876"/>
      <c r="BL9" s="876"/>
      <c r="BM9" s="876"/>
      <c r="BN9" s="876"/>
      <c r="BO9" s="876"/>
      <c r="BP9" s="876"/>
      <c r="BQ9" s="876"/>
      <c r="BR9" s="876"/>
      <c r="BS9" s="876"/>
      <c r="BT9" s="876"/>
      <c r="BU9" s="876"/>
    </row>
    <row r="10" spans="1:73">
      <c r="A10" s="876"/>
      <c r="B10" s="876"/>
      <c r="C10" s="876"/>
      <c r="D10" s="876"/>
      <c r="E10" s="876"/>
      <c r="F10" s="876"/>
      <c r="G10" s="876"/>
      <c r="H10" s="876"/>
      <c r="I10" s="876"/>
      <c r="J10" s="876"/>
      <c r="K10" s="876"/>
      <c r="L10" s="876"/>
      <c r="M10" s="876"/>
      <c r="N10" s="876"/>
      <c r="O10" s="876"/>
      <c r="P10" s="876"/>
      <c r="Q10" s="876"/>
      <c r="R10" s="876"/>
      <c r="S10" s="876"/>
      <c r="T10" s="876"/>
      <c r="U10" s="876"/>
      <c r="V10" s="876"/>
      <c r="W10" s="876"/>
      <c r="X10" s="876"/>
      <c r="Y10" s="876"/>
      <c r="Z10" s="876"/>
      <c r="AA10" s="876"/>
      <c r="AB10" s="876"/>
      <c r="AC10" s="876"/>
      <c r="AD10" s="876"/>
      <c r="AE10" s="876"/>
      <c r="AF10" s="876"/>
      <c r="AG10" s="876"/>
      <c r="AH10" s="876"/>
      <c r="AI10" s="876"/>
      <c r="AJ10" s="876"/>
      <c r="AK10" s="876"/>
      <c r="AL10" s="876"/>
      <c r="AM10" s="876"/>
      <c r="AN10" s="876"/>
      <c r="AO10" s="876"/>
      <c r="AP10" s="876"/>
      <c r="AQ10" s="876"/>
      <c r="AR10" s="876"/>
      <c r="AS10" s="876"/>
      <c r="AT10" s="876"/>
      <c r="AU10" s="876"/>
      <c r="AV10" s="876"/>
      <c r="AW10" s="876"/>
      <c r="AX10" s="876"/>
      <c r="AY10" s="876"/>
      <c r="AZ10" s="876"/>
      <c r="BA10" s="876"/>
      <c r="BB10" s="876"/>
      <c r="BC10" s="876"/>
      <c r="BD10" s="876"/>
      <c r="BE10" s="876"/>
      <c r="BF10" s="876"/>
      <c r="BG10" s="876"/>
      <c r="BH10" s="876"/>
      <c r="BI10" s="876"/>
      <c r="BJ10" s="876"/>
      <c r="BK10" s="876"/>
      <c r="BL10" s="876"/>
      <c r="BM10" s="876"/>
      <c r="BN10" s="876"/>
      <c r="BO10" s="876"/>
      <c r="BP10" s="876"/>
      <c r="BQ10" s="876"/>
      <c r="BR10" s="876"/>
      <c r="BS10" s="876"/>
      <c r="BT10" s="876"/>
      <c r="BU10" s="876"/>
    </row>
    <row r="11" spans="1:73" ht="14">
      <c r="A11" s="876"/>
      <c r="B11" s="1555" t="s">
        <v>1353</v>
      </c>
      <c r="C11" s="1555"/>
      <c r="D11" s="882" t="s">
        <v>23</v>
      </c>
      <c r="E11" s="1208" t="str">
        <f>IF(RunRiskAnalysis="Yes","          Please click Update Charts and Risk Analysis button before using results below","")</f>
        <v xml:space="preserve">          Please click Update Charts and Risk Analysis button before using results below</v>
      </c>
      <c r="F11" s="876"/>
      <c r="H11" s="876"/>
      <c r="I11" s="876"/>
      <c r="J11" s="876"/>
      <c r="K11" s="876"/>
      <c r="L11" s="876"/>
      <c r="M11" s="876"/>
      <c r="N11" s="876"/>
      <c r="O11" s="876"/>
      <c r="P11" s="876"/>
      <c r="Q11" s="876"/>
      <c r="R11" s="876"/>
      <c r="S11" s="876"/>
      <c r="T11" s="876"/>
      <c r="U11" s="876"/>
      <c r="V11" s="876"/>
      <c r="W11" s="876"/>
      <c r="X11" s="876"/>
      <c r="Y11" s="876"/>
      <c r="Z11" s="876"/>
      <c r="AA11" s="876"/>
      <c r="AB11" s="876"/>
      <c r="AC11" s="876"/>
      <c r="AD11" s="876"/>
      <c r="AE11" s="876"/>
      <c r="AF11" s="876"/>
      <c r="AG11" s="876"/>
      <c r="AH11" s="876"/>
      <c r="AI11" s="876"/>
      <c r="AJ11" s="876"/>
      <c r="AK11" s="876"/>
      <c r="AL11" s="876"/>
      <c r="AM11" s="876"/>
      <c r="AN11" s="876"/>
      <c r="AO11" s="876"/>
      <c r="AP11" s="876"/>
      <c r="AQ11" s="876"/>
      <c r="AR11" s="876"/>
      <c r="AS11" s="876"/>
      <c r="AT11" s="876"/>
      <c r="AU11" s="876"/>
      <c r="AV11" s="876"/>
      <c r="AW11" s="876"/>
      <c r="AX11" s="876"/>
      <c r="AY11" s="876"/>
      <c r="AZ11" s="876"/>
      <c r="BA11" s="876"/>
      <c r="BB11" s="876"/>
      <c r="BC11" s="876"/>
      <c r="BD11" s="876"/>
      <c r="BE11" s="876"/>
      <c r="BF11" s="876"/>
      <c r="BG11" s="876"/>
      <c r="BH11" s="876"/>
      <c r="BI11" s="876"/>
      <c r="BJ11" s="876"/>
      <c r="BK11" s="876"/>
      <c r="BL11" s="876"/>
      <c r="BM11" s="876"/>
      <c r="BN11" s="876"/>
      <c r="BO11" s="876"/>
      <c r="BP11" s="876"/>
      <c r="BQ11" s="876"/>
      <c r="BR11" s="876"/>
      <c r="BS11" s="876"/>
      <c r="BT11" s="876"/>
      <c r="BU11" s="876"/>
    </row>
    <row r="12" spans="1:73" ht="12.75" customHeight="1">
      <c r="A12" s="876"/>
      <c r="B12" s="876"/>
      <c r="C12" s="876"/>
      <c r="D12" s="876"/>
      <c r="E12" s="876"/>
      <c r="F12" s="876"/>
      <c r="G12" s="876"/>
      <c r="H12" s="876"/>
      <c r="I12" s="876"/>
      <c r="J12" s="876"/>
      <c r="K12" s="876"/>
      <c r="L12" s="876"/>
      <c r="M12" s="876"/>
      <c r="N12" s="876"/>
      <c r="P12" s="1555" t="s">
        <v>1314</v>
      </c>
      <c r="Q12" s="1555"/>
      <c r="R12" s="1556" t="s">
        <v>1337</v>
      </c>
      <c r="S12" s="1556"/>
      <c r="T12" s="1556"/>
      <c r="U12" s="1556"/>
      <c r="V12" s="876"/>
      <c r="W12" s="876"/>
      <c r="X12" s="876"/>
      <c r="Y12" s="876"/>
      <c r="Z12" s="876"/>
      <c r="AA12" s="876"/>
      <c r="AB12" s="876"/>
      <c r="AC12" s="876"/>
      <c r="AD12" s="876"/>
      <c r="AE12" s="876"/>
      <c r="AF12" s="876"/>
      <c r="AG12" s="876"/>
      <c r="AH12" s="876"/>
      <c r="AI12" s="876"/>
      <c r="AJ12" s="876"/>
      <c r="AK12" s="876"/>
      <c r="AL12" s="876"/>
      <c r="AM12" s="876"/>
      <c r="AN12" s="876"/>
      <c r="AO12" s="876"/>
      <c r="AP12" s="876"/>
      <c r="AQ12" s="876"/>
      <c r="AR12" s="876"/>
      <c r="AS12" s="876"/>
      <c r="AT12" s="876"/>
      <c r="AU12" s="876"/>
      <c r="AV12" s="876"/>
      <c r="AW12" s="876"/>
      <c r="AX12" s="876"/>
      <c r="AY12" s="876"/>
      <c r="AZ12" s="876"/>
      <c r="BA12" s="876"/>
      <c r="BB12" s="876"/>
      <c r="BC12" s="876"/>
      <c r="BD12" s="876"/>
      <c r="BE12" s="876"/>
      <c r="BF12" s="876"/>
      <c r="BG12" s="876"/>
      <c r="BH12" s="876"/>
      <c r="BI12" s="876"/>
      <c r="BJ12" s="876"/>
      <c r="BK12" s="876"/>
      <c r="BL12" s="876"/>
      <c r="BM12" s="876"/>
      <c r="BN12" s="876"/>
      <c r="BO12" s="876"/>
      <c r="BP12" s="876"/>
      <c r="BQ12" s="876"/>
      <c r="BR12" s="876"/>
      <c r="BS12" s="876"/>
      <c r="BT12" s="876"/>
      <c r="BU12" s="876"/>
    </row>
    <row r="13" spans="1:73" ht="14">
      <c r="A13" s="876"/>
      <c r="B13" s="876"/>
      <c r="C13" s="876"/>
      <c r="D13" s="876"/>
      <c r="E13" s="876"/>
      <c r="F13" s="876"/>
      <c r="G13" s="876"/>
      <c r="H13" s="876"/>
      <c r="I13" s="876"/>
      <c r="J13" s="876"/>
      <c r="K13" s="876"/>
      <c r="L13" s="876"/>
      <c r="M13" s="876"/>
      <c r="N13" s="876"/>
      <c r="O13" s="876"/>
      <c r="P13" s="876"/>
      <c r="Q13" s="876"/>
      <c r="R13" s="876"/>
      <c r="S13" s="876"/>
      <c r="T13" s="876"/>
      <c r="U13" s="876"/>
      <c r="V13" s="887" t="s">
        <v>1300</v>
      </c>
      <c r="W13" s="887" t="s">
        <v>1089</v>
      </c>
      <c r="X13" s="876"/>
      <c r="Y13" s="876"/>
      <c r="Z13" s="876"/>
      <c r="AA13" s="876"/>
      <c r="AB13" s="876"/>
      <c r="AC13" s="876"/>
      <c r="AD13" s="876"/>
      <c r="AE13" s="876"/>
      <c r="AF13" s="876"/>
      <c r="AG13" s="876"/>
      <c r="AH13" s="876"/>
      <c r="AI13" s="876"/>
      <c r="AJ13" s="876"/>
      <c r="AK13" s="876"/>
      <c r="AL13" s="876"/>
      <c r="AM13" s="876"/>
      <c r="AN13" s="876"/>
      <c r="AO13" s="876"/>
      <c r="AP13" s="876"/>
      <c r="AQ13" s="876"/>
      <c r="AR13" s="876"/>
      <c r="AS13" s="876"/>
      <c r="AT13" s="876"/>
      <c r="AU13" s="876"/>
      <c r="AV13" s="876"/>
      <c r="AW13" s="876"/>
      <c r="AX13" s="876"/>
      <c r="AY13" s="876"/>
      <c r="AZ13" s="876"/>
      <c r="BA13" s="876"/>
      <c r="BB13" s="876"/>
      <c r="BC13" s="876"/>
      <c r="BD13" s="876"/>
      <c r="BE13" s="876"/>
      <c r="BF13" s="876"/>
      <c r="BG13" s="876"/>
      <c r="BH13" s="876"/>
      <c r="BI13" s="876"/>
      <c r="BJ13" s="876"/>
      <c r="BK13" s="876"/>
      <c r="BL13" s="876"/>
      <c r="BM13" s="876"/>
      <c r="BN13" s="876"/>
      <c r="BO13" s="876"/>
      <c r="BP13" s="876"/>
      <c r="BQ13" s="876"/>
      <c r="BR13" s="876"/>
      <c r="BS13" s="876"/>
      <c r="BT13" s="876"/>
      <c r="BU13" s="876"/>
    </row>
    <row r="14" spans="1:73" ht="11.25" customHeight="1">
      <c r="A14" s="876"/>
      <c r="B14" s="876"/>
      <c r="C14" s="876"/>
      <c r="D14" s="876"/>
      <c r="E14" s="876"/>
      <c r="F14" s="876"/>
      <c r="G14" s="876"/>
      <c r="H14" s="876"/>
      <c r="I14" s="876"/>
      <c r="J14" s="876"/>
      <c r="K14" s="876"/>
      <c r="L14" s="876"/>
      <c r="M14" s="876"/>
      <c r="N14" s="876"/>
      <c r="O14" s="876"/>
      <c r="P14" s="876"/>
      <c r="Q14" s="876"/>
      <c r="R14" s="876"/>
      <c r="S14" s="876"/>
      <c r="T14" s="876"/>
      <c r="U14" s="876"/>
      <c r="V14" s="889">
        <v>0</v>
      </c>
      <c r="W14" s="890">
        <f ca="1">+MIN(OFFSET($B$251:$B$2250,0,$C$194))*$C$198</f>
        <v>1.0539429465430465</v>
      </c>
      <c r="X14" s="876"/>
      <c r="Y14" s="876"/>
      <c r="Z14" s="876"/>
      <c r="AA14" s="876"/>
      <c r="AB14" s="876"/>
      <c r="AC14" s="876"/>
      <c r="AD14" s="876"/>
      <c r="AE14" s="876"/>
      <c r="AF14" s="876"/>
      <c r="AG14" s="876"/>
      <c r="AH14" s="876"/>
      <c r="AI14" s="876"/>
      <c r="AJ14" s="876"/>
      <c r="AK14" s="876"/>
      <c r="AL14" s="876"/>
      <c r="AM14" s="876"/>
      <c r="AN14" s="876"/>
      <c r="AO14" s="876"/>
      <c r="AP14" s="876"/>
      <c r="AQ14" s="876"/>
      <c r="AR14" s="876"/>
      <c r="AS14" s="876"/>
      <c r="AT14" s="876"/>
      <c r="AU14" s="876"/>
      <c r="AV14" s="876"/>
      <c r="AW14" s="876"/>
      <c r="AX14" s="876"/>
      <c r="AY14" s="876"/>
      <c r="AZ14" s="876"/>
      <c r="BA14" s="876"/>
      <c r="BB14" s="876"/>
      <c r="BC14" s="876"/>
      <c r="BD14" s="876"/>
      <c r="BE14" s="876"/>
      <c r="BF14" s="876"/>
      <c r="BG14" s="876"/>
      <c r="BH14" s="876"/>
      <c r="BI14" s="876"/>
      <c r="BJ14" s="876"/>
      <c r="BK14" s="876"/>
      <c r="BL14" s="876"/>
      <c r="BM14" s="876"/>
      <c r="BN14" s="876"/>
      <c r="BO14" s="876"/>
      <c r="BP14" s="876"/>
      <c r="BQ14" s="876"/>
      <c r="BR14" s="876"/>
      <c r="BS14" s="876"/>
      <c r="BT14" s="876"/>
      <c r="BU14" s="876"/>
    </row>
    <row r="15" spans="1:73">
      <c r="A15" s="876"/>
      <c r="B15" s="876"/>
      <c r="C15" s="876"/>
      <c r="D15" s="876"/>
      <c r="E15" s="876"/>
      <c r="F15" s="876"/>
      <c r="G15" s="876"/>
      <c r="H15" s="876"/>
      <c r="I15" s="876"/>
      <c r="J15" s="876"/>
      <c r="K15" s="876"/>
      <c r="L15" s="876"/>
      <c r="M15" s="876"/>
      <c r="N15" s="876"/>
      <c r="O15" s="876"/>
      <c r="P15" s="876"/>
      <c r="Q15" s="876"/>
      <c r="R15" s="876"/>
      <c r="S15" s="876"/>
      <c r="T15" s="876"/>
      <c r="U15" s="876"/>
      <c r="V15" s="1206">
        <v>0.05</v>
      </c>
      <c r="W15" s="1207">
        <f t="shared" ref="W15:W33" ca="1" si="2">+PERCENTILE(OFFSET($B$251:$B$2250,0,$C$194),V15)*$C$198</f>
        <v>1.063990609066285</v>
      </c>
      <c r="X15" s="876"/>
      <c r="Y15" s="876"/>
      <c r="Z15" s="876"/>
      <c r="AA15" s="876"/>
      <c r="AB15" s="876"/>
      <c r="AC15" s="876"/>
      <c r="AD15" s="876"/>
      <c r="AE15" s="876"/>
      <c r="AF15" s="876"/>
      <c r="AG15" s="876"/>
      <c r="AH15" s="876"/>
      <c r="AI15" s="876"/>
      <c r="AJ15" s="876"/>
      <c r="AK15" s="876"/>
      <c r="AL15" s="876"/>
      <c r="AM15" s="876"/>
      <c r="AN15" s="876"/>
      <c r="AO15" s="876"/>
      <c r="AP15" s="876"/>
      <c r="AQ15" s="876"/>
      <c r="AR15" s="876"/>
      <c r="AS15" s="876"/>
      <c r="AT15" s="876"/>
      <c r="AU15" s="876"/>
      <c r="AV15" s="876"/>
      <c r="AW15" s="876"/>
      <c r="AX15" s="876"/>
      <c r="AY15" s="876"/>
      <c r="AZ15" s="876"/>
      <c r="BA15" s="876"/>
      <c r="BB15" s="876"/>
      <c r="BC15" s="876"/>
      <c r="BD15" s="876"/>
      <c r="BE15" s="876"/>
      <c r="BF15" s="876"/>
      <c r="BG15" s="876"/>
      <c r="BH15" s="876"/>
      <c r="BI15" s="876"/>
      <c r="BJ15" s="876"/>
      <c r="BK15" s="876"/>
      <c r="BL15" s="876"/>
      <c r="BM15" s="876"/>
      <c r="BN15" s="876"/>
      <c r="BO15" s="876"/>
      <c r="BP15" s="876"/>
      <c r="BQ15" s="876"/>
      <c r="BR15" s="876"/>
      <c r="BS15" s="876"/>
      <c r="BT15" s="876"/>
      <c r="BU15" s="876"/>
    </row>
    <row r="16" spans="1:73">
      <c r="A16" s="876"/>
      <c r="B16" s="877"/>
      <c r="C16" s="876"/>
      <c r="D16" s="876"/>
      <c r="E16" s="876"/>
      <c r="F16" s="876"/>
      <c r="G16" s="876"/>
      <c r="H16" s="876"/>
      <c r="I16" s="876"/>
      <c r="J16" s="876"/>
      <c r="K16" s="876"/>
      <c r="L16" s="876"/>
      <c r="M16" s="876"/>
      <c r="N16" s="876"/>
      <c r="O16" s="876"/>
      <c r="P16" s="876"/>
      <c r="Q16" s="876"/>
      <c r="R16" s="876"/>
      <c r="S16" s="876"/>
      <c r="T16" s="876"/>
      <c r="U16" s="876"/>
      <c r="V16" s="881">
        <f t="shared" ref="V16:V33" si="3">+V15+0.05</f>
        <v>0.1</v>
      </c>
      <c r="W16" s="890">
        <f t="shared" ca="1" si="2"/>
        <v>1.0662271675491446</v>
      </c>
      <c r="X16" s="876"/>
      <c r="Y16" s="876"/>
      <c r="Z16" s="876"/>
      <c r="AA16" s="876"/>
      <c r="AB16" s="876"/>
      <c r="AC16" s="876"/>
      <c r="AD16" s="876"/>
      <c r="AE16" s="876"/>
      <c r="AF16" s="876"/>
      <c r="AG16" s="876"/>
      <c r="AH16" s="876"/>
      <c r="AI16" s="876"/>
      <c r="AJ16" s="876"/>
      <c r="AK16" s="876"/>
      <c r="AL16" s="876"/>
      <c r="AM16" s="876"/>
      <c r="AN16" s="876"/>
      <c r="AO16" s="876"/>
      <c r="AP16" s="876"/>
      <c r="AQ16" s="876"/>
      <c r="AR16" s="876"/>
      <c r="AS16" s="876"/>
      <c r="AT16" s="876"/>
      <c r="AU16" s="876"/>
      <c r="AV16" s="876"/>
      <c r="AW16" s="876"/>
      <c r="AX16" s="876"/>
      <c r="AY16" s="876"/>
      <c r="AZ16" s="876"/>
      <c r="BA16" s="876"/>
      <c r="BB16" s="876"/>
      <c r="BC16" s="876"/>
      <c r="BD16" s="876"/>
      <c r="BE16" s="876"/>
      <c r="BF16" s="876"/>
      <c r="BG16" s="876"/>
      <c r="BH16" s="876"/>
      <c r="BI16" s="876"/>
      <c r="BJ16" s="876"/>
      <c r="BK16" s="876"/>
      <c r="BL16" s="876"/>
      <c r="BM16" s="876"/>
      <c r="BN16" s="876"/>
      <c r="BO16" s="876"/>
      <c r="BP16" s="876"/>
      <c r="BQ16" s="876"/>
      <c r="BR16" s="876"/>
      <c r="BS16" s="876"/>
      <c r="BT16" s="876"/>
      <c r="BU16" s="876"/>
    </row>
    <row r="17" spans="1:73">
      <c r="A17" s="876"/>
      <c r="B17" s="876"/>
      <c r="C17" s="876"/>
      <c r="D17" s="876"/>
      <c r="E17" s="876"/>
      <c r="F17" s="876"/>
      <c r="G17" s="876"/>
      <c r="H17" s="876"/>
      <c r="I17" s="876"/>
      <c r="J17" s="876"/>
      <c r="K17" s="876"/>
      <c r="L17" s="876"/>
      <c r="M17" s="876"/>
      <c r="N17" s="876"/>
      <c r="O17" s="876"/>
      <c r="P17" s="876"/>
      <c r="Q17" s="876"/>
      <c r="R17" s="876"/>
      <c r="S17" s="876"/>
      <c r="T17" s="876"/>
      <c r="U17" s="876"/>
      <c r="V17" s="881">
        <f t="shared" si="3"/>
        <v>0.15000000000000002</v>
      </c>
      <c r="W17" s="890">
        <f t="shared" ca="1" si="2"/>
        <v>1.0677818807724764</v>
      </c>
      <c r="X17" s="876"/>
      <c r="Y17" s="876"/>
      <c r="Z17" s="876"/>
      <c r="AA17" s="876"/>
      <c r="AB17" s="876"/>
      <c r="AC17" s="876"/>
      <c r="AD17" s="876"/>
      <c r="AE17" s="876"/>
      <c r="AF17" s="876"/>
      <c r="AG17" s="876"/>
      <c r="AH17" s="876"/>
      <c r="AI17" s="876"/>
      <c r="AJ17" s="876"/>
      <c r="AK17" s="876"/>
      <c r="AL17" s="876"/>
      <c r="AM17" s="876"/>
      <c r="AN17" s="876"/>
      <c r="AO17" s="876"/>
      <c r="AP17" s="876"/>
      <c r="AQ17" s="876"/>
      <c r="AR17" s="876"/>
      <c r="AS17" s="876"/>
      <c r="AT17" s="876"/>
      <c r="AU17" s="876"/>
      <c r="AV17" s="876"/>
      <c r="AW17" s="876"/>
      <c r="AX17" s="876"/>
      <c r="AY17" s="876"/>
      <c r="AZ17" s="876"/>
      <c r="BA17" s="876"/>
      <c r="BB17" s="876"/>
      <c r="BC17" s="876"/>
      <c r="BD17" s="876"/>
      <c r="BE17" s="876"/>
      <c r="BF17" s="876"/>
      <c r="BG17" s="876"/>
      <c r="BH17" s="876"/>
      <c r="BI17" s="876"/>
      <c r="BJ17" s="876"/>
      <c r="BK17" s="876"/>
      <c r="BL17" s="876"/>
      <c r="BM17" s="876"/>
      <c r="BN17" s="876"/>
      <c r="BO17" s="876"/>
      <c r="BP17" s="876"/>
      <c r="BQ17" s="876"/>
      <c r="BR17" s="876"/>
      <c r="BS17" s="876"/>
      <c r="BT17" s="876"/>
      <c r="BU17" s="876"/>
    </row>
    <row r="18" spans="1:73">
      <c r="A18" s="876"/>
      <c r="B18" s="876"/>
      <c r="C18" s="876"/>
      <c r="D18" s="876"/>
      <c r="E18" s="876"/>
      <c r="F18" s="876"/>
      <c r="G18" s="876"/>
      <c r="H18" s="876"/>
      <c r="I18" s="876"/>
      <c r="J18" s="876"/>
      <c r="K18" s="876"/>
      <c r="L18" s="876"/>
      <c r="M18" s="876"/>
      <c r="N18" s="876"/>
      <c r="O18" s="876"/>
      <c r="P18" s="876"/>
      <c r="Q18" s="876"/>
      <c r="R18" s="876"/>
      <c r="S18" s="876"/>
      <c r="T18" s="876"/>
      <c r="U18" s="876"/>
      <c r="V18" s="881">
        <f t="shared" si="3"/>
        <v>0.2</v>
      </c>
      <c r="W18" s="890">
        <f t="shared" ca="1" si="2"/>
        <v>1.0691256418724113</v>
      </c>
      <c r="X18" s="876"/>
      <c r="Y18" s="876"/>
      <c r="Z18" s="876"/>
      <c r="AA18" s="876"/>
      <c r="AB18" s="876"/>
      <c r="AC18" s="876"/>
      <c r="AD18" s="876"/>
      <c r="AE18" s="876"/>
      <c r="AF18" s="876"/>
      <c r="AG18" s="876"/>
      <c r="AH18" s="876"/>
      <c r="AI18" s="876"/>
      <c r="AJ18" s="876"/>
      <c r="AK18" s="876"/>
      <c r="AL18" s="876"/>
      <c r="AM18" s="876"/>
      <c r="AN18" s="876"/>
      <c r="AO18" s="876"/>
      <c r="AP18" s="876"/>
      <c r="AQ18" s="876"/>
      <c r="AR18" s="876"/>
      <c r="AS18" s="876"/>
      <c r="AT18" s="876"/>
      <c r="AU18" s="876"/>
      <c r="AV18" s="876"/>
      <c r="AW18" s="876"/>
      <c r="AX18" s="876"/>
      <c r="AY18" s="876"/>
      <c r="AZ18" s="876"/>
      <c r="BA18" s="876"/>
      <c r="BB18" s="876"/>
      <c r="BC18" s="876"/>
      <c r="BD18" s="876"/>
      <c r="BE18" s="876"/>
      <c r="BF18" s="876"/>
      <c r="BG18" s="876"/>
      <c r="BH18" s="876"/>
      <c r="BI18" s="876"/>
      <c r="BJ18" s="876"/>
      <c r="BK18" s="876"/>
      <c r="BL18" s="876"/>
      <c r="BM18" s="876"/>
      <c r="BN18" s="876"/>
      <c r="BO18" s="876"/>
      <c r="BP18" s="876"/>
      <c r="BQ18" s="876"/>
      <c r="BR18" s="876"/>
      <c r="BS18" s="876"/>
      <c r="BT18" s="876"/>
      <c r="BU18" s="876"/>
    </row>
    <row r="19" spans="1:73">
      <c r="A19" s="876"/>
      <c r="B19" s="876"/>
      <c r="C19" s="876"/>
      <c r="D19" s="876"/>
      <c r="E19" s="876"/>
      <c r="F19" s="876"/>
      <c r="G19" s="876"/>
      <c r="H19" s="876"/>
      <c r="I19" s="876"/>
      <c r="J19" s="876"/>
      <c r="K19" s="876"/>
      <c r="L19" s="876"/>
      <c r="M19" s="876"/>
      <c r="N19" s="876"/>
      <c r="O19" s="876"/>
      <c r="P19" s="876"/>
      <c r="Q19" s="876"/>
      <c r="R19" s="876"/>
      <c r="S19" s="876"/>
      <c r="T19" s="876"/>
      <c r="U19" s="876"/>
      <c r="V19" s="881">
        <f t="shared" si="3"/>
        <v>0.25</v>
      </c>
      <c r="W19" s="890">
        <f t="shared" ca="1" si="2"/>
        <v>1.0701728730340365</v>
      </c>
      <c r="X19" s="876"/>
      <c r="Y19" s="876"/>
      <c r="Z19" s="876"/>
      <c r="AA19" s="876"/>
      <c r="AB19" s="876"/>
      <c r="AC19" s="876"/>
      <c r="AD19" s="876"/>
      <c r="AE19" s="876"/>
      <c r="AF19" s="876"/>
      <c r="AG19" s="876"/>
      <c r="AH19" s="876"/>
      <c r="AI19" s="876"/>
      <c r="AJ19" s="876"/>
      <c r="AK19" s="876"/>
      <c r="AL19" s="876"/>
      <c r="AM19" s="876"/>
      <c r="AN19" s="876"/>
      <c r="AO19" s="876"/>
      <c r="AP19" s="876"/>
      <c r="AQ19" s="876"/>
      <c r="AR19" s="876"/>
      <c r="AS19" s="876"/>
      <c r="AT19" s="876"/>
      <c r="AU19" s="876"/>
      <c r="AV19" s="876"/>
      <c r="AW19" s="876"/>
      <c r="AX19" s="876"/>
      <c r="AY19" s="876"/>
      <c r="AZ19" s="876"/>
      <c r="BA19" s="876"/>
      <c r="BB19" s="876"/>
      <c r="BC19" s="876"/>
      <c r="BD19" s="876"/>
      <c r="BE19" s="876"/>
      <c r="BF19" s="876"/>
      <c r="BG19" s="876"/>
      <c r="BH19" s="876"/>
      <c r="BI19" s="876"/>
      <c r="BJ19" s="876"/>
      <c r="BK19" s="876"/>
      <c r="BL19" s="876"/>
      <c r="BM19" s="876"/>
      <c r="BN19" s="876"/>
      <c r="BO19" s="876"/>
      <c r="BP19" s="876"/>
      <c r="BQ19" s="876"/>
      <c r="BR19" s="876"/>
      <c r="BS19" s="876"/>
      <c r="BT19" s="876"/>
      <c r="BU19" s="876"/>
    </row>
    <row r="20" spans="1:73">
      <c r="A20" s="876"/>
      <c r="B20" s="876"/>
      <c r="C20" s="876"/>
      <c r="D20" s="876"/>
      <c r="E20" s="876"/>
      <c r="F20" s="876"/>
      <c r="G20" s="876"/>
      <c r="H20" s="876"/>
      <c r="I20" s="876"/>
      <c r="J20" s="876"/>
      <c r="K20" s="876"/>
      <c r="L20" s="876"/>
      <c r="M20" s="876"/>
      <c r="N20" s="876"/>
      <c r="O20" s="876"/>
      <c r="P20" s="876"/>
      <c r="Q20" s="876"/>
      <c r="R20" s="876"/>
      <c r="S20" s="876"/>
      <c r="T20" s="876"/>
      <c r="U20" s="876"/>
      <c r="V20" s="881">
        <f t="shared" si="3"/>
        <v>0.3</v>
      </c>
      <c r="W20" s="890">
        <f t="shared" ca="1" si="2"/>
        <v>1.0713480957111794</v>
      </c>
      <c r="X20" s="876"/>
      <c r="Y20" s="876"/>
      <c r="Z20" s="876"/>
      <c r="AA20" s="876"/>
      <c r="AB20" s="876"/>
      <c r="AC20" s="876"/>
      <c r="AD20" s="876"/>
      <c r="AE20" s="876"/>
      <c r="AF20" s="876"/>
      <c r="AG20" s="876"/>
      <c r="AH20" s="876"/>
      <c r="AI20" s="876"/>
      <c r="AJ20" s="876"/>
      <c r="AK20" s="876"/>
      <c r="AL20" s="876"/>
      <c r="AM20" s="876"/>
      <c r="AN20" s="876"/>
      <c r="AO20" s="876"/>
      <c r="AP20" s="876"/>
      <c r="AQ20" s="876"/>
      <c r="AR20" s="876"/>
      <c r="AS20" s="876"/>
      <c r="AT20" s="876"/>
      <c r="AU20" s="876"/>
      <c r="AV20" s="876"/>
      <c r="AW20" s="876"/>
      <c r="AX20" s="876"/>
      <c r="AY20" s="876"/>
      <c r="AZ20" s="876"/>
      <c r="BA20" s="876"/>
      <c r="BB20" s="876"/>
      <c r="BC20" s="876"/>
      <c r="BD20" s="876"/>
      <c r="BE20" s="876"/>
      <c r="BF20" s="876"/>
      <c r="BG20" s="876"/>
      <c r="BH20" s="876"/>
      <c r="BI20" s="876"/>
      <c r="BJ20" s="876"/>
      <c r="BK20" s="876"/>
      <c r="BL20" s="876"/>
      <c r="BM20" s="876"/>
      <c r="BN20" s="876"/>
      <c r="BO20" s="876"/>
      <c r="BP20" s="876"/>
      <c r="BQ20" s="876"/>
      <c r="BR20" s="876"/>
      <c r="BS20" s="876"/>
      <c r="BT20" s="876"/>
      <c r="BU20" s="876"/>
    </row>
    <row r="21" spans="1:73">
      <c r="A21" s="876"/>
      <c r="B21" s="876"/>
      <c r="C21" s="876"/>
      <c r="D21" s="876"/>
      <c r="E21" s="876"/>
      <c r="F21" s="876"/>
      <c r="G21" s="876"/>
      <c r="H21" s="876"/>
      <c r="I21" s="876"/>
      <c r="J21" s="876"/>
      <c r="K21" s="876"/>
      <c r="L21" s="876"/>
      <c r="M21" s="876"/>
      <c r="N21" s="876"/>
      <c r="O21" s="876"/>
      <c r="P21" s="876"/>
      <c r="Q21" s="876"/>
      <c r="R21" s="876"/>
      <c r="S21" s="876"/>
      <c r="T21" s="876"/>
      <c r="U21" s="876"/>
      <c r="V21" s="881">
        <f t="shared" si="3"/>
        <v>0.35</v>
      </c>
      <c r="W21" s="890">
        <f t="shared" ca="1" si="2"/>
        <v>1.0721988985462889</v>
      </c>
      <c r="X21" s="876"/>
      <c r="Y21" s="876"/>
      <c r="Z21" s="876"/>
      <c r="AA21" s="876"/>
      <c r="AB21" s="876"/>
      <c r="AC21" s="876"/>
      <c r="AD21" s="876"/>
      <c r="AE21" s="876"/>
      <c r="AF21" s="876"/>
      <c r="AG21" s="876"/>
      <c r="AH21" s="876"/>
      <c r="AI21" s="876"/>
      <c r="AJ21" s="876"/>
      <c r="AK21" s="876"/>
      <c r="AL21" s="876"/>
      <c r="AM21" s="876"/>
      <c r="AN21" s="876"/>
      <c r="AO21" s="876"/>
      <c r="AP21" s="876"/>
      <c r="AQ21" s="876"/>
      <c r="AR21" s="876"/>
      <c r="AS21" s="876"/>
      <c r="AT21" s="876"/>
      <c r="AU21" s="876"/>
      <c r="AV21" s="876"/>
      <c r="AW21" s="876"/>
      <c r="AX21" s="876"/>
      <c r="AY21" s="876"/>
      <c r="AZ21" s="876"/>
      <c r="BA21" s="876"/>
      <c r="BB21" s="876"/>
      <c r="BC21" s="876"/>
      <c r="BD21" s="876"/>
      <c r="BE21" s="876"/>
      <c r="BF21" s="876"/>
      <c r="BG21" s="876"/>
      <c r="BH21" s="876"/>
      <c r="BI21" s="876"/>
      <c r="BJ21" s="876"/>
      <c r="BK21" s="876"/>
      <c r="BL21" s="876"/>
      <c r="BM21" s="876"/>
      <c r="BN21" s="876"/>
      <c r="BO21" s="876"/>
      <c r="BP21" s="876"/>
      <c r="BQ21" s="876"/>
      <c r="BR21" s="876"/>
      <c r="BS21" s="876"/>
      <c r="BT21" s="876"/>
      <c r="BU21" s="876"/>
    </row>
    <row r="22" spans="1:73">
      <c r="A22" s="876"/>
      <c r="B22" s="876"/>
      <c r="C22" s="876"/>
      <c r="D22" s="876"/>
      <c r="E22" s="876"/>
      <c r="F22" s="876"/>
      <c r="G22" s="876"/>
      <c r="H22" s="876"/>
      <c r="I22" s="876"/>
      <c r="J22" s="876"/>
      <c r="K22" s="876"/>
      <c r="L22" s="876"/>
      <c r="M22" s="876"/>
      <c r="N22" s="876"/>
      <c r="O22" s="876"/>
      <c r="P22" s="876"/>
      <c r="Q22" s="876"/>
      <c r="R22" s="876"/>
      <c r="S22" s="876"/>
      <c r="T22" s="876"/>
      <c r="U22" s="876"/>
      <c r="V22" s="881">
        <f t="shared" si="3"/>
        <v>0.39999999999999997</v>
      </c>
      <c r="W22" s="890">
        <f t="shared" ca="1" si="2"/>
        <v>1.0730649035526609</v>
      </c>
      <c r="X22" s="876"/>
      <c r="Y22" s="876"/>
      <c r="Z22" s="876"/>
      <c r="AA22" s="876"/>
      <c r="AB22" s="876"/>
      <c r="AC22" s="876"/>
      <c r="AD22" s="876"/>
      <c r="AE22" s="876"/>
      <c r="AF22" s="876"/>
      <c r="AG22" s="876"/>
      <c r="AH22" s="876"/>
      <c r="AI22" s="876"/>
      <c r="AJ22" s="876"/>
      <c r="AK22" s="876"/>
      <c r="AL22" s="876"/>
      <c r="AM22" s="876"/>
      <c r="AN22" s="876"/>
      <c r="AO22" s="876"/>
      <c r="AP22" s="876"/>
      <c r="AQ22" s="876"/>
      <c r="AR22" s="876"/>
      <c r="AS22" s="876"/>
      <c r="AT22" s="876"/>
      <c r="AU22" s="876"/>
      <c r="AV22" s="876"/>
      <c r="AW22" s="876"/>
      <c r="AX22" s="876"/>
      <c r="AY22" s="876"/>
      <c r="AZ22" s="876"/>
      <c r="BA22" s="876"/>
      <c r="BB22" s="876"/>
      <c r="BC22" s="876"/>
      <c r="BD22" s="876"/>
      <c r="BE22" s="876"/>
      <c r="BF22" s="876"/>
      <c r="BG22" s="876"/>
      <c r="BH22" s="876"/>
      <c r="BI22" s="876"/>
      <c r="BJ22" s="876"/>
      <c r="BK22" s="876"/>
      <c r="BL22" s="876"/>
      <c r="BM22" s="876"/>
      <c r="BN22" s="876"/>
      <c r="BO22" s="876"/>
      <c r="BP22" s="876"/>
      <c r="BQ22" s="876"/>
      <c r="BR22" s="876"/>
      <c r="BS22" s="876"/>
      <c r="BT22" s="876"/>
      <c r="BU22" s="876"/>
    </row>
    <row r="23" spans="1:73">
      <c r="A23" s="876"/>
      <c r="B23" s="876"/>
      <c r="C23" s="876"/>
      <c r="D23" s="876"/>
      <c r="E23" s="876"/>
      <c r="F23" s="876"/>
      <c r="G23" s="876"/>
      <c r="H23" s="876"/>
      <c r="I23" s="876"/>
      <c r="J23" s="876"/>
      <c r="K23" s="876"/>
      <c r="L23" s="876"/>
      <c r="M23" s="876"/>
      <c r="N23" s="876"/>
      <c r="O23" s="876"/>
      <c r="P23" s="876"/>
      <c r="Q23" s="876"/>
      <c r="R23" s="876"/>
      <c r="S23" s="876"/>
      <c r="T23" s="876"/>
      <c r="U23" s="876"/>
      <c r="V23" s="881">
        <f t="shared" si="3"/>
        <v>0.44999999999999996</v>
      </c>
      <c r="W23" s="890">
        <f t="shared" ca="1" si="2"/>
        <v>1.0737964106258879</v>
      </c>
      <c r="X23" s="876"/>
      <c r="Y23" s="876"/>
      <c r="Z23" s="876"/>
      <c r="AA23" s="876"/>
      <c r="AB23" s="876"/>
      <c r="AC23" s="876"/>
      <c r="AD23" s="876"/>
      <c r="AE23" s="876"/>
      <c r="AF23" s="876"/>
      <c r="AG23" s="876"/>
      <c r="AH23" s="876"/>
      <c r="AI23" s="876"/>
      <c r="AJ23" s="876"/>
      <c r="AK23" s="876"/>
      <c r="AL23" s="876"/>
      <c r="AM23" s="876"/>
      <c r="AN23" s="876"/>
      <c r="AO23" s="876"/>
      <c r="AP23" s="876"/>
      <c r="AQ23" s="876"/>
      <c r="AR23" s="876"/>
      <c r="AS23" s="876"/>
      <c r="AT23" s="876"/>
      <c r="AU23" s="876"/>
      <c r="AV23" s="876"/>
      <c r="AW23" s="876"/>
      <c r="AX23" s="876"/>
      <c r="AY23" s="876"/>
      <c r="AZ23" s="876"/>
      <c r="BA23" s="876"/>
      <c r="BB23" s="876"/>
      <c r="BC23" s="876"/>
      <c r="BD23" s="876"/>
      <c r="BE23" s="876"/>
      <c r="BF23" s="876"/>
      <c r="BG23" s="876"/>
      <c r="BH23" s="876"/>
      <c r="BI23" s="876"/>
      <c r="BJ23" s="876"/>
      <c r="BK23" s="876"/>
      <c r="BL23" s="876"/>
      <c r="BM23" s="876"/>
      <c r="BN23" s="876"/>
      <c r="BO23" s="876"/>
      <c r="BP23" s="876"/>
      <c r="BQ23" s="876"/>
      <c r="BR23" s="876"/>
      <c r="BS23" s="876"/>
      <c r="BT23" s="876"/>
      <c r="BU23" s="876"/>
    </row>
    <row r="24" spans="1:73">
      <c r="A24" s="876"/>
      <c r="B24" s="876"/>
      <c r="C24" s="876"/>
      <c r="D24" s="876"/>
      <c r="E24" s="876"/>
      <c r="F24" s="876"/>
      <c r="G24" s="876"/>
      <c r="H24" s="876"/>
      <c r="I24" s="876"/>
      <c r="J24" s="876"/>
      <c r="K24" s="876"/>
      <c r="L24" s="876"/>
      <c r="M24" s="876"/>
      <c r="N24" s="876"/>
      <c r="O24" s="876"/>
      <c r="P24" s="876"/>
      <c r="Q24" s="876"/>
      <c r="R24" s="876"/>
      <c r="S24" s="876"/>
      <c r="T24" s="876"/>
      <c r="U24" s="876"/>
      <c r="V24" s="1206">
        <f t="shared" si="3"/>
        <v>0.49999999999999994</v>
      </c>
      <c r="W24" s="1207">
        <f t="shared" ca="1" si="2"/>
        <v>1.0745089661382079</v>
      </c>
      <c r="X24" s="876"/>
      <c r="Y24" s="876"/>
      <c r="Z24" s="876"/>
      <c r="AA24" s="876"/>
      <c r="AB24" s="876"/>
      <c r="AC24" s="876"/>
      <c r="AD24" s="876"/>
      <c r="AE24" s="876"/>
      <c r="AF24" s="876"/>
      <c r="AG24" s="876"/>
      <c r="AH24" s="876"/>
      <c r="AI24" s="876"/>
      <c r="AJ24" s="876"/>
      <c r="AK24" s="876"/>
      <c r="AL24" s="876"/>
      <c r="AM24" s="876"/>
      <c r="AN24" s="876"/>
      <c r="AO24" s="876"/>
      <c r="AP24" s="876"/>
      <c r="AQ24" s="876"/>
      <c r="AR24" s="876"/>
      <c r="AS24" s="876"/>
      <c r="AT24" s="876"/>
      <c r="AU24" s="876"/>
      <c r="AV24" s="876"/>
      <c r="AW24" s="876"/>
      <c r="AX24" s="876"/>
      <c r="AY24" s="876"/>
      <c r="AZ24" s="876"/>
      <c r="BA24" s="876"/>
      <c r="BB24" s="876"/>
      <c r="BC24" s="876"/>
      <c r="BD24" s="876"/>
      <c r="BE24" s="876"/>
      <c r="BF24" s="876"/>
      <c r="BG24" s="876"/>
      <c r="BH24" s="876"/>
      <c r="BI24" s="876"/>
      <c r="BJ24" s="876"/>
      <c r="BK24" s="876"/>
      <c r="BL24" s="876"/>
      <c r="BM24" s="876"/>
      <c r="BN24" s="876"/>
      <c r="BO24" s="876"/>
      <c r="BP24" s="876"/>
      <c r="BQ24" s="876"/>
      <c r="BR24" s="876"/>
      <c r="BS24" s="876"/>
      <c r="BT24" s="876"/>
      <c r="BU24" s="876"/>
    </row>
    <row r="25" spans="1:73">
      <c r="A25" s="876"/>
      <c r="B25" s="876"/>
      <c r="C25" s="876"/>
      <c r="D25" s="876"/>
      <c r="E25" s="876"/>
      <c r="F25" s="876"/>
      <c r="G25" s="876"/>
      <c r="H25" s="876"/>
      <c r="I25" s="876"/>
      <c r="J25" s="876"/>
      <c r="K25" s="876"/>
      <c r="L25" s="876"/>
      <c r="M25" s="876"/>
      <c r="N25" s="876"/>
      <c r="O25" s="876"/>
      <c r="P25" s="876"/>
      <c r="Q25" s="876"/>
      <c r="R25" s="876"/>
      <c r="S25" s="876"/>
      <c r="T25" s="876"/>
      <c r="U25" s="876"/>
      <c r="V25" s="881">
        <f t="shared" si="3"/>
        <v>0.54999999999999993</v>
      </c>
      <c r="W25" s="890">
        <f t="shared" ca="1" si="2"/>
        <v>1.0752558649920609</v>
      </c>
      <c r="X25" s="876"/>
      <c r="Y25" s="876"/>
      <c r="Z25" s="876"/>
      <c r="AA25" s="876"/>
      <c r="AB25" s="876"/>
      <c r="AC25" s="876"/>
      <c r="AD25" s="876"/>
      <c r="AE25" s="876"/>
      <c r="AF25" s="876"/>
      <c r="AG25" s="876"/>
      <c r="AH25" s="876"/>
      <c r="AI25" s="876"/>
      <c r="AJ25" s="876"/>
      <c r="AK25" s="876"/>
      <c r="AL25" s="876"/>
      <c r="AM25" s="876"/>
      <c r="AN25" s="876"/>
      <c r="AO25" s="876"/>
      <c r="AP25" s="876"/>
      <c r="AQ25" s="876"/>
      <c r="AR25" s="876"/>
      <c r="AS25" s="876"/>
      <c r="AT25" s="876"/>
      <c r="AU25" s="876"/>
      <c r="AV25" s="876"/>
      <c r="AW25" s="876"/>
      <c r="AX25" s="876"/>
      <c r="AY25" s="876"/>
      <c r="AZ25" s="876"/>
      <c r="BA25" s="876"/>
      <c r="BB25" s="876"/>
      <c r="BC25" s="876"/>
      <c r="BD25" s="876"/>
      <c r="BE25" s="876"/>
      <c r="BF25" s="876"/>
      <c r="BG25" s="876"/>
      <c r="BH25" s="876"/>
      <c r="BI25" s="876"/>
      <c r="BJ25" s="876"/>
      <c r="BK25" s="876"/>
      <c r="BL25" s="876"/>
      <c r="BM25" s="876"/>
      <c r="BN25" s="876"/>
      <c r="BO25" s="876"/>
      <c r="BP25" s="876"/>
      <c r="BQ25" s="876"/>
      <c r="BR25" s="876"/>
      <c r="BS25" s="876"/>
      <c r="BT25" s="876"/>
      <c r="BU25" s="876"/>
    </row>
    <row r="26" spans="1:73">
      <c r="A26" s="876"/>
      <c r="B26" s="876"/>
      <c r="C26" s="876"/>
      <c r="D26" s="876"/>
      <c r="E26" s="876"/>
      <c r="F26" s="876"/>
      <c r="G26" s="876"/>
      <c r="H26" s="876"/>
      <c r="I26" s="876"/>
      <c r="J26" s="876"/>
      <c r="K26" s="876"/>
      <c r="L26" s="876"/>
      <c r="M26" s="876"/>
      <c r="N26" s="876"/>
      <c r="O26" s="876"/>
      <c r="P26" s="876"/>
      <c r="Q26" s="876"/>
      <c r="R26" s="876"/>
      <c r="S26" s="876"/>
      <c r="T26" s="876"/>
      <c r="U26" s="876"/>
      <c r="V26" s="881">
        <f t="shared" si="3"/>
        <v>0.6</v>
      </c>
      <c r="W26" s="890">
        <f t="shared" ca="1" si="2"/>
        <v>1.0760846448398707</v>
      </c>
      <c r="X26" s="876"/>
      <c r="Y26" s="876"/>
      <c r="Z26" s="876"/>
      <c r="AA26" s="876"/>
      <c r="AB26" s="876"/>
      <c r="AC26" s="876"/>
      <c r="AD26" s="876"/>
      <c r="AE26" s="876"/>
      <c r="AF26" s="876"/>
      <c r="AG26" s="876"/>
      <c r="AH26" s="876"/>
      <c r="AI26" s="876"/>
      <c r="AJ26" s="876"/>
      <c r="AK26" s="876"/>
      <c r="AL26" s="876"/>
      <c r="AM26" s="876"/>
      <c r="AN26" s="876"/>
      <c r="AO26" s="876"/>
      <c r="AP26" s="876"/>
      <c r="AQ26" s="876"/>
      <c r="AR26" s="876"/>
      <c r="AS26" s="876"/>
      <c r="AT26" s="876"/>
      <c r="AU26" s="876"/>
      <c r="AV26" s="876"/>
      <c r="AW26" s="876"/>
      <c r="AX26" s="876"/>
      <c r="AY26" s="876"/>
      <c r="AZ26" s="876"/>
      <c r="BA26" s="876"/>
      <c r="BB26" s="876"/>
      <c r="BC26" s="876"/>
      <c r="BD26" s="876"/>
      <c r="BE26" s="876"/>
      <c r="BF26" s="876"/>
      <c r="BG26" s="876"/>
      <c r="BH26" s="876"/>
      <c r="BI26" s="876"/>
      <c r="BJ26" s="876"/>
      <c r="BK26" s="876"/>
      <c r="BL26" s="876"/>
      <c r="BM26" s="876"/>
      <c r="BN26" s="876"/>
      <c r="BO26" s="876"/>
      <c r="BP26" s="876"/>
      <c r="BQ26" s="876"/>
      <c r="BR26" s="876"/>
      <c r="BS26" s="876"/>
      <c r="BT26" s="876"/>
      <c r="BU26" s="876"/>
    </row>
    <row r="27" spans="1:73">
      <c r="A27" s="876"/>
      <c r="B27" s="876"/>
      <c r="C27" s="876"/>
      <c r="D27" s="876"/>
      <c r="E27" s="876"/>
      <c r="F27" s="876"/>
      <c r="G27" s="876"/>
      <c r="H27" s="876"/>
      <c r="I27" s="876"/>
      <c r="J27" s="876"/>
      <c r="K27" s="876"/>
      <c r="L27" s="876"/>
      <c r="M27" s="876"/>
      <c r="N27" s="876"/>
      <c r="O27" s="876"/>
      <c r="P27" s="876"/>
      <c r="Q27" s="876"/>
      <c r="R27" s="876"/>
      <c r="S27" s="876"/>
      <c r="T27" s="876"/>
      <c r="U27" s="876"/>
      <c r="V27" s="881">
        <f t="shared" si="3"/>
        <v>0.65</v>
      </c>
      <c r="W27" s="890">
        <f t="shared" ca="1" si="2"/>
        <v>1.0770341787776341</v>
      </c>
      <c r="X27" s="876"/>
      <c r="Y27" s="876"/>
      <c r="Z27" s="876"/>
      <c r="AA27" s="876"/>
      <c r="AB27" s="876"/>
      <c r="AC27" s="876"/>
      <c r="AD27" s="876"/>
      <c r="AE27" s="876"/>
      <c r="AF27" s="876"/>
      <c r="AG27" s="876"/>
      <c r="AH27" s="876"/>
      <c r="AI27" s="876"/>
      <c r="AJ27" s="876"/>
      <c r="AK27" s="876"/>
      <c r="AL27" s="876"/>
      <c r="AM27" s="876"/>
      <c r="AN27" s="876"/>
      <c r="AO27" s="876"/>
      <c r="AP27" s="876"/>
      <c r="AQ27" s="876"/>
      <c r="AR27" s="876"/>
      <c r="AS27" s="876"/>
      <c r="AT27" s="876"/>
      <c r="AU27" s="876"/>
      <c r="AV27" s="876"/>
      <c r="AW27" s="876"/>
      <c r="AX27" s="876"/>
      <c r="AY27" s="876"/>
      <c r="AZ27" s="876"/>
      <c r="BA27" s="876"/>
      <c r="BB27" s="876"/>
      <c r="BC27" s="876"/>
      <c r="BD27" s="876"/>
      <c r="BE27" s="876"/>
      <c r="BF27" s="876"/>
      <c r="BG27" s="876"/>
      <c r="BH27" s="876"/>
      <c r="BI27" s="876"/>
      <c r="BJ27" s="876"/>
      <c r="BK27" s="876"/>
      <c r="BL27" s="876"/>
      <c r="BM27" s="876"/>
      <c r="BN27" s="876"/>
      <c r="BO27" s="876"/>
      <c r="BP27" s="876"/>
      <c r="BQ27" s="876"/>
      <c r="BR27" s="876"/>
      <c r="BS27" s="876"/>
      <c r="BT27" s="876"/>
      <c r="BU27" s="876"/>
    </row>
    <row r="28" spans="1:73">
      <c r="A28" s="876"/>
      <c r="B28" s="876"/>
      <c r="C28" s="876"/>
      <c r="D28" s="876"/>
      <c r="E28" s="876"/>
      <c r="F28" s="876"/>
      <c r="G28" s="876"/>
      <c r="H28" s="876"/>
      <c r="I28" s="876"/>
      <c r="J28" s="876"/>
      <c r="K28" s="876"/>
      <c r="L28" s="876"/>
      <c r="M28" s="876"/>
      <c r="N28" s="876"/>
      <c r="O28" s="876"/>
      <c r="P28" s="876"/>
      <c r="Q28" s="876"/>
      <c r="R28" s="876"/>
      <c r="S28" s="876"/>
      <c r="T28" s="876"/>
      <c r="U28" s="876"/>
      <c r="V28" s="881">
        <f t="shared" si="3"/>
        <v>0.70000000000000007</v>
      </c>
      <c r="W28" s="890">
        <f t="shared" ca="1" si="2"/>
        <v>1.0779722298533225</v>
      </c>
      <c r="X28" s="876"/>
      <c r="Y28" s="876"/>
      <c r="Z28" s="876"/>
      <c r="AA28" s="876"/>
      <c r="AB28" s="876"/>
      <c r="AC28" s="876"/>
      <c r="AD28" s="876"/>
      <c r="AE28" s="876"/>
      <c r="AF28" s="876"/>
      <c r="AG28" s="876"/>
      <c r="AH28" s="876"/>
      <c r="AI28" s="876"/>
      <c r="AJ28" s="876"/>
      <c r="AK28" s="876"/>
      <c r="AL28" s="876"/>
      <c r="AM28" s="876"/>
      <c r="AN28" s="876"/>
      <c r="AO28" s="876"/>
      <c r="AP28" s="876"/>
      <c r="AQ28" s="876"/>
      <c r="AR28" s="876"/>
      <c r="AS28" s="876"/>
      <c r="AT28" s="876"/>
      <c r="AU28" s="876"/>
      <c r="AV28" s="876"/>
      <c r="AW28" s="876"/>
      <c r="AX28" s="876"/>
      <c r="AY28" s="876"/>
      <c r="AZ28" s="876"/>
      <c r="BA28" s="876"/>
      <c r="BB28" s="876"/>
      <c r="BC28" s="876"/>
      <c r="BD28" s="876"/>
      <c r="BE28" s="876"/>
      <c r="BF28" s="876"/>
      <c r="BG28" s="876"/>
      <c r="BH28" s="876"/>
      <c r="BI28" s="876"/>
      <c r="BJ28" s="876"/>
      <c r="BK28" s="876"/>
      <c r="BL28" s="876"/>
      <c r="BM28" s="876"/>
      <c r="BN28" s="876"/>
      <c r="BO28" s="876"/>
      <c r="BP28" s="876"/>
      <c r="BQ28" s="876"/>
      <c r="BR28" s="876"/>
      <c r="BS28" s="876"/>
      <c r="BT28" s="876"/>
      <c r="BU28" s="876"/>
    </row>
    <row r="29" spans="1:73">
      <c r="A29" s="876"/>
      <c r="B29" s="876"/>
      <c r="C29" s="876"/>
      <c r="D29" s="876"/>
      <c r="E29" s="876"/>
      <c r="F29" s="876"/>
      <c r="G29" s="876"/>
      <c r="H29" s="876"/>
      <c r="I29" s="876"/>
      <c r="J29" s="876"/>
      <c r="K29" s="876"/>
      <c r="L29" s="876"/>
      <c r="M29" s="876"/>
      <c r="N29" s="876"/>
      <c r="O29" s="876"/>
      <c r="P29" s="876"/>
      <c r="Q29" s="876"/>
      <c r="R29" s="876"/>
      <c r="S29" s="876"/>
      <c r="T29" s="876"/>
      <c r="U29" s="876"/>
      <c r="V29" s="881">
        <f t="shared" si="3"/>
        <v>0.75000000000000011</v>
      </c>
      <c r="W29" s="890">
        <f t="shared" ca="1" si="2"/>
        <v>1.0790587634771329</v>
      </c>
      <c r="X29" s="876"/>
      <c r="Y29" s="876"/>
      <c r="Z29" s="876"/>
      <c r="AA29" s="876"/>
      <c r="AB29" s="876"/>
      <c r="AC29" s="876"/>
      <c r="AD29" s="876"/>
      <c r="AE29" s="876"/>
      <c r="AF29" s="876"/>
      <c r="AG29" s="876"/>
      <c r="AH29" s="876"/>
      <c r="AI29" s="876"/>
      <c r="AJ29" s="876"/>
      <c r="AK29" s="876"/>
      <c r="AL29" s="876"/>
      <c r="AM29" s="876"/>
      <c r="AN29" s="876"/>
      <c r="AO29" s="876"/>
      <c r="AP29" s="876"/>
      <c r="AQ29" s="876"/>
      <c r="AR29" s="876"/>
      <c r="AS29" s="876"/>
      <c r="AT29" s="876"/>
      <c r="AU29" s="876"/>
      <c r="AV29" s="876"/>
      <c r="AW29" s="876"/>
      <c r="AX29" s="876"/>
      <c r="AY29" s="876"/>
      <c r="AZ29" s="876"/>
      <c r="BA29" s="876"/>
      <c r="BB29" s="876"/>
      <c r="BC29" s="876"/>
      <c r="BD29" s="876"/>
      <c r="BE29" s="876"/>
      <c r="BF29" s="876"/>
      <c r="BG29" s="876"/>
      <c r="BH29" s="876"/>
      <c r="BI29" s="876"/>
      <c r="BJ29" s="876"/>
      <c r="BK29" s="876"/>
      <c r="BL29" s="876"/>
      <c r="BM29" s="876"/>
      <c r="BN29" s="876"/>
      <c r="BO29" s="876"/>
      <c r="BP29" s="876"/>
      <c r="BQ29" s="876"/>
      <c r="BR29" s="876"/>
      <c r="BS29" s="876"/>
      <c r="BT29" s="876"/>
      <c r="BU29" s="876"/>
    </row>
    <row r="30" spans="1:73">
      <c r="A30" s="876"/>
      <c r="B30" s="876"/>
      <c r="C30" s="876"/>
      <c r="D30" s="876"/>
      <c r="E30" s="876"/>
      <c r="F30" s="877"/>
      <c r="G30" s="876"/>
      <c r="H30" s="876"/>
      <c r="I30" s="876"/>
      <c r="J30" s="876"/>
      <c r="K30" s="876"/>
      <c r="L30" s="876"/>
      <c r="M30" s="876"/>
      <c r="N30" s="876"/>
      <c r="O30" s="876"/>
      <c r="P30" s="876"/>
      <c r="Q30" s="876"/>
      <c r="R30" s="876"/>
      <c r="S30" s="876"/>
      <c r="T30" s="876"/>
      <c r="U30" s="876"/>
      <c r="V30" s="881">
        <f t="shared" si="3"/>
        <v>0.80000000000000016</v>
      </c>
      <c r="W30" s="890">
        <f t="shared" ca="1" si="2"/>
        <v>1.0802986276302071</v>
      </c>
      <c r="X30" s="876"/>
      <c r="Y30" s="876"/>
      <c r="Z30" s="876"/>
      <c r="AA30" s="876"/>
      <c r="AB30" s="876"/>
      <c r="AC30" s="876"/>
      <c r="AD30" s="876"/>
      <c r="AE30" s="876"/>
      <c r="AF30" s="876"/>
      <c r="AG30" s="876"/>
      <c r="AH30" s="876"/>
      <c r="AI30" s="876"/>
      <c r="AJ30" s="876"/>
      <c r="AK30" s="876"/>
      <c r="AL30" s="876"/>
      <c r="AM30" s="876"/>
      <c r="AN30" s="876"/>
      <c r="AO30" s="876"/>
      <c r="AP30" s="876"/>
      <c r="AQ30" s="876"/>
      <c r="AR30" s="876"/>
      <c r="AS30" s="876"/>
      <c r="AT30" s="876"/>
      <c r="AU30" s="876"/>
      <c r="AV30" s="876"/>
      <c r="AW30" s="876"/>
      <c r="AX30" s="876"/>
      <c r="AY30" s="876"/>
      <c r="AZ30" s="876"/>
      <c r="BA30" s="876"/>
      <c r="BB30" s="876"/>
      <c r="BC30" s="876"/>
      <c r="BD30" s="876"/>
      <c r="BE30" s="876"/>
      <c r="BF30" s="876"/>
      <c r="BG30" s="876"/>
      <c r="BH30" s="876"/>
      <c r="BI30" s="876"/>
      <c r="BJ30" s="876"/>
      <c r="BK30" s="876"/>
      <c r="BL30" s="876"/>
      <c r="BM30" s="876"/>
      <c r="BN30" s="876"/>
      <c r="BO30" s="876"/>
      <c r="BP30" s="876"/>
      <c r="BQ30" s="876"/>
      <c r="BR30" s="876"/>
      <c r="BS30" s="876"/>
      <c r="BT30" s="876"/>
      <c r="BU30" s="876"/>
    </row>
    <row r="31" spans="1:73">
      <c r="A31" s="876"/>
      <c r="B31" s="876"/>
      <c r="C31" s="876"/>
      <c r="D31" s="876"/>
      <c r="E31" s="876"/>
      <c r="F31" s="876"/>
      <c r="G31" s="876"/>
      <c r="H31" s="876"/>
      <c r="I31" s="876"/>
      <c r="J31" s="876"/>
      <c r="K31" s="876"/>
      <c r="L31" s="876"/>
      <c r="M31" s="876"/>
      <c r="N31" s="876"/>
      <c r="O31" s="876"/>
      <c r="P31" s="876"/>
      <c r="Q31" s="876"/>
      <c r="R31" s="876"/>
      <c r="S31" s="876"/>
      <c r="T31" s="876"/>
      <c r="U31" s="876"/>
      <c r="V31" s="881">
        <f t="shared" si="3"/>
        <v>0.8500000000000002</v>
      </c>
      <c r="W31" s="890">
        <f t="shared" ca="1" si="2"/>
        <v>1.0815539112638408</v>
      </c>
      <c r="X31" s="876"/>
      <c r="Y31" s="876"/>
      <c r="Z31" s="876"/>
      <c r="AA31" s="876"/>
      <c r="AB31" s="876"/>
      <c r="AC31" s="876"/>
      <c r="AD31" s="876"/>
      <c r="AE31" s="876"/>
      <c r="AF31" s="876"/>
      <c r="AG31" s="876"/>
      <c r="AH31" s="876"/>
      <c r="AI31" s="876"/>
      <c r="AJ31" s="876"/>
      <c r="AK31" s="876"/>
      <c r="AL31" s="876"/>
      <c r="AM31" s="876"/>
      <c r="AN31" s="876"/>
      <c r="AO31" s="876"/>
      <c r="AP31" s="876"/>
      <c r="AQ31" s="876"/>
      <c r="AR31" s="876"/>
      <c r="AS31" s="876"/>
      <c r="AT31" s="876"/>
      <c r="AU31" s="876"/>
      <c r="AV31" s="876"/>
      <c r="AW31" s="876"/>
      <c r="AX31" s="876"/>
      <c r="AY31" s="876"/>
      <c r="AZ31" s="876"/>
      <c r="BA31" s="876"/>
      <c r="BB31" s="876"/>
      <c r="BC31" s="876"/>
      <c r="BD31" s="876"/>
      <c r="BE31" s="876"/>
      <c r="BF31" s="876"/>
      <c r="BG31" s="876"/>
      <c r="BH31" s="876"/>
      <c r="BI31" s="876"/>
      <c r="BJ31" s="876"/>
      <c r="BK31" s="876"/>
      <c r="BL31" s="876"/>
      <c r="BM31" s="876"/>
      <c r="BN31" s="876"/>
      <c r="BO31" s="876"/>
      <c r="BP31" s="876"/>
      <c r="BQ31" s="876"/>
      <c r="BR31" s="876"/>
      <c r="BS31" s="876"/>
      <c r="BT31" s="876"/>
      <c r="BU31" s="876"/>
    </row>
    <row r="32" spans="1:73">
      <c r="A32" s="876"/>
      <c r="B32" s="876"/>
      <c r="C32" s="876"/>
      <c r="D32" s="876"/>
      <c r="E32" s="876"/>
      <c r="F32" s="876"/>
      <c r="G32" s="876"/>
      <c r="H32" s="876"/>
      <c r="I32" s="876"/>
      <c r="J32" s="876"/>
      <c r="K32" s="876"/>
      <c r="L32" s="876"/>
      <c r="M32" s="876"/>
      <c r="N32" s="876"/>
      <c r="O32" s="876"/>
      <c r="P32" s="876"/>
      <c r="Q32" s="876"/>
      <c r="R32" s="876"/>
      <c r="S32" s="876"/>
      <c r="T32" s="876"/>
      <c r="U32" s="876"/>
      <c r="V32" s="881">
        <f t="shared" si="3"/>
        <v>0.90000000000000024</v>
      </c>
      <c r="W32" s="890">
        <f t="shared" ca="1" si="2"/>
        <v>1.0830179179171719</v>
      </c>
      <c r="X32" s="876"/>
      <c r="Y32" s="876"/>
      <c r="Z32" s="876"/>
      <c r="AA32" s="876"/>
      <c r="AB32" s="876"/>
      <c r="AC32" s="876"/>
      <c r="AD32" s="876"/>
      <c r="AE32" s="876"/>
      <c r="AF32" s="876"/>
      <c r="AG32" s="876"/>
      <c r="AH32" s="876"/>
      <c r="AI32" s="876"/>
      <c r="AJ32" s="876"/>
      <c r="AK32" s="876"/>
      <c r="AL32" s="876"/>
      <c r="AM32" s="876"/>
      <c r="AN32" s="876"/>
      <c r="AO32" s="876"/>
      <c r="AP32" s="876"/>
      <c r="AQ32" s="876"/>
      <c r="AR32" s="876"/>
      <c r="AS32" s="876"/>
      <c r="AT32" s="876"/>
      <c r="AU32" s="876"/>
      <c r="AV32" s="876"/>
      <c r="AW32" s="876"/>
      <c r="AX32" s="876"/>
      <c r="AY32" s="876"/>
      <c r="AZ32" s="876"/>
      <c r="BA32" s="876"/>
      <c r="BB32" s="876"/>
      <c r="BC32" s="876"/>
      <c r="BD32" s="876"/>
      <c r="BE32" s="876"/>
      <c r="BF32" s="876"/>
      <c r="BG32" s="876"/>
      <c r="BH32" s="876"/>
      <c r="BI32" s="876"/>
      <c r="BJ32" s="876"/>
      <c r="BK32" s="876"/>
      <c r="BL32" s="876"/>
      <c r="BM32" s="876"/>
      <c r="BN32" s="876"/>
      <c r="BO32" s="876"/>
      <c r="BP32" s="876"/>
      <c r="BQ32" s="876"/>
      <c r="BR32" s="876"/>
      <c r="BS32" s="876"/>
      <c r="BT32" s="876"/>
      <c r="BU32" s="876"/>
    </row>
    <row r="33" spans="1:73">
      <c r="A33" s="876"/>
      <c r="B33" s="876"/>
      <c r="C33" s="876"/>
      <c r="D33" s="876"/>
      <c r="E33" s="876"/>
      <c r="F33" s="876"/>
      <c r="G33" s="876"/>
      <c r="H33" s="876"/>
      <c r="I33" s="876"/>
      <c r="J33" s="876"/>
      <c r="K33" s="876"/>
      <c r="L33" s="876"/>
      <c r="M33" s="876"/>
      <c r="N33" s="876"/>
      <c r="O33" s="876"/>
      <c r="P33" s="876"/>
      <c r="Q33" s="876"/>
      <c r="R33" s="876"/>
      <c r="S33" s="876"/>
      <c r="T33" s="876"/>
      <c r="U33" s="876"/>
      <c r="V33" s="1206">
        <f t="shared" si="3"/>
        <v>0.95000000000000029</v>
      </c>
      <c r="W33" s="1207">
        <f t="shared" ca="1" si="2"/>
        <v>1.0854191838078335</v>
      </c>
      <c r="X33" s="876"/>
      <c r="Y33" s="876"/>
      <c r="Z33" s="876"/>
      <c r="AA33" s="876"/>
      <c r="AB33" s="876"/>
      <c r="AC33" s="876"/>
      <c r="AD33" s="876"/>
      <c r="AE33" s="876"/>
      <c r="AF33" s="876"/>
      <c r="AG33" s="876"/>
      <c r="AH33" s="876"/>
      <c r="AI33" s="876"/>
      <c r="AJ33" s="876"/>
      <c r="AK33" s="876"/>
      <c r="AL33" s="876"/>
      <c r="AM33" s="876"/>
      <c r="AN33" s="876"/>
      <c r="AO33" s="876"/>
      <c r="AP33" s="876"/>
      <c r="AQ33" s="876"/>
      <c r="AR33" s="876"/>
      <c r="AS33" s="876"/>
      <c r="AT33" s="876"/>
      <c r="AU33" s="876"/>
      <c r="AV33" s="876"/>
      <c r="AW33" s="876"/>
      <c r="AX33" s="876"/>
      <c r="AY33" s="876"/>
      <c r="AZ33" s="876"/>
      <c r="BA33" s="876"/>
      <c r="BB33" s="876"/>
      <c r="BC33" s="876"/>
      <c r="BD33" s="876"/>
      <c r="BE33" s="876"/>
      <c r="BF33" s="876"/>
      <c r="BG33" s="876"/>
      <c r="BH33" s="876"/>
      <c r="BI33" s="876"/>
      <c r="BJ33" s="876"/>
      <c r="BK33" s="876"/>
      <c r="BL33" s="876"/>
      <c r="BM33" s="876"/>
      <c r="BN33" s="876"/>
      <c r="BO33" s="876"/>
      <c r="BP33" s="876"/>
      <c r="BQ33" s="876"/>
      <c r="BR33" s="876"/>
      <c r="BS33" s="876"/>
      <c r="BT33" s="876"/>
      <c r="BU33" s="876"/>
    </row>
    <row r="34" spans="1:73">
      <c r="A34" s="876"/>
      <c r="B34" s="876"/>
      <c r="C34" s="876"/>
      <c r="D34" s="876"/>
      <c r="E34" s="876"/>
      <c r="F34" s="876"/>
      <c r="G34" s="876"/>
      <c r="H34" s="876"/>
      <c r="I34" s="876"/>
      <c r="J34" s="876"/>
      <c r="K34" s="876"/>
      <c r="L34" s="876"/>
      <c r="M34" s="876"/>
      <c r="N34" s="876"/>
      <c r="O34" s="876"/>
      <c r="P34" s="876"/>
      <c r="Q34" s="876"/>
      <c r="R34" s="876"/>
      <c r="S34" s="876"/>
      <c r="T34" s="876"/>
      <c r="U34" s="876"/>
      <c r="V34" s="881">
        <v>1</v>
      </c>
      <c r="W34" s="890">
        <f ca="1">+MAX(OFFSET($B$251:$B$2250,0,$C$194))*$C$198</f>
        <v>1.0958760867431463</v>
      </c>
      <c r="X34" s="876"/>
      <c r="Y34" s="876"/>
      <c r="Z34" s="876"/>
      <c r="AA34" s="876"/>
      <c r="AB34" s="876"/>
      <c r="AC34" s="876"/>
      <c r="AD34" s="876"/>
      <c r="AE34" s="876"/>
      <c r="AF34" s="876"/>
      <c r="AG34" s="876"/>
      <c r="AH34" s="876"/>
      <c r="AI34" s="876"/>
      <c r="AJ34" s="876"/>
      <c r="AK34" s="876"/>
      <c r="AL34" s="876"/>
      <c r="AM34" s="876"/>
      <c r="AN34" s="876"/>
      <c r="AO34" s="876"/>
      <c r="AP34" s="876"/>
      <c r="AQ34" s="876"/>
      <c r="AR34" s="876"/>
      <c r="AS34" s="876"/>
      <c r="AT34" s="876"/>
      <c r="AU34" s="876"/>
      <c r="AV34" s="876"/>
      <c r="AW34" s="876"/>
      <c r="AX34" s="876"/>
      <c r="AY34" s="876"/>
      <c r="AZ34" s="876"/>
      <c r="BA34" s="876"/>
      <c r="BB34" s="876"/>
      <c r="BC34" s="876"/>
      <c r="BD34" s="876"/>
      <c r="BE34" s="876"/>
      <c r="BF34" s="876"/>
      <c r="BG34" s="876"/>
      <c r="BH34" s="876"/>
      <c r="BI34" s="876"/>
      <c r="BJ34" s="876"/>
      <c r="BK34" s="876"/>
      <c r="BL34" s="876"/>
      <c r="BM34" s="876"/>
      <c r="BN34" s="876"/>
      <c r="BO34" s="876"/>
      <c r="BP34" s="876"/>
      <c r="BQ34" s="876"/>
      <c r="BR34" s="876"/>
      <c r="BS34" s="876"/>
      <c r="BT34" s="876"/>
      <c r="BU34" s="876"/>
    </row>
    <row r="35" spans="1:73" ht="14">
      <c r="A35" s="876"/>
      <c r="B35" s="876"/>
      <c r="C35" s="876"/>
      <c r="D35" s="876"/>
      <c r="E35" s="876"/>
      <c r="F35" s="876"/>
      <c r="G35" s="876"/>
      <c r="H35" s="876"/>
      <c r="I35" s="876"/>
      <c r="J35" s="876"/>
      <c r="K35" s="876"/>
      <c r="L35" s="876"/>
      <c r="M35" s="1005"/>
      <c r="N35" s="876"/>
      <c r="O35" s="876"/>
      <c r="P35" s="876"/>
      <c r="Q35" s="876"/>
      <c r="R35" s="876"/>
      <c r="S35" s="876"/>
      <c r="T35" s="876"/>
      <c r="U35" s="876"/>
      <c r="V35" s="876"/>
      <c r="W35" s="876"/>
      <c r="X35" s="876"/>
      <c r="Y35" s="876"/>
      <c r="Z35" s="876"/>
      <c r="AA35" s="876"/>
      <c r="AB35" s="876"/>
      <c r="AC35" s="876"/>
      <c r="AD35" s="876"/>
      <c r="AE35" s="876"/>
      <c r="AF35" s="876"/>
      <c r="AG35" s="876"/>
      <c r="AH35" s="876"/>
      <c r="AI35" s="876"/>
      <c r="AJ35" s="876"/>
      <c r="AK35" s="876"/>
      <c r="AL35" s="876"/>
      <c r="AM35" s="876"/>
      <c r="AN35" s="876"/>
      <c r="AO35" s="876"/>
      <c r="AP35" s="876"/>
      <c r="AQ35" s="876"/>
      <c r="AR35" s="876"/>
      <c r="AS35" s="876"/>
      <c r="AT35" s="876"/>
      <c r="AU35" s="876"/>
      <c r="AV35" s="876"/>
      <c r="AW35" s="876"/>
      <c r="AX35" s="876"/>
      <c r="AY35" s="876"/>
      <c r="AZ35" s="876"/>
      <c r="BA35" s="876"/>
      <c r="BB35" s="876"/>
      <c r="BC35" s="876"/>
      <c r="BD35" s="876"/>
      <c r="BE35" s="876"/>
      <c r="BF35" s="876"/>
      <c r="BG35" s="876"/>
      <c r="BH35" s="876"/>
      <c r="BI35" s="876"/>
      <c r="BJ35" s="876"/>
      <c r="BK35" s="876"/>
      <c r="BL35" s="876"/>
      <c r="BM35" s="876"/>
      <c r="BN35" s="876"/>
      <c r="BO35" s="876"/>
      <c r="BP35" s="876"/>
      <c r="BQ35" s="876"/>
      <c r="BR35" s="876"/>
      <c r="BS35" s="876"/>
      <c r="BT35" s="876"/>
      <c r="BU35" s="876"/>
    </row>
    <row r="36" spans="1:73">
      <c r="A36" s="876"/>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876"/>
      <c r="AF36" s="876"/>
      <c r="AG36" s="876"/>
      <c r="AH36" s="876"/>
      <c r="AI36" s="876"/>
      <c r="AJ36" s="876"/>
      <c r="AK36" s="876"/>
      <c r="AL36" s="876"/>
      <c r="AM36" s="876"/>
      <c r="AN36" s="876"/>
      <c r="AO36" s="876"/>
      <c r="AP36" s="876"/>
      <c r="AQ36" s="876"/>
      <c r="AR36" s="876"/>
      <c r="AS36" s="876"/>
      <c r="AT36" s="876"/>
      <c r="AU36" s="876"/>
      <c r="AV36" s="876"/>
      <c r="AW36" s="876"/>
      <c r="AX36" s="876"/>
      <c r="AY36" s="876"/>
      <c r="AZ36" s="876"/>
      <c r="BA36" s="876"/>
      <c r="BB36" s="876"/>
      <c r="BC36" s="876"/>
      <c r="BD36" s="876"/>
      <c r="BE36" s="876"/>
      <c r="BF36" s="876"/>
      <c r="BG36" s="876"/>
      <c r="BH36" s="876"/>
      <c r="BI36" s="876"/>
      <c r="BJ36" s="876"/>
      <c r="BK36" s="876"/>
      <c r="BL36" s="876"/>
      <c r="BM36" s="876"/>
      <c r="BN36" s="876"/>
      <c r="BO36" s="876"/>
      <c r="BP36" s="876"/>
      <c r="BQ36" s="876"/>
      <c r="BR36" s="876"/>
      <c r="BS36" s="876"/>
      <c r="BT36" s="876"/>
      <c r="BU36" s="876"/>
    </row>
    <row r="37" spans="1:73">
      <c r="A37" s="876"/>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876"/>
      <c r="AF37" s="876"/>
      <c r="AG37" s="876"/>
      <c r="AH37" s="876"/>
      <c r="AI37" s="876"/>
      <c r="AJ37" s="876"/>
      <c r="AK37" s="876"/>
      <c r="AL37" s="876"/>
      <c r="AM37" s="876"/>
      <c r="AN37" s="876"/>
      <c r="AO37" s="876"/>
      <c r="AP37" s="876"/>
      <c r="AQ37" s="876"/>
      <c r="AR37" s="876"/>
      <c r="AS37" s="876"/>
      <c r="AT37" s="876"/>
      <c r="AU37" s="876"/>
      <c r="AV37" s="876"/>
      <c r="AW37" s="876"/>
      <c r="AX37" s="876"/>
      <c r="AY37" s="876"/>
      <c r="AZ37" s="876"/>
      <c r="BA37" s="876"/>
      <c r="BB37" s="876"/>
      <c r="BC37" s="876"/>
      <c r="BD37" s="876"/>
      <c r="BE37" s="876"/>
      <c r="BF37" s="876"/>
      <c r="BG37" s="876"/>
      <c r="BH37" s="876"/>
      <c r="BI37" s="876"/>
      <c r="BJ37" s="876"/>
      <c r="BK37" s="876"/>
      <c r="BL37" s="876"/>
      <c r="BM37" s="876"/>
      <c r="BN37" s="876"/>
      <c r="BO37" s="876"/>
      <c r="BP37" s="876"/>
      <c r="BQ37" s="876"/>
      <c r="BR37" s="876"/>
      <c r="BS37" s="876"/>
      <c r="BT37" s="876"/>
      <c r="BU37" s="876"/>
    </row>
    <row r="38" spans="1:73">
      <c r="A38" s="876"/>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876"/>
      <c r="AF38" s="876"/>
      <c r="AG38" s="876"/>
      <c r="AH38" s="876"/>
      <c r="AI38" s="876"/>
      <c r="AJ38" s="876"/>
      <c r="AK38" s="876"/>
      <c r="AL38" s="876"/>
      <c r="AM38" s="876"/>
      <c r="AN38" s="876"/>
      <c r="AO38" s="876"/>
      <c r="AP38" s="876"/>
      <c r="AQ38" s="876"/>
      <c r="AR38" s="876"/>
      <c r="AS38" s="876"/>
      <c r="AT38" s="876"/>
      <c r="AU38" s="876"/>
      <c r="AV38" s="876"/>
      <c r="AW38" s="876"/>
      <c r="AX38" s="876"/>
      <c r="AY38" s="876"/>
      <c r="AZ38" s="876"/>
      <c r="BA38" s="876"/>
      <c r="BB38" s="876"/>
      <c r="BC38" s="876"/>
      <c r="BD38" s="876"/>
      <c r="BE38" s="876"/>
      <c r="BF38" s="876"/>
      <c r="BG38" s="876"/>
      <c r="BH38" s="876"/>
      <c r="BI38" s="876"/>
      <c r="BJ38" s="876"/>
      <c r="BK38" s="876"/>
      <c r="BL38" s="876"/>
      <c r="BM38" s="876"/>
      <c r="BN38" s="876"/>
      <c r="BO38" s="876"/>
      <c r="BP38" s="876"/>
      <c r="BQ38" s="876"/>
      <c r="BR38" s="876"/>
      <c r="BS38" s="876"/>
      <c r="BT38" s="876"/>
      <c r="BU38" s="876"/>
    </row>
    <row r="39" spans="1:73">
      <c r="A39" s="876"/>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876"/>
      <c r="AF39" s="876"/>
      <c r="AG39" s="876"/>
      <c r="AH39" s="876"/>
      <c r="AI39" s="876"/>
      <c r="AJ39" s="876"/>
      <c r="AK39" s="876"/>
      <c r="AL39" s="876"/>
      <c r="AM39" s="876"/>
      <c r="AN39" s="876"/>
      <c r="AO39" s="876"/>
      <c r="AP39" s="876"/>
      <c r="AQ39" s="876"/>
      <c r="AR39" s="876"/>
      <c r="AS39" s="876"/>
      <c r="AT39" s="876"/>
      <c r="AU39" s="876"/>
      <c r="AV39" s="876"/>
      <c r="AW39" s="876"/>
      <c r="AX39" s="876"/>
      <c r="AY39" s="876"/>
      <c r="AZ39" s="876"/>
      <c r="BA39" s="876"/>
      <c r="BB39" s="876"/>
      <c r="BC39" s="876"/>
      <c r="BD39" s="876"/>
      <c r="BE39" s="876"/>
      <c r="BF39" s="876"/>
      <c r="BG39" s="876"/>
      <c r="BH39" s="876"/>
      <c r="BI39" s="876"/>
      <c r="BJ39" s="876"/>
      <c r="BK39" s="876"/>
      <c r="BL39" s="876"/>
      <c r="BM39" s="876"/>
      <c r="BN39" s="876"/>
      <c r="BO39" s="876"/>
      <c r="BP39" s="876"/>
      <c r="BQ39" s="876"/>
      <c r="BR39" s="876"/>
      <c r="BS39" s="876"/>
      <c r="BT39" s="876"/>
      <c r="BU39" s="876"/>
    </row>
    <row r="40" spans="1:73">
      <c r="A40" s="876"/>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876"/>
      <c r="AF40" s="876"/>
      <c r="AG40" s="876"/>
      <c r="AH40" s="876"/>
      <c r="AI40" s="876"/>
      <c r="AJ40" s="876"/>
      <c r="AK40" s="876"/>
      <c r="AL40" s="876"/>
      <c r="AM40" s="876"/>
      <c r="AN40" s="876"/>
      <c r="AO40" s="876"/>
      <c r="AP40" s="876"/>
      <c r="AQ40" s="876"/>
      <c r="AR40" s="876"/>
      <c r="AS40" s="876"/>
      <c r="AT40" s="876"/>
      <c r="AU40" s="876"/>
      <c r="AV40" s="876"/>
      <c r="AW40" s="876"/>
      <c r="AX40" s="876"/>
      <c r="AY40" s="876"/>
      <c r="AZ40" s="876"/>
      <c r="BA40" s="876"/>
      <c r="BB40" s="876"/>
      <c r="BC40" s="876"/>
      <c r="BD40" s="876"/>
      <c r="BE40" s="876"/>
      <c r="BF40" s="876"/>
      <c r="BG40" s="876"/>
      <c r="BH40" s="876"/>
      <c r="BI40" s="876"/>
      <c r="BJ40" s="876"/>
      <c r="BK40" s="876"/>
      <c r="BL40" s="876"/>
      <c r="BM40" s="876"/>
      <c r="BN40" s="876"/>
      <c r="BO40" s="876"/>
      <c r="BP40" s="876"/>
      <c r="BQ40" s="876"/>
      <c r="BR40" s="876"/>
      <c r="BS40" s="876"/>
      <c r="BT40" s="876"/>
      <c r="BU40" s="876"/>
    </row>
    <row r="41" spans="1:73">
      <c r="A41" s="876"/>
      <c r="B41" s="876"/>
      <c r="C41" s="876"/>
      <c r="D41" s="876"/>
      <c r="E41" s="876"/>
      <c r="F41" s="876"/>
      <c r="G41" s="876"/>
      <c r="H41" s="876"/>
      <c r="I41" s="876"/>
      <c r="J41" s="876"/>
      <c r="K41" s="876"/>
      <c r="L41" s="876"/>
      <c r="M41" s="876"/>
      <c r="N41" s="876"/>
      <c r="O41" s="876"/>
      <c r="P41" s="876"/>
      <c r="Q41" s="876"/>
      <c r="R41" s="876"/>
      <c r="S41" s="876"/>
      <c r="T41" s="876"/>
      <c r="U41" s="876"/>
      <c r="V41" s="876"/>
      <c r="W41" s="876"/>
      <c r="X41" s="876"/>
      <c r="Y41" s="876"/>
      <c r="Z41" s="876"/>
      <c r="AA41" s="876"/>
      <c r="AB41" s="876"/>
      <c r="AC41" s="876"/>
      <c r="AD41" s="876"/>
      <c r="AE41" s="876"/>
      <c r="AF41" s="876"/>
      <c r="AG41" s="876"/>
      <c r="AH41" s="876"/>
      <c r="AI41" s="876"/>
      <c r="AJ41" s="876"/>
      <c r="AK41" s="876"/>
      <c r="AL41" s="876"/>
      <c r="AM41" s="876"/>
      <c r="AN41" s="876"/>
      <c r="AO41" s="876"/>
      <c r="AP41" s="876"/>
      <c r="AQ41" s="876"/>
      <c r="AR41" s="876"/>
      <c r="AS41" s="876"/>
      <c r="AT41" s="876"/>
      <c r="AU41" s="876"/>
      <c r="AV41" s="876"/>
      <c r="AW41" s="876"/>
      <c r="AX41" s="876"/>
      <c r="AY41" s="876"/>
      <c r="AZ41" s="876"/>
      <c r="BA41" s="876"/>
      <c r="BB41" s="876"/>
      <c r="BC41" s="876"/>
      <c r="BD41" s="876"/>
      <c r="BE41" s="876"/>
      <c r="BF41" s="876"/>
      <c r="BG41" s="876"/>
      <c r="BH41" s="876"/>
      <c r="BI41" s="876"/>
      <c r="BJ41" s="876"/>
      <c r="BK41" s="876"/>
      <c r="BL41" s="876"/>
      <c r="BM41" s="876"/>
      <c r="BN41" s="876"/>
      <c r="BO41" s="876"/>
      <c r="BP41" s="876"/>
      <c r="BQ41" s="876"/>
      <c r="BR41" s="876"/>
      <c r="BS41" s="876"/>
      <c r="BT41" s="876"/>
      <c r="BU41" s="876"/>
    </row>
    <row r="42" spans="1:73">
      <c r="A42" s="876"/>
      <c r="B42" s="876"/>
      <c r="C42" s="876"/>
      <c r="D42" s="876"/>
      <c r="E42" s="876"/>
      <c r="F42" s="876"/>
      <c r="G42" s="876"/>
      <c r="H42" s="876"/>
      <c r="I42" s="876"/>
      <c r="J42" s="876"/>
      <c r="K42" s="876"/>
      <c r="L42" s="876"/>
      <c r="M42" s="876"/>
      <c r="N42" s="876"/>
      <c r="O42" s="876"/>
      <c r="P42" s="876"/>
      <c r="Q42" s="876"/>
      <c r="R42" s="876"/>
      <c r="S42" s="876"/>
      <c r="T42" s="876"/>
      <c r="U42" s="876"/>
      <c r="V42" s="876"/>
      <c r="W42" s="876"/>
      <c r="X42" s="876"/>
      <c r="Y42" s="876"/>
      <c r="Z42" s="876"/>
      <c r="AA42" s="876"/>
      <c r="AB42" s="876"/>
      <c r="AC42" s="876"/>
      <c r="AD42" s="876"/>
      <c r="AE42" s="876"/>
      <c r="AF42" s="876"/>
      <c r="AG42" s="876"/>
      <c r="AH42" s="876"/>
      <c r="AI42" s="876"/>
      <c r="AJ42" s="876"/>
      <c r="AK42" s="876"/>
      <c r="AL42" s="876"/>
      <c r="AM42" s="876"/>
      <c r="AN42" s="876"/>
      <c r="AO42" s="876"/>
      <c r="AP42" s="876"/>
      <c r="AQ42" s="876"/>
      <c r="AR42" s="876"/>
      <c r="AS42" s="876"/>
      <c r="AT42" s="876"/>
      <c r="AU42" s="876"/>
      <c r="AV42" s="876"/>
      <c r="AW42" s="876"/>
      <c r="AX42" s="876"/>
      <c r="AY42" s="876"/>
      <c r="AZ42" s="876"/>
      <c r="BA42" s="876"/>
      <c r="BB42" s="876"/>
      <c r="BC42" s="876"/>
      <c r="BD42" s="876"/>
      <c r="BE42" s="876"/>
      <c r="BF42" s="876"/>
      <c r="BG42" s="876"/>
      <c r="BH42" s="876"/>
      <c r="BI42" s="876"/>
      <c r="BJ42" s="876"/>
      <c r="BK42" s="876"/>
      <c r="BL42" s="876"/>
      <c r="BM42" s="876"/>
      <c r="BN42" s="876"/>
      <c r="BO42" s="876"/>
      <c r="BP42" s="876"/>
      <c r="BQ42" s="876"/>
      <c r="BR42" s="876"/>
      <c r="BS42" s="876"/>
      <c r="BT42" s="876"/>
      <c r="BU42" s="876"/>
    </row>
    <row r="43" spans="1:73">
      <c r="A43" s="876"/>
      <c r="B43" s="876"/>
      <c r="C43" s="876"/>
      <c r="D43" s="876"/>
      <c r="E43" s="876"/>
      <c r="F43" s="876"/>
      <c r="G43" s="876"/>
      <c r="H43" s="876"/>
      <c r="I43" s="876"/>
      <c r="J43" s="876"/>
      <c r="K43" s="876"/>
      <c r="L43" s="876"/>
      <c r="M43" s="876"/>
      <c r="N43" s="876"/>
      <c r="O43" s="876"/>
      <c r="P43" s="876"/>
      <c r="Q43" s="876"/>
      <c r="R43" s="876"/>
      <c r="S43" s="876"/>
      <c r="T43" s="876"/>
      <c r="U43" s="876"/>
      <c r="V43" s="876"/>
      <c r="W43" s="876"/>
      <c r="X43" s="876"/>
      <c r="Y43" s="876"/>
      <c r="Z43" s="876"/>
      <c r="AA43" s="876"/>
      <c r="AB43" s="876"/>
      <c r="AC43" s="876"/>
      <c r="AD43" s="876"/>
      <c r="AE43" s="876"/>
      <c r="AF43" s="876"/>
      <c r="AG43" s="876"/>
      <c r="AH43" s="876"/>
      <c r="AI43" s="876"/>
      <c r="AJ43" s="876"/>
      <c r="AK43" s="876"/>
      <c r="AL43" s="876"/>
      <c r="AM43" s="876"/>
      <c r="AN43" s="876"/>
      <c r="AO43" s="876"/>
      <c r="AP43" s="876"/>
      <c r="AQ43" s="876"/>
      <c r="AR43" s="876"/>
      <c r="AS43" s="876"/>
      <c r="AT43" s="876"/>
      <c r="AU43" s="876"/>
      <c r="AV43" s="876"/>
      <c r="AW43" s="876"/>
      <c r="AX43" s="876"/>
      <c r="AY43" s="876"/>
      <c r="AZ43" s="876"/>
      <c r="BA43" s="876"/>
      <c r="BB43" s="876"/>
      <c r="BC43" s="876"/>
      <c r="BD43" s="876"/>
      <c r="BE43" s="876"/>
      <c r="BF43" s="876"/>
      <c r="BG43" s="876"/>
      <c r="BH43" s="876"/>
      <c r="BI43" s="876"/>
      <c r="BJ43" s="876"/>
      <c r="BK43" s="876"/>
      <c r="BL43" s="876"/>
      <c r="BM43" s="876"/>
      <c r="BN43" s="876"/>
      <c r="BO43" s="876"/>
      <c r="BP43" s="876"/>
      <c r="BQ43" s="876"/>
      <c r="BR43" s="876"/>
      <c r="BS43" s="876"/>
      <c r="BT43" s="876"/>
      <c r="BU43" s="876"/>
    </row>
    <row r="44" spans="1:73">
      <c r="A44" s="876"/>
      <c r="B44" s="876"/>
      <c r="C44" s="876"/>
      <c r="D44" s="876"/>
      <c r="E44" s="876"/>
      <c r="F44" s="876"/>
      <c r="G44" s="876"/>
      <c r="H44" s="876"/>
      <c r="I44" s="876"/>
      <c r="J44" s="876"/>
      <c r="K44" s="876"/>
      <c r="L44" s="876"/>
      <c r="M44" s="876"/>
      <c r="N44" s="876"/>
      <c r="O44" s="876"/>
      <c r="P44" s="876"/>
      <c r="Q44" s="876"/>
      <c r="R44" s="876"/>
      <c r="S44" s="876"/>
      <c r="T44" s="876"/>
      <c r="U44" s="876"/>
      <c r="V44" s="876"/>
      <c r="W44" s="876"/>
      <c r="X44" s="876"/>
      <c r="Y44" s="876"/>
      <c r="Z44" s="876"/>
      <c r="AA44" s="876"/>
      <c r="AB44" s="876"/>
      <c r="AC44" s="876"/>
      <c r="AD44" s="876"/>
      <c r="AE44" s="876"/>
      <c r="AF44" s="876"/>
      <c r="AG44" s="876"/>
      <c r="AH44" s="876"/>
      <c r="AI44" s="876"/>
      <c r="AJ44" s="876"/>
      <c r="AK44" s="876"/>
      <c r="AL44" s="876"/>
      <c r="AM44" s="876"/>
      <c r="AN44" s="876"/>
      <c r="AO44" s="876"/>
      <c r="AP44" s="876"/>
      <c r="AQ44" s="876"/>
      <c r="AR44" s="876"/>
      <c r="AS44" s="876"/>
      <c r="AT44" s="876"/>
      <c r="AU44" s="876"/>
      <c r="AV44" s="876"/>
      <c r="AW44" s="876"/>
      <c r="AX44" s="876"/>
      <c r="AY44" s="876"/>
      <c r="AZ44" s="876"/>
      <c r="BA44" s="876"/>
      <c r="BB44" s="876"/>
      <c r="BC44" s="876"/>
      <c r="BD44" s="876"/>
      <c r="BE44" s="876"/>
      <c r="BF44" s="876"/>
      <c r="BG44" s="876"/>
      <c r="BH44" s="876"/>
      <c r="BI44" s="876"/>
      <c r="BJ44" s="876"/>
      <c r="BK44" s="876"/>
      <c r="BL44" s="876"/>
      <c r="BM44" s="876"/>
      <c r="BN44" s="876"/>
      <c r="BO44" s="876"/>
      <c r="BP44" s="876"/>
      <c r="BQ44" s="876"/>
      <c r="BR44" s="876"/>
      <c r="BS44" s="876"/>
      <c r="BT44" s="876"/>
      <c r="BU44" s="876"/>
    </row>
    <row r="45" spans="1:73" ht="14" thickBot="1">
      <c r="A45" s="876"/>
      <c r="B45" s="971" t="s">
        <v>1315</v>
      </c>
      <c r="C45" s="971"/>
      <c r="D45" s="971"/>
      <c r="E45" s="971"/>
      <c r="F45" s="971"/>
      <c r="G45" s="971"/>
      <c r="H45" s="971"/>
      <c r="I45" s="971"/>
      <c r="J45" s="971"/>
      <c r="K45" s="971"/>
      <c r="L45" s="971"/>
      <c r="M45" s="971"/>
      <c r="N45" s="971"/>
      <c r="O45" s="971"/>
      <c r="P45" s="971"/>
      <c r="Q45" s="971"/>
      <c r="R45" s="971"/>
      <c r="S45" s="971"/>
      <c r="T45" s="971"/>
      <c r="U45" s="971"/>
      <c r="V45" s="971"/>
      <c r="W45" s="971"/>
      <c r="X45" s="971"/>
      <c r="Y45" s="876"/>
      <c r="Z45" s="876"/>
      <c r="AA45" s="876"/>
      <c r="AB45" s="876"/>
      <c r="AC45" s="876"/>
      <c r="AD45" s="876"/>
      <c r="AE45" s="876"/>
      <c r="AF45" s="876"/>
      <c r="AG45" s="876"/>
      <c r="AH45" s="876"/>
      <c r="AI45" s="876"/>
      <c r="AJ45" s="876"/>
      <c r="AK45" s="876"/>
      <c r="AL45" s="876"/>
      <c r="AM45" s="876"/>
      <c r="AN45" s="876"/>
      <c r="AO45" s="876"/>
      <c r="AP45" s="876"/>
      <c r="AQ45" s="876"/>
      <c r="AR45" s="876"/>
      <c r="AS45" s="876"/>
      <c r="AT45" s="876"/>
      <c r="AU45" s="876"/>
      <c r="AV45" s="876"/>
      <c r="AW45" s="876"/>
      <c r="AX45" s="876"/>
      <c r="AY45" s="876"/>
      <c r="AZ45" s="876"/>
      <c r="BA45" s="876"/>
      <c r="BB45" s="876"/>
      <c r="BC45" s="876"/>
      <c r="BD45" s="876"/>
      <c r="BE45" s="876"/>
      <c r="BF45" s="876"/>
      <c r="BG45" s="876"/>
      <c r="BH45" s="876"/>
      <c r="BI45" s="876"/>
      <c r="BJ45" s="876"/>
      <c r="BK45" s="876"/>
      <c r="BL45" s="876"/>
      <c r="BM45" s="876"/>
      <c r="BN45" s="876"/>
      <c r="BO45" s="876"/>
      <c r="BP45" s="876"/>
      <c r="BQ45" s="876"/>
      <c r="BR45" s="876"/>
      <c r="BS45" s="876"/>
      <c r="BT45" s="876"/>
      <c r="BU45" s="876"/>
    </row>
    <row r="46" spans="1:73" ht="14" thickTop="1">
      <c r="A46" s="876"/>
      <c r="B46" s="876"/>
      <c r="C46" s="876"/>
      <c r="D46" s="876"/>
      <c r="E46" s="876"/>
      <c r="F46" s="876"/>
      <c r="G46" s="876"/>
      <c r="H46" s="876"/>
      <c r="I46" s="876"/>
      <c r="J46" s="876"/>
      <c r="K46" s="876"/>
      <c r="L46" s="876"/>
      <c r="M46" s="876"/>
      <c r="N46" s="876"/>
      <c r="O46" s="876"/>
      <c r="P46" s="876"/>
      <c r="Q46" s="876"/>
      <c r="R46" s="876"/>
      <c r="S46" s="876"/>
      <c r="T46" s="876"/>
      <c r="U46" s="876"/>
      <c r="V46" s="876"/>
      <c r="W46" s="876"/>
      <c r="X46" s="876"/>
      <c r="Y46" s="876"/>
      <c r="Z46" s="876"/>
      <c r="AA46" s="876"/>
      <c r="AB46" s="876"/>
      <c r="AC46" s="876"/>
      <c r="AD46" s="876"/>
      <c r="AE46" s="876"/>
      <c r="AF46" s="876"/>
      <c r="AG46" s="876"/>
      <c r="AH46" s="876"/>
      <c r="AI46" s="876"/>
      <c r="AJ46" s="876"/>
      <c r="AK46" s="876"/>
      <c r="AL46" s="876"/>
      <c r="AM46" s="876"/>
      <c r="AN46" s="876"/>
      <c r="AO46" s="876"/>
      <c r="AP46" s="876"/>
      <c r="AQ46" s="876"/>
      <c r="AR46" s="876"/>
      <c r="AS46" s="876"/>
      <c r="AT46" s="876"/>
      <c r="AU46" s="876"/>
      <c r="AV46" s="876"/>
      <c r="AW46" s="876"/>
      <c r="AX46" s="876"/>
      <c r="AY46" s="876"/>
      <c r="AZ46" s="876"/>
      <c r="BA46" s="876"/>
      <c r="BB46" s="876"/>
      <c r="BC46" s="876"/>
      <c r="BD46" s="876"/>
      <c r="BE46" s="876"/>
      <c r="BF46" s="876"/>
      <c r="BG46" s="876"/>
      <c r="BH46" s="876"/>
      <c r="BI46" s="876"/>
      <c r="BJ46" s="876"/>
      <c r="BK46" s="876"/>
      <c r="BL46" s="876"/>
      <c r="BM46" s="876"/>
      <c r="BN46" s="876"/>
      <c r="BO46" s="876"/>
      <c r="BP46" s="876"/>
      <c r="BQ46" s="876"/>
      <c r="BR46" s="876"/>
      <c r="BS46" s="876"/>
      <c r="BT46" s="876"/>
      <c r="BU46" s="876"/>
    </row>
    <row r="47" spans="1:73">
      <c r="A47" s="876"/>
      <c r="B47" s="877" t="s">
        <v>1149</v>
      </c>
      <c r="C47" s="876"/>
      <c r="D47" s="876"/>
      <c r="E47" s="876"/>
      <c r="F47" s="876"/>
      <c r="G47" s="876"/>
      <c r="H47" s="876"/>
      <c r="I47" s="876"/>
      <c r="J47" s="876"/>
      <c r="K47" s="876"/>
      <c r="L47" s="876"/>
      <c r="M47" s="876"/>
      <c r="N47" s="876"/>
      <c r="O47" s="876"/>
      <c r="P47" s="876"/>
      <c r="Q47" s="876"/>
      <c r="R47" s="876"/>
      <c r="S47" s="876"/>
      <c r="T47" s="876"/>
      <c r="U47" s="876"/>
      <c r="V47" s="876"/>
      <c r="W47" s="876"/>
      <c r="X47" s="876"/>
      <c r="Y47" s="876"/>
      <c r="Z47" s="876"/>
      <c r="AA47" s="876"/>
      <c r="AB47" s="876"/>
      <c r="AC47" s="876"/>
      <c r="AD47" s="876"/>
      <c r="AE47" s="876"/>
      <c r="AF47" s="876"/>
      <c r="AG47" s="876"/>
      <c r="AH47" s="876"/>
      <c r="AI47" s="876"/>
      <c r="AJ47" s="876"/>
      <c r="AK47" s="876"/>
      <c r="AL47" s="876"/>
      <c r="AM47" s="876"/>
      <c r="AN47" s="876"/>
      <c r="AO47" s="876"/>
      <c r="AP47" s="876"/>
      <c r="AQ47" s="876"/>
      <c r="AR47" s="876"/>
      <c r="AS47" s="876"/>
      <c r="AT47" s="876"/>
      <c r="AU47" s="876"/>
      <c r="AV47" s="876"/>
      <c r="AW47" s="876"/>
      <c r="AX47" s="876"/>
      <c r="AY47" s="876"/>
      <c r="AZ47" s="876"/>
      <c r="BA47" s="876"/>
      <c r="BB47" s="876"/>
      <c r="BC47" s="876"/>
      <c r="BD47" s="876"/>
      <c r="BE47" s="876"/>
      <c r="BF47" s="876"/>
      <c r="BG47" s="876"/>
      <c r="BH47" s="876"/>
      <c r="BI47" s="876"/>
      <c r="BJ47" s="876"/>
      <c r="BK47" s="876"/>
      <c r="BL47" s="876"/>
      <c r="BM47" s="876"/>
      <c r="BN47" s="876"/>
      <c r="BO47" s="876"/>
      <c r="BP47" s="876"/>
      <c r="BQ47" s="876"/>
      <c r="BR47" s="876"/>
      <c r="BS47" s="876"/>
      <c r="BT47" s="876"/>
      <c r="BU47" s="876"/>
    </row>
    <row r="48" spans="1:73">
      <c r="A48" s="876"/>
      <c r="B48" s="879">
        <v>1</v>
      </c>
      <c r="C48" s="881">
        <f t="shared" ref="C48:I48" ca="1" si="4">+OFFSET(C50,$B$48,0)</f>
        <v>1</v>
      </c>
      <c r="D48" s="881">
        <f t="shared" ca="1" si="4"/>
        <v>1</v>
      </c>
      <c r="E48" s="881">
        <f t="shared" ca="1" si="4"/>
        <v>1</v>
      </c>
      <c r="F48" s="881">
        <f t="shared" ca="1" si="4"/>
        <v>1</v>
      </c>
      <c r="G48" s="881">
        <f t="shared" ca="1" si="4"/>
        <v>1</v>
      </c>
      <c r="H48" s="881">
        <f t="shared" ca="1" si="4"/>
        <v>1</v>
      </c>
      <c r="I48" s="881">
        <f t="shared" ca="1" si="4"/>
        <v>1</v>
      </c>
      <c r="J48" s="876"/>
      <c r="K48" s="892">
        <f ca="1">+'Cash Flow Analysis'!F118</f>
        <v>1.0830381496636319</v>
      </c>
      <c r="L48" s="892">
        <f ca="1">+'Cash Flow Analysis'!Q118</f>
        <v>0</v>
      </c>
      <c r="M48" s="892">
        <f ca="1">+'Cash Flow Analysis'!L118</f>
        <v>6.9008528456351935E-4</v>
      </c>
      <c r="N48" s="892">
        <f ca="1">+'Cash Flow Analysis'!H117</f>
        <v>6.8763896877743688E-2</v>
      </c>
      <c r="O48" s="892">
        <f ca="1">+'Cash Flow Analysis'!I117</f>
        <v>8.787539454611408E-3</v>
      </c>
      <c r="P48" s="892">
        <f ca="1">+'Cash Flow Analysis'!J117</f>
        <v>1.2775814631268211E-2</v>
      </c>
      <c r="Q48" s="892">
        <f ca="1">+'Cash Flow Analysis'!K117</f>
        <v>2.9542934018394833E-3</v>
      </c>
      <c r="R48" s="892">
        <f ca="1">+'Cash Flow Analysis'!M117</f>
        <v>6.784264297513133E-4</v>
      </c>
      <c r="S48" s="892">
        <f ca="1">+'Cash Flow Analysis'!N117</f>
        <v>8.5475901235362126E-2</v>
      </c>
      <c r="T48" s="892">
        <f ca="1">+'Cash Flow Analysis'!O117</f>
        <v>0.82426121735810753</v>
      </c>
      <c r="U48" s="892">
        <f ca="1">+'Cash Flow Analysis'!P117</f>
        <v>1.6910628865952383E-2</v>
      </c>
      <c r="V48" s="892">
        <f ca="1">+'Cash Flow Analysis'!R117</f>
        <v>1.0413134795616728E-2</v>
      </c>
      <c r="W48" s="892">
        <f ca="1">+'Cash Flow Analysis'!S117</f>
        <v>4.1103279604089063E-2</v>
      </c>
      <c r="X48" s="892">
        <f ca="1">+'Cash Flow Analysis'!X117</f>
        <v>9.7576491952823911E-3</v>
      </c>
      <c r="Y48" s="892">
        <f ca="1">+'Cash Flow Analysis'!Z117</f>
        <v>1.8464530985706127E-3</v>
      </c>
      <c r="Z48" s="876"/>
      <c r="AA48" s="876"/>
      <c r="AB48" s="876"/>
      <c r="AC48" s="876"/>
      <c r="AD48" s="876"/>
      <c r="AE48" s="876"/>
      <c r="AF48" s="876"/>
      <c r="AG48" s="876"/>
      <c r="AH48" s="876"/>
      <c r="AI48" s="876"/>
      <c r="AJ48" s="876"/>
      <c r="AK48" s="876"/>
      <c r="AL48" s="876"/>
      <c r="AM48" s="876"/>
      <c r="AN48" s="876"/>
      <c r="AO48" s="876"/>
      <c r="AP48" s="876"/>
      <c r="AQ48" s="876"/>
      <c r="AR48" s="876"/>
      <c r="AS48" s="876"/>
      <c r="AT48" s="876"/>
      <c r="AU48" s="876"/>
      <c r="AV48" s="876"/>
      <c r="AW48" s="876"/>
      <c r="AX48" s="876"/>
      <c r="AY48" s="876"/>
      <c r="AZ48" s="876"/>
      <c r="BA48" s="876"/>
      <c r="BB48" s="876"/>
      <c r="BC48" s="876"/>
      <c r="BD48" s="876"/>
      <c r="BE48" s="876"/>
      <c r="BF48" s="876"/>
      <c r="BG48" s="876"/>
      <c r="BH48" s="876"/>
      <c r="BI48" s="876"/>
      <c r="BJ48" s="876"/>
      <c r="BK48" s="876"/>
      <c r="BL48" s="876"/>
      <c r="BM48" s="876"/>
      <c r="BN48" s="876"/>
      <c r="BO48" s="876"/>
      <c r="BP48" s="876"/>
      <c r="BQ48" s="876"/>
      <c r="BR48" s="876"/>
      <c r="BS48" s="876"/>
      <c r="BT48" s="876"/>
      <c r="BU48" s="876"/>
    </row>
    <row r="49" spans="1:73">
      <c r="A49" s="876"/>
      <c r="B49" s="878"/>
      <c r="C49" s="878"/>
      <c r="D49" s="878"/>
      <c r="E49" s="878"/>
      <c r="F49" s="878"/>
      <c r="G49" s="878"/>
      <c r="H49" s="878"/>
      <c r="I49" s="878"/>
      <c r="J49" s="878"/>
      <c r="K49" s="878"/>
      <c r="L49" s="878"/>
      <c r="M49" s="878"/>
      <c r="N49" s="876"/>
      <c r="O49" s="876"/>
      <c r="P49" s="876"/>
      <c r="Q49" s="876"/>
      <c r="R49" s="876"/>
      <c r="S49" s="876"/>
      <c r="T49" s="876"/>
      <c r="U49" s="876"/>
      <c r="V49" s="876"/>
      <c r="W49" s="876"/>
      <c r="X49" s="876"/>
      <c r="Y49" s="876"/>
      <c r="Z49" s="876"/>
      <c r="AA49" s="876"/>
      <c r="AB49" s="876"/>
      <c r="AC49" s="876"/>
      <c r="AD49" s="876"/>
      <c r="AE49" s="876"/>
      <c r="AF49" s="876"/>
      <c r="AG49" s="876"/>
      <c r="AH49" s="876"/>
      <c r="AI49" s="876"/>
      <c r="AJ49" s="876"/>
      <c r="AK49" s="876"/>
      <c r="AL49" s="876"/>
      <c r="AM49" s="876"/>
      <c r="AN49" s="876"/>
      <c r="AO49" s="876"/>
      <c r="AP49" s="876"/>
      <c r="AQ49" s="876"/>
      <c r="AR49" s="876"/>
      <c r="AS49" s="876"/>
      <c r="AT49" s="876"/>
      <c r="AU49" s="876"/>
      <c r="AV49" s="876"/>
      <c r="AW49" s="876"/>
      <c r="AX49" s="876"/>
      <c r="AY49" s="876"/>
      <c r="AZ49" s="876"/>
      <c r="BA49" s="876"/>
      <c r="BB49" s="876"/>
      <c r="BC49" s="876"/>
      <c r="BD49" s="876"/>
      <c r="BE49" s="876"/>
      <c r="BF49" s="876"/>
      <c r="BG49" s="876"/>
      <c r="BH49" s="876"/>
      <c r="BI49" s="876"/>
      <c r="BJ49" s="876"/>
      <c r="BK49" s="876"/>
      <c r="BL49" s="876"/>
      <c r="BM49" s="876"/>
      <c r="BN49" s="876"/>
      <c r="BO49" s="876"/>
      <c r="BP49" s="876"/>
      <c r="BQ49" s="876"/>
      <c r="BR49" s="876"/>
      <c r="BS49" s="876"/>
      <c r="BT49" s="876"/>
      <c r="BU49" s="876"/>
    </row>
    <row r="50" spans="1:73" ht="56">
      <c r="A50" s="876"/>
      <c r="B50" s="887" t="s">
        <v>1133</v>
      </c>
      <c r="C50" s="887" t="s">
        <v>1316</v>
      </c>
      <c r="D50" s="887" t="s">
        <v>1317</v>
      </c>
      <c r="E50" s="887" t="s">
        <v>1318</v>
      </c>
      <c r="F50" s="887" t="s">
        <v>1319</v>
      </c>
      <c r="G50" s="887" t="s">
        <v>1320</v>
      </c>
      <c r="H50" s="887" t="s">
        <v>1336</v>
      </c>
      <c r="I50" s="887" t="s">
        <v>1335</v>
      </c>
      <c r="J50" s="876"/>
      <c r="K50" s="887" t="s">
        <v>1337</v>
      </c>
      <c r="L50" s="887" t="s">
        <v>1321</v>
      </c>
      <c r="M50" s="887" t="s">
        <v>1322</v>
      </c>
      <c r="N50" s="887" t="s">
        <v>1323</v>
      </c>
      <c r="O50" s="887" t="s">
        <v>1324</v>
      </c>
      <c r="P50" s="887" t="s">
        <v>1325</v>
      </c>
      <c r="Q50" s="887" t="s">
        <v>1326</v>
      </c>
      <c r="R50" s="887" t="s">
        <v>1327</v>
      </c>
      <c r="S50" s="887" t="s">
        <v>1328</v>
      </c>
      <c r="T50" s="887" t="s">
        <v>1329</v>
      </c>
      <c r="U50" s="887" t="s">
        <v>1330</v>
      </c>
      <c r="V50" s="887" t="s">
        <v>1331</v>
      </c>
      <c r="W50" s="887" t="s">
        <v>1332</v>
      </c>
      <c r="X50" s="887" t="s">
        <v>1333</v>
      </c>
      <c r="Y50" s="887" t="s">
        <v>1334</v>
      </c>
      <c r="Z50" s="876"/>
      <c r="AA50" s="876"/>
      <c r="AB50" s="876"/>
      <c r="AC50" s="876"/>
      <c r="AD50" s="876"/>
      <c r="AE50" s="876"/>
      <c r="AF50" s="876"/>
      <c r="AG50" s="876"/>
      <c r="AH50" s="876"/>
      <c r="AI50" s="876"/>
      <c r="AJ50" s="876"/>
      <c r="AK50" s="876"/>
      <c r="AL50" s="876"/>
      <c r="AM50" s="876"/>
      <c r="AN50" s="876"/>
      <c r="AO50" s="876"/>
      <c r="AP50" s="876"/>
      <c r="AQ50" s="876"/>
      <c r="AR50" s="876"/>
      <c r="AS50" s="876"/>
      <c r="AT50" s="876"/>
      <c r="AU50" s="876"/>
      <c r="AV50" s="876"/>
      <c r="AW50" s="876"/>
      <c r="AX50" s="876"/>
      <c r="AY50" s="876"/>
      <c r="AZ50" s="876"/>
      <c r="BA50" s="876"/>
      <c r="BB50" s="876"/>
      <c r="BC50" s="876"/>
      <c r="BD50" s="876"/>
      <c r="BE50" s="876"/>
      <c r="BF50" s="876"/>
      <c r="BG50" s="876"/>
      <c r="BH50" s="876"/>
      <c r="BI50" s="876"/>
      <c r="BJ50" s="876"/>
      <c r="BK50" s="876"/>
      <c r="BL50" s="876"/>
      <c r="BM50" s="876"/>
      <c r="BN50" s="876"/>
      <c r="BO50" s="876"/>
      <c r="BP50" s="876"/>
      <c r="BQ50" s="876"/>
      <c r="BR50" s="876"/>
      <c r="BS50" s="876"/>
      <c r="BT50" s="876"/>
      <c r="BU50" s="876"/>
    </row>
    <row r="51" spans="1:73">
      <c r="A51" s="876"/>
      <c r="B51" s="888">
        <v>1</v>
      </c>
      <c r="C51" s="881">
        <v>1</v>
      </c>
      <c r="D51" s="881">
        <v>1</v>
      </c>
      <c r="E51" s="881">
        <v>1</v>
      </c>
      <c r="F51" s="881">
        <v>1</v>
      </c>
      <c r="G51" s="881">
        <v>1</v>
      </c>
      <c r="H51" s="881">
        <v>1</v>
      </c>
      <c r="I51" s="881">
        <v>1</v>
      </c>
      <c r="J51" s="876"/>
      <c r="K51" s="893">
        <v>1.0744589135139428</v>
      </c>
      <c r="L51" s="894">
        <v>0</v>
      </c>
      <c r="M51" s="894">
        <v>6.9008528456351935E-4</v>
      </c>
      <c r="N51" s="894">
        <v>6.8763896877743688E-2</v>
      </c>
      <c r="O51" s="894">
        <v>8.787539454611408E-3</v>
      </c>
      <c r="P51" s="894">
        <v>1.2660876684470445E-2</v>
      </c>
      <c r="Q51" s="894">
        <v>2.9542934018394833E-3</v>
      </c>
      <c r="R51" s="894">
        <v>6.784264297513133E-4</v>
      </c>
      <c r="S51" s="894">
        <v>8.5475901235362126E-2</v>
      </c>
      <c r="T51" s="894">
        <v>0.81583675894447782</v>
      </c>
      <c r="U51" s="894">
        <v>1.6910628865952383E-2</v>
      </c>
      <c r="V51" s="894">
        <v>1.0413134795616728E-2</v>
      </c>
      <c r="W51" s="894">
        <v>4.1103279604089063E-2</v>
      </c>
      <c r="X51" s="894">
        <v>9.7178094060207474E-3</v>
      </c>
      <c r="Y51" s="894">
        <v>1.8464530985706127E-3</v>
      </c>
      <c r="Z51" s="1004"/>
      <c r="AA51" s="876"/>
      <c r="AB51" s="876"/>
      <c r="AC51" s="876"/>
      <c r="AD51" s="876"/>
      <c r="AE51" s="876"/>
      <c r="AF51" s="876"/>
      <c r="AG51" s="876"/>
      <c r="AH51" s="876"/>
      <c r="AI51" s="876"/>
      <c r="AJ51" s="876"/>
      <c r="AK51" s="876"/>
      <c r="AL51" s="876"/>
      <c r="AM51" s="876"/>
      <c r="AN51" s="876"/>
      <c r="AO51" s="876"/>
      <c r="AP51" s="876"/>
      <c r="AQ51" s="876"/>
      <c r="AR51" s="876"/>
      <c r="AS51" s="876"/>
      <c r="AT51" s="876"/>
      <c r="AU51" s="876"/>
      <c r="AV51" s="876"/>
      <c r="AW51" s="876"/>
      <c r="AX51" s="876"/>
      <c r="AY51" s="876"/>
      <c r="AZ51" s="876"/>
      <c r="BA51" s="876"/>
      <c r="BB51" s="876"/>
      <c r="BC51" s="876"/>
      <c r="BD51" s="876"/>
      <c r="BE51" s="876"/>
      <c r="BF51" s="876"/>
      <c r="BG51" s="876"/>
      <c r="BH51" s="876"/>
      <c r="BI51" s="876"/>
      <c r="BJ51" s="876"/>
      <c r="BK51" s="876"/>
      <c r="BL51" s="876"/>
      <c r="BM51" s="876"/>
      <c r="BN51" s="876"/>
      <c r="BO51" s="876"/>
      <c r="BP51" s="876"/>
      <c r="BQ51" s="876"/>
      <c r="BR51" s="876"/>
      <c r="BS51" s="876"/>
      <c r="BT51" s="876"/>
      <c r="BU51" s="876"/>
    </row>
    <row r="52" spans="1:73">
      <c r="A52" s="876"/>
      <c r="B52" s="895">
        <f>+B51+1</f>
        <v>2</v>
      </c>
      <c r="C52" s="896">
        <f>+F3</f>
        <v>1.05</v>
      </c>
      <c r="D52" s="896">
        <v>1</v>
      </c>
      <c r="E52" s="896">
        <v>1</v>
      </c>
      <c r="F52" s="896">
        <v>1</v>
      </c>
      <c r="G52" s="896">
        <v>1</v>
      </c>
      <c r="H52" s="896">
        <v>1</v>
      </c>
      <c r="I52" s="896">
        <v>1</v>
      </c>
      <c r="J52" s="876"/>
      <c r="K52" s="893">
        <v>1.0633569922594281</v>
      </c>
      <c r="L52" s="894">
        <v>0</v>
      </c>
      <c r="M52" s="894">
        <v>6.5722408053668516E-4</v>
      </c>
      <c r="N52" s="894">
        <v>6.5489425597851147E-2</v>
      </c>
      <c r="O52" s="894">
        <v>8.3690851948680072E-3</v>
      </c>
      <c r="P52" s="894">
        <v>1.2594272456799699E-2</v>
      </c>
      <c r="Q52" s="894">
        <v>2.813612763656651E-3</v>
      </c>
      <c r="R52" s="894">
        <v>6.4612040928696502E-4</v>
      </c>
      <c r="S52" s="894">
        <v>8.1405620224154401E-2</v>
      </c>
      <c r="T52" s="894">
        <v>0.81583675894447782</v>
      </c>
      <c r="U52" s="894">
        <v>1.6105360824716558E-2</v>
      </c>
      <c r="V52" s="894">
        <v>1.0408505564024992E-2</v>
      </c>
      <c r="W52" s="894">
        <v>3.9145980575322918E-2</v>
      </c>
      <c r="X52" s="894">
        <v>9.4409470242617019E-3</v>
      </c>
      <c r="Y52" s="894">
        <v>1.7585267605434406E-3</v>
      </c>
      <c r="Z52" s="1004"/>
      <c r="AA52" s="876"/>
      <c r="AB52" s="876"/>
      <c r="AC52" s="876"/>
      <c r="AD52" s="876"/>
      <c r="AE52" s="876"/>
      <c r="AF52" s="876"/>
      <c r="AG52" s="876"/>
      <c r="AH52" s="876"/>
      <c r="AI52" s="876"/>
      <c r="AJ52" s="876"/>
      <c r="AK52" s="876"/>
      <c r="AL52" s="876"/>
      <c r="AM52" s="876"/>
      <c r="AN52" s="876"/>
      <c r="AO52" s="876"/>
      <c r="AP52" s="876"/>
      <c r="AQ52" s="876"/>
      <c r="AR52" s="876"/>
      <c r="AS52" s="876"/>
      <c r="AT52" s="876"/>
      <c r="AU52" s="876"/>
      <c r="AV52" s="876"/>
      <c r="AW52" s="876"/>
      <c r="AX52" s="876"/>
      <c r="AY52" s="876"/>
      <c r="AZ52" s="876"/>
      <c r="BA52" s="876"/>
      <c r="BB52" s="876"/>
      <c r="BC52" s="876"/>
      <c r="BD52" s="876"/>
      <c r="BE52" s="876"/>
      <c r="BF52" s="876"/>
      <c r="BG52" s="876"/>
      <c r="BH52" s="876"/>
      <c r="BI52" s="876"/>
      <c r="BJ52" s="876"/>
      <c r="BK52" s="876"/>
      <c r="BL52" s="876"/>
      <c r="BM52" s="876"/>
      <c r="BN52" s="876"/>
      <c r="BO52" s="876"/>
      <c r="BP52" s="876"/>
      <c r="BQ52" s="876"/>
      <c r="BR52" s="876"/>
      <c r="BS52" s="876"/>
      <c r="BT52" s="876"/>
      <c r="BU52" s="876"/>
    </row>
    <row r="53" spans="1:73">
      <c r="A53" s="876"/>
      <c r="B53" s="895">
        <f t="shared" ref="B53:B70" si="5">+B52+1</f>
        <v>3</v>
      </c>
      <c r="C53" s="896">
        <f>+G3</f>
        <v>0.95</v>
      </c>
      <c r="D53" s="896">
        <v>1</v>
      </c>
      <c r="E53" s="896">
        <v>1</v>
      </c>
      <c r="F53" s="896">
        <v>1</v>
      </c>
      <c r="G53" s="896">
        <v>1</v>
      </c>
      <c r="H53" s="896">
        <v>1</v>
      </c>
      <c r="I53" s="896">
        <v>1</v>
      </c>
      <c r="J53" s="876"/>
      <c r="K53" s="893">
        <v>1.086729458058407</v>
      </c>
      <c r="L53" s="894">
        <v>0</v>
      </c>
      <c r="M53" s="894">
        <v>7.2640556269844151E-4</v>
      </c>
      <c r="N53" s="894">
        <v>7.2383049344993358E-2</v>
      </c>
      <c r="O53" s="894">
        <v>9.2500415311699037E-3</v>
      </c>
      <c r="P53" s="894">
        <v>1.273449188347495E-2</v>
      </c>
      <c r="Q53" s="894">
        <v>3.1097825282520876E-3</v>
      </c>
      <c r="R53" s="894">
        <v>7.1413308394875077E-4</v>
      </c>
      <c r="S53" s="894">
        <v>8.9974632879328553E-2</v>
      </c>
      <c r="T53" s="894">
        <v>0.81583675894447771</v>
      </c>
      <c r="U53" s="894">
        <v>1.7800661964160403E-2</v>
      </c>
      <c r="V53" s="894">
        <v>1.0418251314744439E-2</v>
      </c>
      <c r="W53" s="894">
        <v>4.3266610109567442E-2</v>
      </c>
      <c r="X53" s="894">
        <v>1.002381519638602E-2</v>
      </c>
      <c r="Y53" s="894">
        <v>1.9436348406006447E-3</v>
      </c>
      <c r="Z53" s="1004"/>
      <c r="AA53" s="876"/>
      <c r="AB53" s="876"/>
      <c r="AC53" s="876"/>
      <c r="AD53" s="876"/>
      <c r="AE53" s="876"/>
      <c r="AF53" s="876"/>
      <c r="AG53" s="876"/>
      <c r="AH53" s="876"/>
      <c r="AI53" s="876"/>
      <c r="AJ53" s="876"/>
      <c r="AK53" s="876"/>
      <c r="AL53" s="876"/>
      <c r="AM53" s="876"/>
      <c r="AN53" s="876"/>
      <c r="AO53" s="876"/>
      <c r="AP53" s="876"/>
      <c r="AQ53" s="876"/>
      <c r="AR53" s="876"/>
      <c r="AS53" s="876"/>
      <c r="AT53" s="876"/>
      <c r="AU53" s="876"/>
      <c r="AV53" s="876"/>
      <c r="AW53" s="876"/>
      <c r="AX53" s="876"/>
      <c r="AY53" s="876"/>
      <c r="AZ53" s="876"/>
      <c r="BA53" s="876"/>
      <c r="BB53" s="876"/>
      <c r="BC53" s="876"/>
      <c r="BD53" s="876"/>
      <c r="BE53" s="876"/>
      <c r="BF53" s="876"/>
      <c r="BG53" s="876"/>
      <c r="BH53" s="876"/>
      <c r="BI53" s="876"/>
      <c r="BJ53" s="876"/>
      <c r="BK53" s="876"/>
      <c r="BL53" s="876"/>
      <c r="BM53" s="876"/>
      <c r="BN53" s="876"/>
      <c r="BO53" s="876"/>
      <c r="BP53" s="876"/>
      <c r="BQ53" s="876"/>
      <c r="BR53" s="876"/>
      <c r="BS53" s="876"/>
      <c r="BT53" s="876"/>
      <c r="BU53" s="876"/>
    </row>
    <row r="54" spans="1:73">
      <c r="A54" s="876"/>
      <c r="B54" s="888">
        <f t="shared" si="5"/>
        <v>4</v>
      </c>
      <c r="C54" s="881">
        <v>1</v>
      </c>
      <c r="D54" s="881">
        <f>+F4</f>
        <v>1.05</v>
      </c>
      <c r="E54" s="881">
        <v>1</v>
      </c>
      <c r="F54" s="881">
        <v>1</v>
      </c>
      <c r="G54" s="881">
        <v>1</v>
      </c>
      <c r="H54" s="881">
        <v>1</v>
      </c>
      <c r="I54" s="881">
        <v>1</v>
      </c>
      <c r="J54" s="876"/>
      <c r="K54" s="893">
        <v>1.0690889287242045</v>
      </c>
      <c r="L54" s="894">
        <v>0</v>
      </c>
      <c r="M54" s="894">
        <v>6.7244364172669652E-4</v>
      </c>
      <c r="N54" s="894">
        <v>6.7001897275975511E-2</v>
      </c>
      <c r="O54" s="894">
        <v>8.5623683732360158E-3</v>
      </c>
      <c r="P54" s="894">
        <v>1.2632944023657919E-2</v>
      </c>
      <c r="Q54" s="894">
        <v>2.8889915173708064E-3</v>
      </c>
      <c r="R54" s="894">
        <v>6.6104249496390399E-4</v>
      </c>
      <c r="S54" s="894">
        <v>8.3429238891546659E-2</v>
      </c>
      <c r="T54" s="894">
        <v>0.81583675894447782</v>
      </c>
      <c r="U54" s="894">
        <v>1.6910628865952387E-2</v>
      </c>
      <c r="V54" s="894">
        <v>1.041313479561673E-2</v>
      </c>
      <c r="W54" s="894">
        <v>4.0050053047971476E-2</v>
      </c>
      <c r="X54" s="894">
        <v>9.5751743764692972E-3</v>
      </c>
      <c r="Y54" s="894">
        <v>1.7991397586918469E-3</v>
      </c>
      <c r="Z54" s="1004"/>
      <c r="AA54" s="876"/>
      <c r="AB54" s="876"/>
      <c r="AC54" s="876"/>
      <c r="AD54" s="876"/>
      <c r="AE54" s="876"/>
      <c r="AF54" s="876"/>
      <c r="AG54" s="876"/>
      <c r="AH54" s="876"/>
      <c r="AI54" s="876"/>
      <c r="AJ54" s="876"/>
      <c r="AK54" s="876"/>
      <c r="AL54" s="876"/>
      <c r="AM54" s="876"/>
      <c r="AN54" s="876"/>
      <c r="AO54" s="876"/>
      <c r="AP54" s="876"/>
      <c r="AQ54" s="876"/>
      <c r="AR54" s="876"/>
      <c r="AS54" s="876"/>
      <c r="AT54" s="876"/>
      <c r="AU54" s="876"/>
      <c r="AV54" s="876"/>
      <c r="AW54" s="876"/>
      <c r="AX54" s="876"/>
      <c r="AY54" s="876"/>
      <c r="AZ54" s="876"/>
      <c r="BA54" s="876"/>
      <c r="BB54" s="876"/>
      <c r="BC54" s="876"/>
      <c r="BD54" s="876"/>
      <c r="BE54" s="876"/>
      <c r="BF54" s="876"/>
      <c r="BG54" s="876"/>
      <c r="BH54" s="876"/>
      <c r="BI54" s="876"/>
      <c r="BJ54" s="876"/>
      <c r="BK54" s="876"/>
      <c r="BL54" s="876"/>
      <c r="BM54" s="876"/>
      <c r="BN54" s="876"/>
      <c r="BO54" s="876"/>
      <c r="BP54" s="876"/>
      <c r="BQ54" s="876"/>
      <c r="BR54" s="876"/>
      <c r="BS54" s="876"/>
      <c r="BT54" s="876"/>
      <c r="BU54" s="876"/>
    </row>
    <row r="55" spans="1:73">
      <c r="A55" s="876"/>
      <c r="B55" s="888">
        <f t="shared" si="5"/>
        <v>5</v>
      </c>
      <c r="C55" s="881">
        <v>1</v>
      </c>
      <c r="D55" s="881">
        <f>+G4</f>
        <v>0.95</v>
      </c>
      <c r="E55" s="881">
        <v>1</v>
      </c>
      <c r="F55" s="881">
        <v>1</v>
      </c>
      <c r="G55" s="881">
        <v>1</v>
      </c>
      <c r="H55" s="881">
        <v>1</v>
      </c>
      <c r="I55" s="881">
        <v>1</v>
      </c>
      <c r="J55" s="876"/>
      <c r="K55" s="893">
        <v>1.0802823484766917</v>
      </c>
      <c r="L55" s="894">
        <v>0</v>
      </c>
      <c r="M55" s="894">
        <v>7.0922304609817707E-4</v>
      </c>
      <c r="N55" s="894">
        <v>7.0675505389399054E-2</v>
      </c>
      <c r="O55" s="894">
        <v>9.0318294960528983E-3</v>
      </c>
      <c r="P55" s="894">
        <v>1.2691155706758096E-2</v>
      </c>
      <c r="Q55" s="894">
        <v>3.0246817378396331E-3</v>
      </c>
      <c r="R55" s="894">
        <v>6.9728641001029002E-4</v>
      </c>
      <c r="S55" s="894">
        <v>8.7694484532513606E-2</v>
      </c>
      <c r="T55" s="894">
        <v>0.81583675894447771</v>
      </c>
      <c r="U55" s="894">
        <v>1.6910628865952387E-2</v>
      </c>
      <c r="V55" s="894">
        <v>1.041313479561673E-2</v>
      </c>
      <c r="W55" s="894">
        <v>4.2245934146891151E-2</v>
      </c>
      <c r="X55" s="894">
        <v>9.8723877496325434E-3</v>
      </c>
      <c r="Y55" s="894">
        <v>1.8977837476447262E-3</v>
      </c>
      <c r="Z55" s="1004"/>
      <c r="AA55" s="876"/>
      <c r="AB55" s="876"/>
      <c r="AC55" s="876"/>
      <c r="AD55" s="876"/>
      <c r="AE55" s="876"/>
      <c r="AF55" s="876"/>
      <c r="AG55" s="876"/>
      <c r="AH55" s="876"/>
      <c r="AI55" s="876"/>
      <c r="AJ55" s="876"/>
      <c r="AK55" s="876"/>
      <c r="AL55" s="876"/>
      <c r="AM55" s="876"/>
      <c r="AN55" s="876"/>
      <c r="AO55" s="876"/>
      <c r="AP55" s="876"/>
      <c r="AQ55" s="876"/>
      <c r="AR55" s="876"/>
      <c r="AS55" s="876"/>
      <c r="AT55" s="876"/>
      <c r="AU55" s="876"/>
      <c r="AV55" s="876"/>
      <c r="AW55" s="876"/>
      <c r="AX55" s="876"/>
      <c r="AY55" s="876"/>
      <c r="AZ55" s="876"/>
      <c r="BA55" s="876"/>
      <c r="BB55" s="876"/>
      <c r="BC55" s="876"/>
      <c r="BD55" s="876"/>
      <c r="BE55" s="876"/>
      <c r="BF55" s="876"/>
      <c r="BG55" s="876"/>
      <c r="BH55" s="876"/>
      <c r="BI55" s="876"/>
      <c r="BJ55" s="876"/>
      <c r="BK55" s="876"/>
      <c r="BL55" s="876"/>
      <c r="BM55" s="876"/>
      <c r="BN55" s="876"/>
      <c r="BO55" s="876"/>
      <c r="BP55" s="876"/>
      <c r="BQ55" s="876"/>
      <c r="BR55" s="876"/>
      <c r="BS55" s="876"/>
      <c r="BT55" s="876"/>
      <c r="BU55" s="876"/>
    </row>
    <row r="56" spans="1:73">
      <c r="A56" s="876"/>
      <c r="B56" s="895">
        <f t="shared" si="5"/>
        <v>6</v>
      </c>
      <c r="C56" s="896">
        <v>1</v>
      </c>
      <c r="D56" s="896">
        <v>1</v>
      </c>
      <c r="E56" s="896">
        <f>+F5</f>
        <v>0.95</v>
      </c>
      <c r="F56" s="896">
        <v>1</v>
      </c>
      <c r="G56" s="896">
        <v>1</v>
      </c>
      <c r="H56" s="896">
        <v>1</v>
      </c>
      <c r="I56" s="896">
        <v>1</v>
      </c>
      <c r="J56" s="876"/>
      <c r="K56" s="893">
        <v>1.073118127311099</v>
      </c>
      <c r="L56" s="894">
        <v>0</v>
      </c>
      <c r="M56" s="894">
        <v>7.6639333496743387E-4</v>
      </c>
      <c r="N56" s="894">
        <v>6.5347217266854871E-2</v>
      </c>
      <c r="O56" s="894">
        <v>8.7875394546114028E-3</v>
      </c>
      <c r="P56" s="894">
        <v>1.2239845216103992E-2</v>
      </c>
      <c r="Q56" s="894">
        <v>2.8075030876053382E-3</v>
      </c>
      <c r="R56" s="894">
        <v>7.5344527069001722E-4</v>
      </c>
      <c r="S56" s="894">
        <v>8.5475901235362112E-2</v>
      </c>
      <c r="T56" s="894">
        <v>0.8199158449382844</v>
      </c>
      <c r="U56" s="894">
        <v>1.6910628865952376E-2</v>
      </c>
      <c r="V56" s="894">
        <v>1.0413134795616725E-2</v>
      </c>
      <c r="W56" s="894">
        <v>4.0444999386701451E-2</v>
      </c>
      <c r="X56" s="894">
        <v>8.7378314746322829E-3</v>
      </c>
      <c r="Y56" s="894">
        <v>2.0506296536514953E-3</v>
      </c>
      <c r="Z56" s="1004"/>
      <c r="AA56" s="876"/>
      <c r="AB56" s="876"/>
      <c r="AC56" s="876"/>
      <c r="AD56" s="876"/>
      <c r="AE56" s="876"/>
      <c r="AF56" s="876"/>
      <c r="AG56" s="876"/>
      <c r="AH56" s="876"/>
      <c r="AI56" s="876"/>
      <c r="AJ56" s="876"/>
      <c r="AK56" s="876"/>
      <c r="AL56" s="876"/>
      <c r="AM56" s="876"/>
      <c r="AN56" s="876"/>
      <c r="AO56" s="876"/>
      <c r="AP56" s="876"/>
      <c r="AQ56" s="876"/>
      <c r="AR56" s="876"/>
      <c r="AS56" s="876"/>
      <c r="AT56" s="876"/>
      <c r="AU56" s="876"/>
      <c r="AV56" s="876"/>
      <c r="AW56" s="876"/>
      <c r="AX56" s="876"/>
      <c r="AY56" s="876"/>
      <c r="AZ56" s="876"/>
      <c r="BA56" s="876"/>
      <c r="BB56" s="876"/>
      <c r="BC56" s="876"/>
      <c r="BD56" s="876"/>
      <c r="BE56" s="876"/>
      <c r="BF56" s="876"/>
      <c r="BG56" s="876"/>
      <c r="BH56" s="876"/>
      <c r="BI56" s="876"/>
      <c r="BJ56" s="876"/>
      <c r="BK56" s="876"/>
      <c r="BL56" s="876"/>
      <c r="BM56" s="876"/>
      <c r="BN56" s="876"/>
      <c r="BO56" s="876"/>
      <c r="BP56" s="876"/>
      <c r="BQ56" s="876"/>
      <c r="BR56" s="876"/>
      <c r="BS56" s="876"/>
      <c r="BT56" s="876"/>
      <c r="BU56" s="876"/>
    </row>
    <row r="57" spans="1:73">
      <c r="A57" s="876"/>
      <c r="B57" s="895">
        <f t="shared" si="5"/>
        <v>7</v>
      </c>
      <c r="C57" s="896">
        <v>1</v>
      </c>
      <c r="D57" s="896">
        <v>1</v>
      </c>
      <c r="E57" s="896">
        <f>+G5</f>
        <v>1.05</v>
      </c>
      <c r="F57" s="896">
        <v>1</v>
      </c>
      <c r="G57" s="896">
        <v>1</v>
      </c>
      <c r="H57" s="896">
        <v>1</v>
      </c>
      <c r="I57" s="896">
        <v>1</v>
      </c>
      <c r="J57" s="876"/>
      <c r="K57" s="893">
        <v>1.0760251572832065</v>
      </c>
      <c r="L57" s="894">
        <v>0</v>
      </c>
      <c r="M57" s="894">
        <v>6.2086894877999392E-4</v>
      </c>
      <c r="N57" s="894">
        <v>7.2258638789935353E-2</v>
      </c>
      <c r="O57" s="894">
        <v>8.7875394546114149E-3</v>
      </c>
      <c r="P57" s="894">
        <v>1.307538439720039E-2</v>
      </c>
      <c r="Q57" s="894">
        <v>3.1044374954861211E-3</v>
      </c>
      <c r="R57" s="894">
        <v>6.1037949031282569E-4</v>
      </c>
      <c r="S57" s="894">
        <v>8.5475901235362209E-2</v>
      </c>
      <c r="T57" s="894">
        <v>0.81184257920214997</v>
      </c>
      <c r="U57" s="894">
        <v>1.6910628865952404E-2</v>
      </c>
      <c r="V57" s="894">
        <v>1.0413134795616737E-2</v>
      </c>
      <c r="W57" s="894">
        <v>4.1764074840630737E-2</v>
      </c>
      <c r="X57" s="894">
        <v>1.0742075903640532E-2</v>
      </c>
      <c r="Y57" s="894">
        <v>1.6612517610866068E-3</v>
      </c>
      <c r="Z57" s="1004"/>
      <c r="AA57" s="876"/>
      <c r="AB57" s="876"/>
      <c r="AC57" s="876"/>
      <c r="AD57" s="876"/>
      <c r="AE57" s="876"/>
      <c r="AF57" s="876"/>
      <c r="AG57" s="876"/>
      <c r="AH57" s="876"/>
      <c r="AI57" s="876"/>
      <c r="AJ57" s="876"/>
      <c r="AK57" s="876"/>
      <c r="AL57" s="876"/>
      <c r="AM57" s="876"/>
      <c r="AN57" s="876"/>
      <c r="AO57" s="876"/>
      <c r="AP57" s="876"/>
      <c r="AQ57" s="876"/>
      <c r="AR57" s="876"/>
      <c r="AS57" s="876"/>
      <c r="AT57" s="876"/>
      <c r="AU57" s="876"/>
      <c r="AV57" s="876"/>
      <c r="AW57" s="876"/>
      <c r="AX57" s="876"/>
      <c r="AY57" s="876"/>
      <c r="AZ57" s="876"/>
      <c r="BA57" s="876"/>
      <c r="BB57" s="876"/>
      <c r="BC57" s="876"/>
      <c r="BD57" s="876"/>
      <c r="BE57" s="876"/>
      <c r="BF57" s="876"/>
      <c r="BG57" s="876"/>
      <c r="BH57" s="876"/>
      <c r="BI57" s="876"/>
      <c r="BJ57" s="876"/>
      <c r="BK57" s="876"/>
      <c r="BL57" s="876"/>
      <c r="BM57" s="876"/>
      <c r="BN57" s="876"/>
      <c r="BO57" s="876"/>
      <c r="BP57" s="876"/>
      <c r="BQ57" s="876"/>
      <c r="BR57" s="876"/>
      <c r="BS57" s="876"/>
      <c r="BT57" s="876"/>
      <c r="BU57" s="876"/>
    </row>
    <row r="58" spans="1:73">
      <c r="A58" s="876"/>
      <c r="B58" s="888">
        <f t="shared" si="5"/>
        <v>8</v>
      </c>
      <c r="C58" s="881">
        <v>1</v>
      </c>
      <c r="D58" s="881">
        <v>1</v>
      </c>
      <c r="E58" s="881">
        <v>1</v>
      </c>
      <c r="F58" s="881">
        <f>+F6</f>
        <v>0.95</v>
      </c>
      <c r="G58" s="881">
        <v>1</v>
      </c>
      <c r="H58" s="881">
        <v>1</v>
      </c>
      <c r="I58" s="881">
        <v>1</v>
      </c>
      <c r="J58" s="876"/>
      <c r="K58" s="893">
        <v>1.0744589135139428</v>
      </c>
      <c r="L58" s="894">
        <v>0</v>
      </c>
      <c r="M58" s="894">
        <v>6.9008528456351935E-4</v>
      </c>
      <c r="N58" s="894">
        <v>6.8763896877743688E-2</v>
      </c>
      <c r="O58" s="894">
        <v>8.787539454611408E-3</v>
      </c>
      <c r="P58" s="894">
        <v>1.2660876684470445E-2</v>
      </c>
      <c r="Q58" s="894">
        <v>2.9542934018394833E-3</v>
      </c>
      <c r="R58" s="894">
        <v>6.784264297513133E-4</v>
      </c>
      <c r="S58" s="894">
        <v>8.5475901235362126E-2</v>
      </c>
      <c r="T58" s="894">
        <v>0.81583675894447782</v>
      </c>
      <c r="U58" s="894">
        <v>1.6910628865952383E-2</v>
      </c>
      <c r="V58" s="894">
        <v>1.0413134795616728E-2</v>
      </c>
      <c r="W58" s="894">
        <v>4.1103279604089063E-2</v>
      </c>
      <c r="X58" s="894">
        <v>9.7178094060207474E-3</v>
      </c>
      <c r="Y58" s="894">
        <v>1.8464530985706127E-3</v>
      </c>
      <c r="Z58" s="1004"/>
      <c r="AA58" s="876"/>
      <c r="AB58" s="876"/>
      <c r="AC58" s="876"/>
      <c r="AD58" s="876"/>
      <c r="AE58" s="876"/>
      <c r="AF58" s="876"/>
      <c r="AG58" s="876"/>
      <c r="AH58" s="876"/>
      <c r="AI58" s="876"/>
      <c r="AJ58" s="876"/>
      <c r="AK58" s="876"/>
      <c r="AL58" s="876"/>
      <c r="AM58" s="876"/>
      <c r="AN58" s="876"/>
      <c r="AO58" s="876"/>
      <c r="AP58" s="876"/>
      <c r="AQ58" s="876"/>
      <c r="AR58" s="876"/>
      <c r="AS58" s="876"/>
      <c r="AT58" s="876"/>
      <c r="AU58" s="876"/>
      <c r="AV58" s="876"/>
      <c r="AW58" s="876"/>
      <c r="AX58" s="876"/>
      <c r="AY58" s="876"/>
      <c r="AZ58" s="876"/>
      <c r="BA58" s="876"/>
      <c r="BB58" s="876"/>
      <c r="BC58" s="876"/>
      <c r="BD58" s="876"/>
      <c r="BE58" s="876"/>
      <c r="BF58" s="876"/>
      <c r="BG58" s="876"/>
      <c r="BH58" s="876"/>
      <c r="BI58" s="876"/>
      <c r="BJ58" s="876"/>
      <c r="BK58" s="876"/>
      <c r="BL58" s="876"/>
      <c r="BM58" s="876"/>
      <c r="BN58" s="876"/>
      <c r="BO58" s="876"/>
      <c r="BP58" s="876"/>
      <c r="BQ58" s="876"/>
      <c r="BR58" s="876"/>
      <c r="BS58" s="876"/>
      <c r="BT58" s="876"/>
      <c r="BU58" s="876"/>
    </row>
    <row r="59" spans="1:73">
      <c r="A59" s="876"/>
      <c r="B59" s="888">
        <f t="shared" si="5"/>
        <v>9</v>
      </c>
      <c r="C59" s="881">
        <v>1</v>
      </c>
      <c r="D59" s="881">
        <v>1</v>
      </c>
      <c r="E59" s="881">
        <v>1</v>
      </c>
      <c r="F59" s="881">
        <f>+G6</f>
        <v>1.05</v>
      </c>
      <c r="G59" s="881">
        <v>1</v>
      </c>
      <c r="H59" s="881">
        <v>1</v>
      </c>
      <c r="I59" s="881">
        <v>1</v>
      </c>
      <c r="J59" s="876"/>
      <c r="K59" s="893">
        <v>1.0744589135139428</v>
      </c>
      <c r="L59" s="894">
        <v>0</v>
      </c>
      <c r="M59" s="894">
        <v>6.9008528456351935E-4</v>
      </c>
      <c r="N59" s="894">
        <v>6.8763896877743688E-2</v>
      </c>
      <c r="O59" s="894">
        <v>8.787539454611408E-3</v>
      </c>
      <c r="P59" s="894">
        <v>1.2660876684470445E-2</v>
      </c>
      <c r="Q59" s="894">
        <v>2.9542934018394833E-3</v>
      </c>
      <c r="R59" s="894">
        <v>6.784264297513133E-4</v>
      </c>
      <c r="S59" s="894">
        <v>8.5475901235362126E-2</v>
      </c>
      <c r="T59" s="894">
        <v>0.81583675894447782</v>
      </c>
      <c r="U59" s="894">
        <v>1.6910628865952383E-2</v>
      </c>
      <c r="V59" s="894">
        <v>1.0413134795616728E-2</v>
      </c>
      <c r="W59" s="894">
        <v>4.1103279604089063E-2</v>
      </c>
      <c r="X59" s="894">
        <v>9.7178094060207474E-3</v>
      </c>
      <c r="Y59" s="894">
        <v>1.8464530985706127E-3</v>
      </c>
      <c r="Z59" s="1004"/>
      <c r="AA59" s="876"/>
      <c r="AB59" s="876"/>
      <c r="AC59" s="876"/>
      <c r="AD59" s="876"/>
      <c r="AE59" s="876"/>
      <c r="AF59" s="876"/>
      <c r="AG59" s="876"/>
      <c r="AH59" s="876"/>
      <c r="AI59" s="876"/>
      <c r="AJ59" s="876"/>
      <c r="AK59" s="876"/>
      <c r="AL59" s="876"/>
      <c r="AM59" s="876"/>
      <c r="AN59" s="876"/>
      <c r="AO59" s="876"/>
      <c r="AP59" s="876"/>
      <c r="AQ59" s="876"/>
      <c r="AR59" s="876"/>
      <c r="AS59" s="876"/>
      <c r="AT59" s="876"/>
      <c r="AU59" s="876"/>
      <c r="AV59" s="876"/>
      <c r="AW59" s="876"/>
      <c r="AX59" s="876"/>
      <c r="AY59" s="876"/>
      <c r="AZ59" s="876"/>
      <c r="BA59" s="876"/>
      <c r="BB59" s="876"/>
      <c r="BC59" s="876"/>
      <c r="BD59" s="876"/>
      <c r="BE59" s="876"/>
      <c r="BF59" s="876"/>
      <c r="BG59" s="876"/>
      <c r="BH59" s="876"/>
      <c r="BI59" s="876"/>
      <c r="BJ59" s="876"/>
      <c r="BK59" s="876"/>
      <c r="BL59" s="876"/>
      <c r="BM59" s="876"/>
      <c r="BN59" s="876"/>
      <c r="BO59" s="876"/>
      <c r="BP59" s="876"/>
      <c r="BQ59" s="876"/>
      <c r="BR59" s="876"/>
      <c r="BS59" s="876"/>
      <c r="BT59" s="876"/>
      <c r="BU59" s="876"/>
    </row>
    <row r="60" spans="1:73">
      <c r="A60" s="876"/>
      <c r="B60" s="895">
        <f t="shared" si="5"/>
        <v>10</v>
      </c>
      <c r="C60" s="896">
        <v>1</v>
      </c>
      <c r="D60" s="896">
        <v>1</v>
      </c>
      <c r="E60" s="896">
        <v>1</v>
      </c>
      <c r="F60" s="896">
        <v>1</v>
      </c>
      <c r="G60" s="896">
        <f>+F7</f>
        <v>0.95</v>
      </c>
      <c r="H60" s="896">
        <v>1</v>
      </c>
      <c r="I60" s="896">
        <v>1</v>
      </c>
      <c r="J60" s="876"/>
      <c r="K60" s="893">
        <v>1.0744589135139428</v>
      </c>
      <c r="L60" s="894">
        <v>0</v>
      </c>
      <c r="M60" s="894">
        <v>6.9008528456351935E-4</v>
      </c>
      <c r="N60" s="894">
        <v>6.8763896877743688E-2</v>
      </c>
      <c r="O60" s="894">
        <v>8.787539454611408E-3</v>
      </c>
      <c r="P60" s="894">
        <v>1.2660876684470445E-2</v>
      </c>
      <c r="Q60" s="894">
        <v>2.9542934018394833E-3</v>
      </c>
      <c r="R60" s="894">
        <v>6.784264297513133E-4</v>
      </c>
      <c r="S60" s="894">
        <v>8.5475901235362126E-2</v>
      </c>
      <c r="T60" s="894">
        <v>0.81583675894447782</v>
      </c>
      <c r="U60" s="894">
        <v>1.6910628865952383E-2</v>
      </c>
      <c r="V60" s="894">
        <v>1.0413134795616728E-2</v>
      </c>
      <c r="W60" s="894">
        <v>4.1103279604089063E-2</v>
      </c>
      <c r="X60" s="894">
        <v>9.7178094060207474E-3</v>
      </c>
      <c r="Y60" s="894">
        <v>1.8464530985706127E-3</v>
      </c>
      <c r="Z60" s="1004"/>
      <c r="AA60" s="876"/>
      <c r="AB60" s="876"/>
      <c r="AC60" s="876"/>
      <c r="AD60" s="876"/>
      <c r="AE60" s="876"/>
      <c r="AF60" s="876"/>
      <c r="AG60" s="876"/>
      <c r="AH60" s="876"/>
      <c r="AI60" s="876"/>
      <c r="AJ60" s="876"/>
      <c r="AK60" s="876"/>
      <c r="AL60" s="876"/>
      <c r="AM60" s="876"/>
      <c r="AN60" s="876"/>
      <c r="AO60" s="876"/>
      <c r="AP60" s="876"/>
      <c r="AQ60" s="876"/>
      <c r="AR60" s="876"/>
      <c r="AS60" s="876"/>
      <c r="AT60" s="876"/>
      <c r="AU60" s="876"/>
      <c r="AV60" s="876"/>
      <c r="AW60" s="876"/>
      <c r="AX60" s="876"/>
      <c r="AY60" s="876"/>
      <c r="AZ60" s="876"/>
      <c r="BA60" s="876"/>
      <c r="BB60" s="876"/>
      <c r="BC60" s="876"/>
      <c r="BD60" s="876"/>
      <c r="BE60" s="876"/>
      <c r="BF60" s="876"/>
      <c r="BG60" s="876"/>
      <c r="BH60" s="876"/>
      <c r="BI60" s="876"/>
      <c r="BJ60" s="876"/>
      <c r="BK60" s="876"/>
      <c r="BL60" s="876"/>
      <c r="BM60" s="876"/>
      <c r="BN60" s="876"/>
      <c r="BO60" s="876"/>
      <c r="BP60" s="876"/>
      <c r="BQ60" s="876"/>
      <c r="BR60" s="876"/>
      <c r="BS60" s="876"/>
      <c r="BT60" s="876"/>
      <c r="BU60" s="876"/>
    </row>
    <row r="61" spans="1:73">
      <c r="A61" s="876"/>
      <c r="B61" s="895">
        <f t="shared" si="5"/>
        <v>11</v>
      </c>
      <c r="C61" s="896">
        <v>1</v>
      </c>
      <c r="D61" s="896">
        <v>1</v>
      </c>
      <c r="E61" s="896">
        <v>1</v>
      </c>
      <c r="F61" s="896">
        <v>1</v>
      </c>
      <c r="G61" s="896">
        <f>+G6</f>
        <v>1.05</v>
      </c>
      <c r="H61" s="896">
        <v>1</v>
      </c>
      <c r="I61" s="896">
        <v>1</v>
      </c>
      <c r="J61" s="876"/>
      <c r="K61" s="893">
        <v>1.0744589135139428</v>
      </c>
      <c r="L61" s="894">
        <v>0</v>
      </c>
      <c r="M61" s="894">
        <v>6.9008528456351935E-4</v>
      </c>
      <c r="N61" s="894">
        <v>6.8763896877743688E-2</v>
      </c>
      <c r="O61" s="894">
        <v>8.787539454611408E-3</v>
      </c>
      <c r="P61" s="894">
        <v>1.2660876684470445E-2</v>
      </c>
      <c r="Q61" s="894">
        <v>2.9542934018394833E-3</v>
      </c>
      <c r="R61" s="894">
        <v>6.784264297513133E-4</v>
      </c>
      <c r="S61" s="894">
        <v>8.5475901235362126E-2</v>
      </c>
      <c r="T61" s="894">
        <v>0.81583675894447782</v>
      </c>
      <c r="U61" s="894">
        <v>1.6910628865952383E-2</v>
      </c>
      <c r="V61" s="894">
        <v>1.0413134795616728E-2</v>
      </c>
      <c r="W61" s="894">
        <v>4.1103279604089063E-2</v>
      </c>
      <c r="X61" s="894">
        <v>9.7178094060207474E-3</v>
      </c>
      <c r="Y61" s="894">
        <v>1.8464530985706127E-3</v>
      </c>
      <c r="Z61" s="1004"/>
      <c r="AA61" s="876"/>
      <c r="AB61" s="876"/>
      <c r="AC61" s="876"/>
      <c r="AD61" s="876"/>
      <c r="AE61" s="876"/>
      <c r="AF61" s="876"/>
      <c r="AG61" s="876"/>
      <c r="AH61" s="876"/>
      <c r="AI61" s="876"/>
      <c r="AJ61" s="876"/>
      <c r="AK61" s="876"/>
      <c r="AL61" s="876"/>
      <c r="AM61" s="876"/>
      <c r="AN61" s="876"/>
      <c r="AO61" s="876"/>
      <c r="AP61" s="876"/>
      <c r="AQ61" s="876"/>
      <c r="AR61" s="876"/>
      <c r="AS61" s="876"/>
      <c r="AT61" s="876"/>
      <c r="AU61" s="876"/>
      <c r="AV61" s="876"/>
      <c r="AW61" s="876"/>
      <c r="AX61" s="876"/>
      <c r="AY61" s="876"/>
      <c r="AZ61" s="876"/>
      <c r="BA61" s="876"/>
      <c r="BB61" s="876"/>
      <c r="BC61" s="876"/>
      <c r="BD61" s="876"/>
      <c r="BE61" s="876"/>
      <c r="BF61" s="876"/>
      <c r="BG61" s="876"/>
      <c r="BH61" s="876"/>
      <c r="BI61" s="876"/>
      <c r="BJ61" s="876"/>
      <c r="BK61" s="876"/>
      <c r="BL61" s="876"/>
      <c r="BM61" s="876"/>
      <c r="BN61" s="876"/>
      <c r="BO61" s="876"/>
      <c r="BP61" s="876"/>
      <c r="BQ61" s="876"/>
      <c r="BR61" s="876"/>
      <c r="BS61" s="876"/>
      <c r="BT61" s="876"/>
      <c r="BU61" s="876"/>
    </row>
    <row r="62" spans="1:73">
      <c r="A62" s="876"/>
      <c r="B62" s="888">
        <f t="shared" si="5"/>
        <v>12</v>
      </c>
      <c r="C62" s="881">
        <v>1</v>
      </c>
      <c r="D62" s="881">
        <v>1</v>
      </c>
      <c r="E62" s="881">
        <v>1</v>
      </c>
      <c r="F62" s="881">
        <v>1</v>
      </c>
      <c r="G62" s="881">
        <v>1</v>
      </c>
      <c r="H62" s="881">
        <f>+F8</f>
        <v>0.95</v>
      </c>
      <c r="I62" s="881">
        <v>1</v>
      </c>
      <c r="J62" s="876"/>
      <c r="K62" s="893">
        <v>1.066815242095559</v>
      </c>
      <c r="L62" s="894">
        <v>0</v>
      </c>
      <c r="M62" s="894">
        <v>6.5558102033534303E-4</v>
      </c>
      <c r="N62" s="894">
        <v>6.5266616165819691E-2</v>
      </c>
      <c r="O62" s="894">
        <v>8.787539454611408E-3</v>
      </c>
      <c r="P62" s="894">
        <v>1.2636478169125954E-2</v>
      </c>
      <c r="Q62" s="894">
        <v>2.9542934018394833E-3</v>
      </c>
      <c r="R62" s="894">
        <v>6.4392216552313698E-4</v>
      </c>
      <c r="S62" s="894">
        <v>8.3688190321041869E-2</v>
      </c>
      <c r="T62" s="894">
        <v>0.81583675894447782</v>
      </c>
      <c r="U62" s="894">
        <v>1.6910628865952383E-2</v>
      </c>
      <c r="V62" s="894">
        <v>1.0413134795616728E-2</v>
      </c>
      <c r="W62" s="894">
        <v>3.9012797338202163E-2</v>
      </c>
      <c r="X62" s="894">
        <v>9.5679196280139163E-3</v>
      </c>
      <c r="Y62" s="894">
        <v>1.7525438656691625E-3</v>
      </c>
      <c r="Z62" s="1004"/>
      <c r="AA62" s="876"/>
      <c r="AB62" s="876"/>
      <c r="AC62" s="876"/>
      <c r="AD62" s="876"/>
      <c r="AE62" s="876"/>
      <c r="AF62" s="876"/>
      <c r="AG62" s="876"/>
      <c r="AH62" s="876"/>
      <c r="AI62" s="876"/>
      <c r="AJ62" s="876"/>
      <c r="AK62" s="876"/>
      <c r="AL62" s="876"/>
      <c r="AM62" s="876"/>
      <c r="AN62" s="876"/>
      <c r="AO62" s="876"/>
      <c r="AP62" s="876"/>
      <c r="AQ62" s="876"/>
      <c r="AR62" s="876"/>
      <c r="AS62" s="876"/>
      <c r="AT62" s="876"/>
      <c r="AU62" s="876"/>
      <c r="AV62" s="876"/>
      <c r="AW62" s="876"/>
      <c r="AX62" s="876"/>
      <c r="AY62" s="876"/>
      <c r="AZ62" s="876"/>
      <c r="BA62" s="876"/>
      <c r="BB62" s="876"/>
      <c r="BC62" s="876"/>
      <c r="BD62" s="876"/>
      <c r="BE62" s="876"/>
      <c r="BF62" s="876"/>
      <c r="BG62" s="876"/>
      <c r="BH62" s="876"/>
      <c r="BI62" s="876"/>
      <c r="BJ62" s="876"/>
      <c r="BK62" s="876"/>
      <c r="BL62" s="876"/>
      <c r="BM62" s="876"/>
      <c r="BN62" s="876"/>
      <c r="BO62" s="876"/>
      <c r="BP62" s="876"/>
      <c r="BQ62" s="876"/>
      <c r="BR62" s="876"/>
      <c r="BS62" s="876"/>
      <c r="BT62" s="876"/>
      <c r="BU62" s="876"/>
    </row>
    <row r="63" spans="1:73">
      <c r="A63" s="876"/>
      <c r="B63" s="888">
        <f t="shared" si="5"/>
        <v>13</v>
      </c>
      <c r="C63" s="881">
        <v>1</v>
      </c>
      <c r="D63" s="881">
        <v>1</v>
      </c>
      <c r="E63" s="881">
        <v>1</v>
      </c>
      <c r="F63" s="881">
        <v>1</v>
      </c>
      <c r="G63" s="881">
        <v>1</v>
      </c>
      <c r="H63" s="881">
        <f>+G8</f>
        <v>1.05</v>
      </c>
      <c r="I63" s="881">
        <v>1</v>
      </c>
      <c r="J63" s="876"/>
      <c r="K63" s="893">
        <v>1.0821025849323265</v>
      </c>
      <c r="L63" s="894">
        <v>0</v>
      </c>
      <c r="M63" s="894">
        <v>7.2458954879169534E-4</v>
      </c>
      <c r="N63" s="894">
        <v>7.2261177589667672E-2</v>
      </c>
      <c r="O63" s="894">
        <v>8.787539454611408E-3</v>
      </c>
      <c r="P63" s="894">
        <v>1.2685275199814931E-2</v>
      </c>
      <c r="Q63" s="894">
        <v>2.9542934018394833E-3</v>
      </c>
      <c r="R63" s="894">
        <v>7.1293069397948918E-4</v>
      </c>
      <c r="S63" s="894">
        <v>8.726361214968234E-2</v>
      </c>
      <c r="T63" s="894">
        <v>0.81583675894447782</v>
      </c>
      <c r="U63" s="894">
        <v>1.6910628865952383E-2</v>
      </c>
      <c r="V63" s="894">
        <v>1.0413134795616728E-2</v>
      </c>
      <c r="W63" s="894">
        <v>4.3193761869975963E-2</v>
      </c>
      <c r="X63" s="894">
        <v>9.8676991840276791E-3</v>
      </c>
      <c r="Y63" s="894">
        <v>1.9403623314720613E-3</v>
      </c>
      <c r="Z63" s="1004"/>
      <c r="AA63" s="876"/>
      <c r="AB63" s="876"/>
      <c r="AC63" s="876"/>
      <c r="AD63" s="876"/>
      <c r="AE63" s="876"/>
      <c r="AF63" s="876"/>
      <c r="AG63" s="876"/>
      <c r="AH63" s="876"/>
      <c r="AI63" s="876"/>
      <c r="AJ63" s="876"/>
      <c r="AK63" s="876"/>
      <c r="AL63" s="876"/>
      <c r="AM63" s="876"/>
      <c r="AN63" s="876"/>
      <c r="AO63" s="876"/>
      <c r="AP63" s="876"/>
      <c r="AQ63" s="876"/>
      <c r="AR63" s="876"/>
      <c r="AS63" s="876"/>
      <c r="AT63" s="876"/>
      <c r="AU63" s="876"/>
      <c r="AV63" s="876"/>
      <c r="AW63" s="876"/>
      <c r="AX63" s="876"/>
      <c r="AY63" s="876"/>
      <c r="AZ63" s="876"/>
      <c r="BA63" s="876"/>
      <c r="BB63" s="876"/>
      <c r="BC63" s="876"/>
      <c r="BD63" s="876"/>
      <c r="BE63" s="876"/>
      <c r="BF63" s="876"/>
      <c r="BG63" s="876"/>
      <c r="BH63" s="876"/>
      <c r="BI63" s="876"/>
      <c r="BJ63" s="876"/>
      <c r="BK63" s="876"/>
      <c r="BL63" s="876"/>
      <c r="BM63" s="876"/>
      <c r="BN63" s="876"/>
      <c r="BO63" s="876"/>
      <c r="BP63" s="876"/>
      <c r="BQ63" s="876"/>
      <c r="BR63" s="876"/>
      <c r="BS63" s="876"/>
      <c r="BT63" s="876"/>
      <c r="BU63" s="876"/>
    </row>
    <row r="64" spans="1:73">
      <c r="A64" s="876"/>
      <c r="B64" s="895">
        <f t="shared" si="5"/>
        <v>14</v>
      </c>
      <c r="C64" s="881">
        <v>1</v>
      </c>
      <c r="D64" s="881">
        <v>1</v>
      </c>
      <c r="E64" s="881">
        <v>1</v>
      </c>
      <c r="F64" s="881">
        <v>1</v>
      </c>
      <c r="G64" s="881">
        <v>1</v>
      </c>
      <c r="H64" s="881">
        <v>1</v>
      </c>
      <c r="I64" s="881">
        <f>+F9</f>
        <v>0.95</v>
      </c>
      <c r="J64" s="876"/>
      <c r="K64" s="893">
        <v>1.0701065723104906</v>
      </c>
      <c r="L64" s="894">
        <v>0</v>
      </c>
      <c r="M64" s="894">
        <v>6.9008528456351935E-4</v>
      </c>
      <c r="N64" s="894">
        <v>6.8763896877743688E-2</v>
      </c>
      <c r="O64" s="894">
        <v>8.787539454611408E-3</v>
      </c>
      <c r="P64" s="894">
        <v>1.2602548319655711E-2</v>
      </c>
      <c r="Q64" s="894">
        <v>2.9542934018394833E-3</v>
      </c>
      <c r="R64" s="894">
        <v>6.784264297513133E-4</v>
      </c>
      <c r="S64" s="894">
        <v>8.120210617359401E-2</v>
      </c>
      <c r="T64" s="894">
        <v>0.81583675894447782</v>
      </c>
      <c r="U64" s="894">
        <v>1.6910628865952383E-2</v>
      </c>
      <c r="V64" s="894">
        <v>1.0413134795616728E-2</v>
      </c>
      <c r="W64" s="894">
        <v>4.1103279604089063E-2</v>
      </c>
      <c r="X64" s="894">
        <v>9.6975916291512261E-3</v>
      </c>
      <c r="Y64" s="894">
        <v>1.8464530985706127E-3</v>
      </c>
      <c r="Z64" s="1004"/>
      <c r="AA64" s="876"/>
      <c r="AB64" s="876"/>
      <c r="AC64" s="876"/>
      <c r="AD64" s="876"/>
      <c r="AE64" s="876"/>
      <c r="AF64" s="876"/>
      <c r="AG64" s="876"/>
      <c r="AH64" s="876"/>
      <c r="AI64" s="876"/>
      <c r="AJ64" s="876"/>
      <c r="AK64" s="876"/>
      <c r="AL64" s="876"/>
      <c r="AM64" s="876"/>
      <c r="AN64" s="876"/>
      <c r="AO64" s="876"/>
      <c r="AP64" s="876"/>
      <c r="AQ64" s="876"/>
      <c r="AR64" s="876"/>
      <c r="AS64" s="876"/>
      <c r="AT64" s="876"/>
      <c r="AU64" s="876"/>
      <c r="AV64" s="876"/>
      <c r="AW64" s="876"/>
      <c r="AX64" s="876"/>
      <c r="AY64" s="876"/>
      <c r="AZ64" s="876"/>
      <c r="BA64" s="876"/>
      <c r="BB64" s="876"/>
      <c r="BC64" s="876"/>
      <c r="BD64" s="876"/>
      <c r="BE64" s="876"/>
      <c r="BF64" s="876"/>
      <c r="BG64" s="876"/>
      <c r="BH64" s="876"/>
      <c r="BI64" s="876"/>
      <c r="BJ64" s="876"/>
      <c r="BK64" s="876"/>
      <c r="BL64" s="876"/>
      <c r="BM64" s="876"/>
      <c r="BN64" s="876"/>
      <c r="BO64" s="876"/>
      <c r="BP64" s="876"/>
      <c r="BQ64" s="876"/>
      <c r="BR64" s="876"/>
      <c r="BS64" s="876"/>
      <c r="BT64" s="876"/>
      <c r="BU64" s="876"/>
    </row>
    <row r="65" spans="1:73" ht="14" thickBot="1">
      <c r="A65" s="876"/>
      <c r="B65" s="993">
        <f t="shared" si="5"/>
        <v>15</v>
      </c>
      <c r="C65" s="994">
        <v>1</v>
      </c>
      <c r="D65" s="994">
        <v>1</v>
      </c>
      <c r="E65" s="994">
        <v>1</v>
      </c>
      <c r="F65" s="994">
        <v>1</v>
      </c>
      <c r="G65" s="994">
        <v>1</v>
      </c>
      <c r="H65" s="994">
        <v>1</v>
      </c>
      <c r="I65" s="994">
        <f>+G9</f>
        <v>1.05</v>
      </c>
      <c r="J65" s="995"/>
      <c r="K65" s="996">
        <v>1.0788112547173956</v>
      </c>
      <c r="L65" s="997">
        <v>0</v>
      </c>
      <c r="M65" s="997">
        <v>6.9008528456351935E-4</v>
      </c>
      <c r="N65" s="997">
        <v>6.8763896877743688E-2</v>
      </c>
      <c r="O65" s="997">
        <v>8.787539454611408E-3</v>
      </c>
      <c r="P65" s="997">
        <v>1.2719205049285164E-2</v>
      </c>
      <c r="Q65" s="997">
        <v>2.9542934018394833E-3</v>
      </c>
      <c r="R65" s="997">
        <v>6.784264297513133E-4</v>
      </c>
      <c r="S65" s="997">
        <v>8.9749696297130199E-2</v>
      </c>
      <c r="T65" s="997">
        <v>0.81583675894447782</v>
      </c>
      <c r="U65" s="997">
        <v>1.6910628865952383E-2</v>
      </c>
      <c r="V65" s="997">
        <v>1.0413134795616728E-2</v>
      </c>
      <c r="W65" s="997">
        <v>4.1103279604089063E-2</v>
      </c>
      <c r="X65" s="997">
        <v>9.7380271828903346E-3</v>
      </c>
      <c r="Y65" s="997">
        <v>1.8464530985706127E-3</v>
      </c>
      <c r="Z65" s="1004"/>
      <c r="AA65" s="876"/>
      <c r="AB65" s="876"/>
      <c r="AC65" s="876"/>
      <c r="AD65" s="876"/>
      <c r="AE65" s="876"/>
      <c r="AF65" s="876"/>
      <c r="AG65" s="876"/>
      <c r="AH65" s="876"/>
      <c r="AI65" s="876"/>
      <c r="AJ65" s="876"/>
      <c r="AK65" s="876"/>
      <c r="AL65" s="876"/>
      <c r="AM65" s="876"/>
      <c r="AN65" s="876"/>
      <c r="AO65" s="876"/>
      <c r="AP65" s="876"/>
      <c r="AQ65" s="876"/>
      <c r="AR65" s="876"/>
      <c r="AS65" s="876"/>
      <c r="AT65" s="876"/>
      <c r="AU65" s="876"/>
      <c r="AV65" s="876"/>
      <c r="AW65" s="876"/>
      <c r="AX65" s="876"/>
      <c r="AY65" s="876"/>
      <c r="AZ65" s="876"/>
      <c r="BA65" s="876"/>
      <c r="BB65" s="876"/>
      <c r="BC65" s="876"/>
      <c r="BD65" s="876"/>
      <c r="BE65" s="876"/>
      <c r="BF65" s="876"/>
      <c r="BG65" s="876"/>
      <c r="BH65" s="876"/>
      <c r="BI65" s="876"/>
      <c r="BJ65" s="876"/>
      <c r="BK65" s="876"/>
      <c r="BL65" s="876"/>
      <c r="BM65" s="876"/>
      <c r="BN65" s="876"/>
      <c r="BO65" s="876"/>
      <c r="BP65" s="876"/>
      <c r="BQ65" s="876"/>
      <c r="BR65" s="876"/>
      <c r="BS65" s="876"/>
      <c r="BT65" s="876"/>
      <c r="BU65" s="876"/>
    </row>
    <row r="66" spans="1:73" ht="14" thickTop="1">
      <c r="A66" s="876"/>
      <c r="B66" s="989">
        <f t="shared" si="5"/>
        <v>16</v>
      </c>
      <c r="C66" s="990">
        <f>(C$72=1)*$F$3
+(C$72=2)
+(C$72=3)
+(C$72=4)
+(C$72=5)</f>
        <v>1.05</v>
      </c>
      <c r="D66" s="990">
        <v>1</v>
      </c>
      <c r="E66" s="990">
        <v>1</v>
      </c>
      <c r="F66" s="990">
        <f>(F$72=1)*$F$6
+(F$72=2)
+(F$72=3)
+(F$72=4)
+(F$72=5)</f>
        <v>1</v>
      </c>
      <c r="G66" s="990">
        <f>(G$72=1)*$F$7
+(G$72=2)
+(G$72=3)
+(G$72=4)
+(G$72=5)</f>
        <v>1</v>
      </c>
      <c r="H66" s="990">
        <f>(H$72=1)*$F$8
+(H$72=2)
+(H$72=3)
+(H$72=4)
+(H$72=5)</f>
        <v>1</v>
      </c>
      <c r="I66" s="990">
        <f>(I$72=1)*$F$9
+(I$72=2)
+(I$72=3)
+(I$72=4)
+(I$72=5)</f>
        <v>1</v>
      </c>
      <c r="J66" s="876"/>
      <c r="K66" s="991">
        <v>1.0633569922594281</v>
      </c>
      <c r="L66" s="992">
        <v>0</v>
      </c>
      <c r="M66" s="992">
        <v>6.5722408053668516E-4</v>
      </c>
      <c r="N66" s="992">
        <v>6.5489425597851147E-2</v>
      </c>
      <c r="O66" s="992">
        <v>8.3690851948680072E-3</v>
      </c>
      <c r="P66" s="992">
        <v>1.2594272456799699E-2</v>
      </c>
      <c r="Q66" s="992">
        <v>2.813612763656651E-3</v>
      </c>
      <c r="R66" s="992">
        <v>6.4612040928696502E-4</v>
      </c>
      <c r="S66" s="992">
        <v>8.1405620224154401E-2</v>
      </c>
      <c r="T66" s="992">
        <v>0.81583675894447782</v>
      </c>
      <c r="U66" s="992">
        <v>1.6105360824716558E-2</v>
      </c>
      <c r="V66" s="992">
        <v>1.0408505564024992E-2</v>
      </c>
      <c r="W66" s="992">
        <v>3.9145980575322918E-2</v>
      </c>
      <c r="X66" s="992">
        <v>9.4409470242617019E-3</v>
      </c>
      <c r="Y66" s="992">
        <v>1.7585267605434406E-3</v>
      </c>
      <c r="Z66" s="1004"/>
      <c r="AA66" s="876"/>
      <c r="AB66" s="876"/>
      <c r="AC66" s="876"/>
      <c r="AD66" s="876"/>
      <c r="AE66" s="876"/>
      <c r="AF66" s="876"/>
      <c r="AG66" s="876"/>
      <c r="AH66" s="876"/>
      <c r="AI66" s="876"/>
      <c r="AJ66" s="876"/>
      <c r="AK66" s="876"/>
      <c r="AL66" s="876"/>
      <c r="AM66" s="876"/>
      <c r="AN66" s="876"/>
      <c r="AO66" s="876"/>
      <c r="AP66" s="876"/>
      <c r="AQ66" s="876"/>
      <c r="AR66" s="876"/>
      <c r="AS66" s="876"/>
      <c r="AT66" s="876"/>
      <c r="AU66" s="876"/>
      <c r="AV66" s="876"/>
      <c r="AW66" s="876"/>
      <c r="AX66" s="876"/>
      <c r="AY66" s="876"/>
      <c r="AZ66" s="876"/>
      <c r="BA66" s="876"/>
      <c r="BB66" s="876"/>
      <c r="BC66" s="876"/>
      <c r="BD66" s="876"/>
      <c r="BE66" s="876"/>
      <c r="BF66" s="876"/>
      <c r="BG66" s="876"/>
      <c r="BH66" s="876"/>
      <c r="BI66" s="876"/>
      <c r="BJ66" s="876"/>
      <c r="BK66" s="876"/>
      <c r="BL66" s="876"/>
      <c r="BM66" s="876"/>
      <c r="BN66" s="876"/>
      <c r="BO66" s="876"/>
      <c r="BP66" s="876"/>
      <c r="BQ66" s="876"/>
      <c r="BR66" s="876"/>
      <c r="BS66" s="876"/>
      <c r="BT66" s="876"/>
      <c r="BU66" s="876"/>
    </row>
    <row r="67" spans="1:73">
      <c r="A67" s="876"/>
      <c r="B67" s="888">
        <f t="shared" si="5"/>
        <v>17</v>
      </c>
      <c r="C67" s="990">
        <f>(C$72=1)*$F$3
+(C$72=2)*$F$3
+(C$72=3)
+(C$72=4)
+(C$72=5)</f>
        <v>1.05</v>
      </c>
      <c r="D67" s="881">
        <v>1</v>
      </c>
      <c r="E67" s="881">
        <v>1</v>
      </c>
      <c r="F67" s="990">
        <f>(F$72=1)*$F$6
+(F$72=2)*$F$6
+(F$72=3)
+(F$72=4)
+(F$72=5)</f>
        <v>1</v>
      </c>
      <c r="G67" s="990">
        <f>(G$72=1)*$F$7
+(G$72=2)*$F$7
+(G$72=3)
+(G$72=4)
+(G$72=5)</f>
        <v>1</v>
      </c>
      <c r="H67" s="990">
        <f>(H$72=1)*$F$8
+(H$72=2)*$F$8
+(H$72=3)
+(H$72=4)
+(H$72=5)</f>
        <v>0.95</v>
      </c>
      <c r="I67" s="990">
        <f>(I$72=1)*$F$9
+(I$72=2)*$F$9
+(I$72=3)
+(I$72=4)
+(I$72=5)</f>
        <v>1</v>
      </c>
      <c r="J67" s="876"/>
      <c r="K67" s="893">
        <v>1.0560773051943011</v>
      </c>
      <c r="L67" s="894">
        <v>0</v>
      </c>
      <c r="M67" s="894">
        <v>6.2436287650985054E-4</v>
      </c>
      <c r="N67" s="894">
        <v>6.2158682062685419E-2</v>
      </c>
      <c r="O67" s="894">
        <v>8.3690851948680072E-3</v>
      </c>
      <c r="P67" s="894">
        <v>1.2571035775519232E-2</v>
      </c>
      <c r="Q67" s="894">
        <v>2.813612763656651E-3</v>
      </c>
      <c r="R67" s="894">
        <v>6.1325920526013051E-4</v>
      </c>
      <c r="S67" s="894">
        <v>7.9703038400992243E-2</v>
      </c>
      <c r="T67" s="894">
        <v>0.81583675894447782</v>
      </c>
      <c r="U67" s="894">
        <v>1.6105360824716558E-2</v>
      </c>
      <c r="V67" s="894">
        <v>1.0408505564024992E-2</v>
      </c>
      <c r="W67" s="894">
        <v>3.715504508400206E-2</v>
      </c>
      <c r="X67" s="894">
        <v>9.2981948547313439E-3</v>
      </c>
      <c r="Y67" s="894">
        <v>1.6690893958753927E-3</v>
      </c>
      <c r="Z67" s="1004"/>
      <c r="AA67" s="876"/>
      <c r="AB67" s="876"/>
      <c r="AC67" s="876"/>
      <c r="AD67" s="876"/>
      <c r="AE67" s="876"/>
      <c r="AF67" s="876"/>
      <c r="AG67" s="876"/>
      <c r="AH67" s="876"/>
      <c r="AI67" s="876"/>
      <c r="AJ67" s="876"/>
      <c r="AK67" s="876"/>
      <c r="AL67" s="876"/>
      <c r="AM67" s="876"/>
      <c r="AN67" s="876"/>
      <c r="AO67" s="876"/>
      <c r="AP67" s="876"/>
      <c r="AQ67" s="876"/>
      <c r="AR67" s="876"/>
      <c r="AS67" s="876"/>
      <c r="AT67" s="876"/>
      <c r="AU67" s="876"/>
      <c r="AV67" s="876"/>
      <c r="AW67" s="876"/>
      <c r="AX67" s="876"/>
      <c r="AY67" s="876"/>
      <c r="AZ67" s="876"/>
      <c r="BA67" s="876"/>
      <c r="BB67" s="876"/>
      <c r="BC67" s="876"/>
      <c r="BD67" s="876"/>
      <c r="BE67" s="876"/>
      <c r="BF67" s="876"/>
      <c r="BG67" s="876"/>
      <c r="BH67" s="876"/>
      <c r="BI67" s="876"/>
      <c r="BJ67" s="876"/>
      <c r="BK67" s="876"/>
      <c r="BL67" s="876"/>
      <c r="BM67" s="876"/>
      <c r="BN67" s="876"/>
      <c r="BO67" s="876"/>
      <c r="BP67" s="876"/>
      <c r="BQ67" s="876"/>
      <c r="BR67" s="876"/>
      <c r="BS67" s="876"/>
      <c r="BT67" s="876"/>
      <c r="BU67" s="876"/>
    </row>
    <row r="68" spans="1:73">
      <c r="A68" s="876"/>
      <c r="B68" s="895">
        <f t="shared" si="5"/>
        <v>18</v>
      </c>
      <c r="C68" s="990">
        <f>(C$72=1)*$F$3
+(C$72=2)*$F$3
+(C$72=3)*$F$3
+(C$72=4)
+(C$72=5)</f>
        <v>1.05</v>
      </c>
      <c r="D68" s="881">
        <v>1</v>
      </c>
      <c r="E68" s="881">
        <v>1</v>
      </c>
      <c r="F68" s="990">
        <f>(F$72=1)*$F$6
+(F$72=2)*$F$6
+(F$72=3)*$F$6
+(F$72=4)
+(F$72=5)</f>
        <v>1</v>
      </c>
      <c r="G68" s="990">
        <f>(G$72=1)*$F$7
+(G$72=2)*$F$7
+(G$72=3)*$F$7
+(G$72=4)
+(G$72=5)</f>
        <v>1</v>
      </c>
      <c r="H68" s="990">
        <f>(H$72=1)*$F$8
+(H$72=2)*$F$8
+(H$72=3)*$F$8
+(H$72=4)
+(H$72=5)</f>
        <v>0.95</v>
      </c>
      <c r="I68" s="990">
        <f>(I$72=1)*$F$9
+(I$72=2)*$F$9
+(I$72=3)*$F$9
+(I$72=4)
+(I$72=5)</f>
        <v>0.95</v>
      </c>
      <c r="J68" s="876"/>
      <c r="K68" s="893">
        <v>1.0520189119739964</v>
      </c>
      <c r="L68" s="894">
        <v>0</v>
      </c>
      <c r="M68" s="894">
        <v>6.2436287650985054E-4</v>
      </c>
      <c r="N68" s="894">
        <v>6.2158682062685419E-2</v>
      </c>
      <c r="O68" s="894">
        <v>8.3690851948680072E-3</v>
      </c>
      <c r="P68" s="894">
        <v>1.251664678595019E-2</v>
      </c>
      <c r="Q68" s="894">
        <v>2.813612763656651E-3</v>
      </c>
      <c r="R68" s="894">
        <v>6.1325920526013051E-4</v>
      </c>
      <c r="S68" s="894">
        <v>7.5717886480942617E-2</v>
      </c>
      <c r="T68" s="894">
        <v>0.81583675894447782</v>
      </c>
      <c r="U68" s="894">
        <v>1.6105360824716558E-2</v>
      </c>
      <c r="V68" s="894">
        <v>1.0408505564024992E-2</v>
      </c>
      <c r="W68" s="894">
        <v>3.715504508400206E-2</v>
      </c>
      <c r="X68" s="894">
        <v>9.2793425440457749E-3</v>
      </c>
      <c r="Y68" s="894">
        <v>1.6690893958753927E-3</v>
      </c>
      <c r="Z68" s="1004"/>
      <c r="AA68" s="876"/>
      <c r="AB68" s="876"/>
      <c r="AC68" s="876"/>
      <c r="AD68" s="876"/>
      <c r="AE68" s="876"/>
      <c r="AF68" s="876"/>
      <c r="AG68" s="876"/>
      <c r="AH68" s="876"/>
      <c r="AI68" s="876"/>
      <c r="AJ68" s="876"/>
      <c r="AK68" s="876"/>
      <c r="AL68" s="876"/>
      <c r="AM68" s="876"/>
      <c r="AN68" s="876"/>
      <c r="AO68" s="876"/>
      <c r="AP68" s="876"/>
      <c r="AQ68" s="876"/>
      <c r="AR68" s="876"/>
      <c r="AS68" s="876"/>
      <c r="AT68" s="876"/>
      <c r="AU68" s="876"/>
      <c r="AV68" s="876"/>
      <c r="AW68" s="876"/>
      <c r="AX68" s="876"/>
      <c r="AY68" s="876"/>
      <c r="AZ68" s="876"/>
      <c r="BA68" s="876"/>
      <c r="BB68" s="876"/>
      <c r="BC68" s="876"/>
      <c r="BD68" s="876"/>
      <c r="BE68" s="876"/>
      <c r="BF68" s="876"/>
      <c r="BG68" s="876"/>
      <c r="BH68" s="876"/>
      <c r="BI68" s="876"/>
      <c r="BJ68" s="876"/>
      <c r="BK68" s="876"/>
      <c r="BL68" s="876"/>
      <c r="BM68" s="876"/>
      <c r="BN68" s="876"/>
      <c r="BO68" s="876"/>
      <c r="BP68" s="876"/>
      <c r="BQ68" s="876"/>
      <c r="BR68" s="876"/>
      <c r="BS68" s="876"/>
      <c r="BT68" s="876"/>
      <c r="BU68" s="876"/>
    </row>
    <row r="69" spans="1:73">
      <c r="A69" s="876"/>
      <c r="B69" s="895">
        <f t="shared" si="5"/>
        <v>19</v>
      </c>
      <c r="C69" s="990">
        <f>(C$72=1)*$F$3
+(C$72=2)*$F$3
+(C$72=3)*$F$3
+(C$72=4)*$F$3
+(C$72=5)</f>
        <v>1.05</v>
      </c>
      <c r="D69" s="881">
        <v>1</v>
      </c>
      <c r="E69" s="881">
        <v>1</v>
      </c>
      <c r="F69" s="990">
        <f>(F$72=1)*$F$6
+(F$72=2)*$F$6
+(F$72=3)*$F$6
+(F$72=4)*$F$6
+(F$72=5)</f>
        <v>1</v>
      </c>
      <c r="G69" s="990">
        <f>(G$72=1)*$F$7
+(G$72=2)*$F$7
+(G$72=3)*$F$7
+(G$72=4)*$F$7
+(G$72=5)</f>
        <v>1</v>
      </c>
      <c r="H69" s="990">
        <f>(H$72=1)*$F$8
+(H$72=2)*$F$8
+(H$72=3)*$F$8
+(H$72=4)*$F$8
+(H$72=5)</f>
        <v>0.95</v>
      </c>
      <c r="I69" s="990">
        <f>(I$72=1)*$F$9
+(I$72=2)*$F$9
+(I$72=3)*$F$9
+(I$72=4)*$F$9
+(I$72=5)</f>
        <v>0.95</v>
      </c>
      <c r="J69" s="876"/>
      <c r="K69" s="893">
        <v>1.0520189119739964</v>
      </c>
      <c r="L69" s="894">
        <v>0</v>
      </c>
      <c r="M69" s="894">
        <v>6.2436287650985054E-4</v>
      </c>
      <c r="N69" s="894">
        <v>6.2158682062685419E-2</v>
      </c>
      <c r="O69" s="894">
        <v>8.3690851948680072E-3</v>
      </c>
      <c r="P69" s="894">
        <v>1.251664678595019E-2</v>
      </c>
      <c r="Q69" s="894">
        <v>2.813612763656651E-3</v>
      </c>
      <c r="R69" s="894">
        <v>6.1325920526013051E-4</v>
      </c>
      <c r="S69" s="894">
        <v>7.5717886480942617E-2</v>
      </c>
      <c r="T69" s="894">
        <v>0.81583675894447782</v>
      </c>
      <c r="U69" s="894">
        <v>1.6105360824716558E-2</v>
      </c>
      <c r="V69" s="894">
        <v>1.0408505564024992E-2</v>
      </c>
      <c r="W69" s="894">
        <v>3.715504508400206E-2</v>
      </c>
      <c r="X69" s="894">
        <v>9.2793425440457749E-3</v>
      </c>
      <c r="Y69" s="894">
        <v>1.6690893958753927E-3</v>
      </c>
      <c r="Z69" s="1004"/>
      <c r="AA69" s="876"/>
      <c r="AB69" s="876"/>
      <c r="AC69" s="876"/>
      <c r="AD69" s="876"/>
      <c r="AE69" s="876"/>
      <c r="AF69" s="876"/>
      <c r="AG69" s="876"/>
      <c r="AH69" s="876"/>
      <c r="AI69" s="876"/>
      <c r="AJ69" s="876"/>
      <c r="AK69" s="876"/>
      <c r="AL69" s="876"/>
      <c r="AM69" s="876"/>
      <c r="AN69" s="876"/>
      <c r="AO69" s="876"/>
      <c r="AP69" s="876"/>
      <c r="AQ69" s="876"/>
      <c r="AR69" s="876"/>
      <c r="AS69" s="876"/>
      <c r="AT69" s="876"/>
      <c r="AU69" s="876"/>
      <c r="AV69" s="876"/>
      <c r="AW69" s="876"/>
      <c r="AX69" s="876"/>
      <c r="AY69" s="876"/>
      <c r="AZ69" s="876"/>
      <c r="BA69" s="876"/>
      <c r="BB69" s="876"/>
      <c r="BC69" s="876"/>
      <c r="BD69" s="876"/>
      <c r="BE69" s="876"/>
      <c r="BF69" s="876"/>
      <c r="BG69" s="876"/>
      <c r="BH69" s="876"/>
      <c r="BI69" s="876"/>
      <c r="BJ69" s="876"/>
      <c r="BK69" s="876"/>
      <c r="BL69" s="876"/>
      <c r="BM69" s="876"/>
      <c r="BN69" s="876"/>
      <c r="BO69" s="876"/>
      <c r="BP69" s="876"/>
      <c r="BQ69" s="876"/>
      <c r="BR69" s="876"/>
      <c r="BS69" s="876"/>
      <c r="BT69" s="876"/>
      <c r="BU69" s="876"/>
    </row>
    <row r="70" spans="1:73">
      <c r="A70" s="876"/>
      <c r="B70" s="888">
        <f t="shared" si="5"/>
        <v>20</v>
      </c>
      <c r="C70" s="990">
        <f>(C$72=1)*$F$3
+(C$72=2)*$F$3
+(C$72=3)*$F$3
+(C$72=4)*$F$3
+(C$72=5)*$F$3</f>
        <v>1.05</v>
      </c>
      <c r="D70" s="881">
        <v>1</v>
      </c>
      <c r="E70" s="881">
        <v>1</v>
      </c>
      <c r="F70" s="990">
        <f>(F$72=1)*$F$6
+(F$72=2)*$F$6
+(F$72=3)*$F$6
+(F$72=4)*$F$6
+(F$72=5)*$F$6</f>
        <v>0.95</v>
      </c>
      <c r="G70" s="990">
        <f>(G$72=1)*$F$7
+(G$72=2)*$F$7
+(G$72=3)*$F$7
+(G$72=4)*$F$7
+(G$72=5)*$F$7</f>
        <v>0.95</v>
      </c>
      <c r="H70" s="990">
        <f>(H$72=1)*$F$8
+(H$72=2)*$F$8
+(H$72=3)*$F$8
+(H$72=4)*$F$8
+(H$72=5)*$F$8</f>
        <v>0.95</v>
      </c>
      <c r="I70" s="990">
        <f>(I$72=1)*$F$9
+(I$72=2)*$F$9
+(I$72=3)*$F$9
+(I$72=4)*$F$9
+(I$72=5)*$F$9</f>
        <v>0.95</v>
      </c>
      <c r="J70" s="876"/>
      <c r="K70" s="893">
        <v>1.0520189119739964</v>
      </c>
      <c r="L70" s="894">
        <v>0</v>
      </c>
      <c r="M70" s="894">
        <v>6.2436287650985054E-4</v>
      </c>
      <c r="N70" s="894">
        <v>6.2158682062685419E-2</v>
      </c>
      <c r="O70" s="894">
        <v>8.3690851948680072E-3</v>
      </c>
      <c r="P70" s="894">
        <v>1.251664678595019E-2</v>
      </c>
      <c r="Q70" s="894">
        <v>2.813612763656651E-3</v>
      </c>
      <c r="R70" s="894">
        <v>6.1325920526013051E-4</v>
      </c>
      <c r="S70" s="894">
        <v>7.5717886480942617E-2</v>
      </c>
      <c r="T70" s="894">
        <v>0.81583675894447782</v>
      </c>
      <c r="U70" s="894">
        <v>1.6105360824716558E-2</v>
      </c>
      <c r="V70" s="894">
        <v>1.0408505564024992E-2</v>
      </c>
      <c r="W70" s="894">
        <v>3.715504508400206E-2</v>
      </c>
      <c r="X70" s="894">
        <v>9.2793425440457749E-3</v>
      </c>
      <c r="Y70" s="894">
        <v>1.6690893958753927E-3</v>
      </c>
      <c r="Z70" s="1004"/>
      <c r="AA70" s="876"/>
      <c r="AB70" s="876"/>
      <c r="AC70" s="876"/>
      <c r="AD70" s="876"/>
      <c r="AE70" s="876"/>
      <c r="AF70" s="876"/>
      <c r="AG70" s="876"/>
      <c r="AH70" s="876"/>
      <c r="AI70" s="876"/>
      <c r="AJ70" s="876"/>
      <c r="AK70" s="876"/>
      <c r="AL70" s="876"/>
      <c r="AM70" s="876"/>
      <c r="AN70" s="876"/>
      <c r="AO70" s="876"/>
      <c r="AP70" s="876"/>
      <c r="AQ70" s="876"/>
      <c r="AR70" s="876"/>
      <c r="AS70" s="876"/>
      <c r="AT70" s="876"/>
      <c r="AU70" s="876"/>
      <c r="AV70" s="876"/>
      <c r="AW70" s="876"/>
      <c r="AX70" s="876"/>
      <c r="AY70" s="876"/>
      <c r="AZ70" s="876"/>
      <c r="BA70" s="876"/>
      <c r="BB70" s="876"/>
      <c r="BC70" s="876"/>
      <c r="BD70" s="876"/>
      <c r="BE70" s="876"/>
      <c r="BF70" s="876"/>
      <c r="BG70" s="876"/>
      <c r="BH70" s="876"/>
      <c r="BI70" s="876"/>
      <c r="BJ70" s="876"/>
      <c r="BK70" s="876"/>
      <c r="BL70" s="876"/>
      <c r="BM70" s="876"/>
      <c r="BN70" s="876"/>
      <c r="BO70" s="876"/>
      <c r="BP70" s="876"/>
      <c r="BQ70" s="876"/>
      <c r="BR70" s="876"/>
      <c r="BS70" s="876"/>
      <c r="BT70" s="876"/>
      <c r="BU70" s="876"/>
    </row>
    <row r="71" spans="1:73">
      <c r="A71" s="876"/>
      <c r="B71" s="876"/>
      <c r="C71" s="876"/>
      <c r="D71" s="876"/>
      <c r="E71" s="876"/>
      <c r="F71" s="876"/>
      <c r="G71" s="876"/>
      <c r="H71" s="876"/>
      <c r="I71" s="876"/>
      <c r="J71" s="876"/>
      <c r="K71" s="876"/>
      <c r="L71" s="876"/>
      <c r="M71" s="876"/>
      <c r="N71" s="876"/>
      <c r="O71" s="876"/>
      <c r="P71" s="876"/>
      <c r="Q71" s="876"/>
      <c r="R71" s="876"/>
      <c r="S71" s="876"/>
      <c r="T71" s="876"/>
      <c r="U71" s="876"/>
      <c r="V71" s="876"/>
      <c r="W71" s="876"/>
      <c r="X71" s="876"/>
      <c r="Y71" s="876"/>
      <c r="Z71" s="876"/>
      <c r="AA71" s="876"/>
      <c r="AB71" s="876"/>
      <c r="AC71" s="876"/>
      <c r="AD71" s="876"/>
      <c r="AE71" s="876"/>
      <c r="AF71" s="876"/>
      <c r="AG71" s="876"/>
      <c r="AH71" s="876"/>
      <c r="AI71" s="876"/>
      <c r="AJ71" s="876"/>
      <c r="AK71" s="876"/>
      <c r="AL71" s="876"/>
      <c r="AM71" s="876"/>
      <c r="AN71" s="876"/>
      <c r="AO71" s="876"/>
      <c r="AP71" s="876"/>
      <c r="AQ71" s="876"/>
      <c r="AR71" s="876"/>
      <c r="AS71" s="876"/>
      <c r="AT71" s="876"/>
      <c r="AU71" s="876"/>
      <c r="AV71" s="876"/>
      <c r="AW71" s="876"/>
      <c r="AX71" s="876"/>
      <c r="AY71" s="876"/>
      <c r="AZ71" s="876"/>
      <c r="BA71" s="876"/>
      <c r="BB71" s="876"/>
      <c r="BC71" s="876"/>
      <c r="BD71" s="876"/>
      <c r="BE71" s="876"/>
      <c r="BF71" s="876"/>
      <c r="BG71" s="876"/>
      <c r="BH71" s="876"/>
      <c r="BI71" s="876"/>
      <c r="BJ71" s="876"/>
      <c r="BK71" s="876"/>
      <c r="BL71" s="876"/>
      <c r="BM71" s="876"/>
      <c r="BN71" s="876"/>
      <c r="BO71" s="876"/>
      <c r="BP71" s="876"/>
      <c r="BQ71" s="876"/>
      <c r="BR71" s="876"/>
      <c r="BS71" s="876"/>
      <c r="BT71" s="876"/>
      <c r="BU71" s="876"/>
    </row>
    <row r="72" spans="1:73">
      <c r="A72" s="876"/>
      <c r="B72" s="998" t="s">
        <v>1179</v>
      </c>
      <c r="C72" s="880">
        <f>6-RANK($N$101,($N$101,$N$104:$N$107))</f>
        <v>1</v>
      </c>
      <c r="D72" s="999"/>
      <c r="E72" s="999"/>
      <c r="F72" s="880">
        <f>6-RANK($N$104,($N$101,$N$104:$N$107))</f>
        <v>5</v>
      </c>
      <c r="G72" s="880">
        <f>6-RANK($N$105,($N$101,$N$104:$N$107))</f>
        <v>5</v>
      </c>
      <c r="H72" s="880">
        <f>6-RANK($N$106,($N$101,$N$104:$N$107))</f>
        <v>2</v>
      </c>
      <c r="I72" s="880">
        <f>6-RANK($N$107,($N$101,$N$104:$N$107))</f>
        <v>3</v>
      </c>
      <c r="J72" s="876"/>
      <c r="K72" s="876"/>
      <c r="L72" s="876"/>
      <c r="M72" s="876"/>
      <c r="N72" s="876"/>
      <c r="O72" s="876"/>
      <c r="P72" s="876"/>
      <c r="Q72" s="876"/>
      <c r="R72" s="876"/>
      <c r="S72" s="876"/>
      <c r="T72" s="876"/>
      <c r="U72" s="876"/>
      <c r="V72" s="876"/>
      <c r="W72" s="876"/>
      <c r="X72" s="876"/>
      <c r="Y72" s="876"/>
      <c r="Z72" s="876"/>
      <c r="AA72" s="876"/>
      <c r="AB72" s="876"/>
      <c r="AC72" s="876"/>
      <c r="AD72" s="876"/>
      <c r="AE72" s="876"/>
      <c r="AF72" s="876"/>
      <c r="AG72" s="876"/>
      <c r="AH72" s="876"/>
      <c r="AI72" s="876"/>
      <c r="AJ72" s="876"/>
      <c r="AK72" s="876"/>
      <c r="AL72" s="876"/>
      <c r="AM72" s="876"/>
      <c r="AN72" s="876"/>
      <c r="AO72" s="876"/>
      <c r="AP72" s="876"/>
      <c r="AQ72" s="876"/>
      <c r="AR72" s="876"/>
      <c r="AS72" s="876"/>
      <c r="AT72" s="876"/>
      <c r="AU72" s="876"/>
      <c r="AV72" s="876"/>
      <c r="AW72" s="876"/>
      <c r="AX72" s="876"/>
      <c r="AY72" s="876"/>
      <c r="AZ72" s="876"/>
      <c r="BA72" s="876"/>
      <c r="BB72" s="876"/>
      <c r="BC72" s="876"/>
      <c r="BD72" s="876"/>
      <c r="BE72" s="876"/>
      <c r="BF72" s="876"/>
      <c r="BG72" s="876"/>
      <c r="BH72" s="876"/>
      <c r="BI72" s="876"/>
      <c r="BJ72" s="876"/>
      <c r="BK72" s="876"/>
      <c r="BL72" s="876"/>
      <c r="BM72" s="876"/>
      <c r="BN72" s="876"/>
      <c r="BO72" s="876"/>
      <c r="BP72" s="876"/>
      <c r="BQ72" s="876"/>
      <c r="BR72" s="876"/>
      <c r="BS72" s="876"/>
      <c r="BT72" s="876"/>
      <c r="BU72" s="876"/>
    </row>
    <row r="73" spans="1:73">
      <c r="A73" s="876"/>
      <c r="B73" s="876"/>
      <c r="C73" s="876"/>
      <c r="D73" s="876"/>
      <c r="E73" s="876"/>
      <c r="F73" s="876"/>
      <c r="G73" s="876"/>
      <c r="H73" s="876"/>
      <c r="I73" s="876"/>
      <c r="J73" s="876"/>
      <c r="K73" s="876"/>
      <c r="L73" s="876"/>
      <c r="M73" s="876"/>
      <c r="N73" s="876"/>
      <c r="O73" s="876"/>
      <c r="P73" s="876"/>
      <c r="Q73" s="876"/>
      <c r="R73" s="876"/>
      <c r="S73" s="876"/>
      <c r="T73" s="876"/>
      <c r="U73" s="876"/>
      <c r="V73" s="876"/>
      <c r="W73" s="876"/>
      <c r="X73" s="876"/>
      <c r="Y73" s="876"/>
      <c r="Z73" s="876"/>
      <c r="AA73" s="876"/>
      <c r="AB73" s="876"/>
      <c r="AC73" s="876"/>
      <c r="AD73" s="876"/>
      <c r="AE73" s="876"/>
      <c r="AF73" s="876"/>
      <c r="AG73" s="876"/>
      <c r="AH73" s="876"/>
      <c r="AI73" s="876"/>
      <c r="AJ73" s="876"/>
      <c r="AK73" s="876"/>
      <c r="AL73" s="876"/>
      <c r="AM73" s="876"/>
      <c r="AN73" s="876"/>
      <c r="AO73" s="876"/>
      <c r="AP73" s="876"/>
      <c r="AQ73" s="876"/>
      <c r="AR73" s="876"/>
      <c r="AS73" s="876"/>
      <c r="AT73" s="876"/>
      <c r="AU73" s="876"/>
      <c r="AV73" s="876"/>
      <c r="AW73" s="876"/>
      <c r="AX73" s="876"/>
      <c r="AY73" s="876"/>
      <c r="AZ73" s="876"/>
      <c r="BA73" s="876"/>
      <c r="BB73" s="876"/>
      <c r="BC73" s="876"/>
      <c r="BD73" s="876"/>
      <c r="BE73" s="876"/>
      <c r="BF73" s="876"/>
      <c r="BG73" s="876"/>
      <c r="BH73" s="876"/>
      <c r="BI73" s="876"/>
      <c r="BJ73" s="876"/>
      <c r="BK73" s="876"/>
      <c r="BL73" s="876"/>
      <c r="BM73" s="876"/>
      <c r="BN73" s="876"/>
      <c r="BO73" s="876"/>
      <c r="BP73" s="876"/>
      <c r="BQ73" s="876"/>
      <c r="BR73" s="876"/>
      <c r="BS73" s="876"/>
      <c r="BT73" s="876"/>
      <c r="BU73" s="876"/>
    </row>
    <row r="74" spans="1:73">
      <c r="A74" s="876"/>
      <c r="B74" s="878" t="s">
        <v>1143</v>
      </c>
      <c r="C74" s="876"/>
      <c r="D74" s="876"/>
      <c r="E74" s="876"/>
      <c r="F74" s="876"/>
      <c r="G74" s="876"/>
      <c r="H74" s="876"/>
      <c r="I74" s="876"/>
      <c r="J74" s="876"/>
      <c r="K74" s="876"/>
      <c r="L74" s="876"/>
      <c r="M74" s="876"/>
      <c r="N74" s="876"/>
      <c r="O74" s="876"/>
      <c r="P74" s="876"/>
      <c r="Q74" s="876"/>
      <c r="R74" s="876"/>
      <c r="S74" s="876"/>
      <c r="T74" s="876"/>
      <c r="U74" s="876"/>
      <c r="V74" s="876"/>
      <c r="W74" s="876"/>
      <c r="X74" s="876"/>
      <c r="Y74" s="876"/>
      <c r="Z74" s="876"/>
      <c r="AA74" s="876"/>
      <c r="AB74" s="876"/>
      <c r="AC74" s="876"/>
      <c r="AD74" s="876"/>
      <c r="AE74" s="876"/>
      <c r="AF74" s="876"/>
      <c r="AG74" s="876"/>
      <c r="AH74" s="876"/>
      <c r="AI74" s="876"/>
      <c r="AJ74" s="876"/>
      <c r="AK74" s="876"/>
      <c r="AL74" s="876"/>
      <c r="AM74" s="876"/>
      <c r="AN74" s="876"/>
      <c r="AO74" s="876"/>
      <c r="AP74" s="876"/>
      <c r="AQ74" s="876"/>
      <c r="AR74" s="876"/>
      <c r="AS74" s="876"/>
      <c r="AT74" s="876"/>
      <c r="AU74" s="876"/>
      <c r="AV74" s="876"/>
      <c r="AW74" s="876"/>
      <c r="AX74" s="876"/>
      <c r="AY74" s="876"/>
      <c r="AZ74" s="876"/>
      <c r="BA74" s="876"/>
      <c r="BB74" s="876"/>
      <c r="BC74" s="876"/>
      <c r="BD74" s="876"/>
      <c r="BE74" s="876"/>
      <c r="BF74" s="876"/>
      <c r="BG74" s="876"/>
      <c r="BH74" s="876"/>
      <c r="BI74" s="876"/>
      <c r="BJ74" s="876"/>
      <c r="BK74" s="876"/>
      <c r="BL74" s="876"/>
      <c r="BM74" s="876"/>
      <c r="BN74" s="876"/>
      <c r="BO74" s="876"/>
      <c r="BP74" s="876"/>
      <c r="BQ74" s="876"/>
      <c r="BR74" s="876"/>
      <c r="BS74" s="876"/>
      <c r="BT74" s="876"/>
      <c r="BU74" s="876"/>
    </row>
    <row r="75" spans="1:73">
      <c r="A75" s="876"/>
      <c r="B75" s="876"/>
      <c r="C75" s="876"/>
      <c r="D75" s="876"/>
      <c r="E75" s="876"/>
      <c r="F75" s="876"/>
      <c r="G75" s="876"/>
      <c r="H75" s="876"/>
      <c r="I75" s="876"/>
      <c r="J75" s="876"/>
      <c r="K75" s="876"/>
      <c r="L75" s="876"/>
      <c r="M75" s="876"/>
      <c r="N75" s="876"/>
      <c r="O75" s="876"/>
      <c r="P75" s="876"/>
      <c r="Q75" s="876"/>
      <c r="R75" s="876"/>
      <c r="S75" s="876"/>
      <c r="T75" s="876"/>
      <c r="U75" s="876"/>
      <c r="V75" s="876"/>
      <c r="W75" s="876"/>
      <c r="X75" s="876"/>
      <c r="Y75" s="876"/>
      <c r="Z75" s="876"/>
      <c r="AA75" s="876"/>
      <c r="AB75" s="876"/>
      <c r="AC75" s="876"/>
      <c r="AD75" s="876"/>
      <c r="AE75" s="876"/>
      <c r="AF75" s="876"/>
      <c r="AG75" s="876"/>
      <c r="AH75" s="876"/>
      <c r="AI75" s="876"/>
      <c r="AJ75" s="876"/>
      <c r="AK75" s="876"/>
      <c r="AL75" s="876"/>
      <c r="AM75" s="876"/>
      <c r="AN75" s="876"/>
      <c r="AO75" s="876"/>
      <c r="AP75" s="876"/>
      <c r="AQ75" s="876"/>
      <c r="AR75" s="876"/>
      <c r="AS75" s="876"/>
      <c r="AT75" s="876"/>
      <c r="AU75" s="876"/>
      <c r="AV75" s="876"/>
      <c r="AW75" s="876"/>
      <c r="AX75" s="876"/>
      <c r="AY75" s="876"/>
      <c r="AZ75" s="876"/>
      <c r="BA75" s="876"/>
      <c r="BB75" s="876"/>
      <c r="BC75" s="876"/>
      <c r="BD75" s="876"/>
      <c r="BE75" s="876"/>
      <c r="BF75" s="876"/>
      <c r="BG75" s="876"/>
      <c r="BH75" s="876"/>
      <c r="BI75" s="876"/>
      <c r="BJ75" s="876"/>
      <c r="BK75" s="876"/>
      <c r="BL75" s="876"/>
      <c r="BM75" s="876"/>
      <c r="BN75" s="876"/>
      <c r="BO75" s="876"/>
      <c r="BP75" s="876"/>
      <c r="BQ75" s="876"/>
      <c r="BR75" s="876"/>
      <c r="BS75" s="876"/>
      <c r="BT75" s="876"/>
      <c r="BU75" s="876"/>
    </row>
    <row r="76" spans="1:73" ht="56">
      <c r="A76" s="876"/>
      <c r="B76" s="887" t="s">
        <v>1140</v>
      </c>
      <c r="C76" s="887" t="s">
        <v>1141</v>
      </c>
      <c r="D76" s="887" t="s">
        <v>1142</v>
      </c>
      <c r="E76" s="887" t="s">
        <v>1129</v>
      </c>
      <c r="F76" s="887" t="s">
        <v>1130</v>
      </c>
      <c r="G76" s="887" t="s">
        <v>990</v>
      </c>
      <c r="H76" s="887" t="s">
        <v>122</v>
      </c>
      <c r="I76" s="887" t="s">
        <v>123</v>
      </c>
      <c r="J76" s="887" t="s">
        <v>1168</v>
      </c>
      <c r="K76" s="887" t="s">
        <v>135</v>
      </c>
      <c r="L76" s="887" t="s">
        <v>84</v>
      </c>
      <c r="M76" s="887" t="s">
        <v>136</v>
      </c>
      <c r="N76" s="887" t="s">
        <v>1128</v>
      </c>
      <c r="O76" s="887" t="s">
        <v>137</v>
      </c>
      <c r="P76" s="887" t="s">
        <v>138</v>
      </c>
      <c r="Q76" s="887" t="s">
        <v>139</v>
      </c>
      <c r="R76" s="887" t="s">
        <v>1134</v>
      </c>
      <c r="S76" s="887" t="s">
        <v>45</v>
      </c>
      <c r="T76" s="876"/>
      <c r="U76" s="876"/>
      <c r="V76" s="876"/>
      <c r="W76" s="876"/>
      <c r="X76" s="876"/>
      <c r="Y76" s="876"/>
      <c r="Z76" s="876"/>
      <c r="AA76" s="876"/>
      <c r="AB76" s="876"/>
      <c r="AC76" s="876"/>
      <c r="AD76" s="876"/>
      <c r="AE76" s="876"/>
      <c r="AF76" s="876"/>
      <c r="AG76" s="876"/>
      <c r="AH76" s="876"/>
      <c r="AI76" s="876"/>
      <c r="AJ76" s="876"/>
      <c r="AK76" s="876"/>
      <c r="AL76" s="876"/>
      <c r="AM76" s="876"/>
      <c r="AN76" s="876"/>
      <c r="AO76" s="876"/>
      <c r="AP76" s="876"/>
      <c r="AQ76" s="876"/>
      <c r="AR76" s="876"/>
      <c r="AS76" s="876"/>
      <c r="AT76" s="876"/>
      <c r="AU76" s="876"/>
      <c r="AV76" s="876"/>
      <c r="AW76" s="876"/>
      <c r="AX76" s="876"/>
      <c r="AY76" s="876"/>
      <c r="AZ76" s="876"/>
      <c r="BA76" s="876"/>
      <c r="BB76" s="876"/>
      <c r="BC76" s="876"/>
      <c r="BD76" s="876"/>
      <c r="BE76" s="876"/>
      <c r="BF76" s="876"/>
      <c r="BG76" s="876"/>
      <c r="BH76" s="876"/>
      <c r="BI76" s="876"/>
      <c r="BJ76" s="876"/>
      <c r="BK76" s="876"/>
      <c r="BL76" s="876"/>
      <c r="BM76" s="876"/>
      <c r="BN76" s="876"/>
      <c r="BO76" s="876"/>
      <c r="BP76" s="876"/>
      <c r="BQ76" s="876"/>
      <c r="BR76" s="876"/>
      <c r="BS76" s="876"/>
      <c r="BT76" s="876"/>
      <c r="BU76" s="876"/>
    </row>
    <row r="77" spans="1:73">
      <c r="A77" s="876"/>
      <c r="B77" s="880" t="str">
        <f>+$B$3</f>
        <v>Operating Capacity Factor</v>
      </c>
      <c r="C77" s="889">
        <f ca="1">+H3</f>
        <v>0.94500000000000006</v>
      </c>
      <c r="D77" s="889" t="str">
        <f ca="1">+B77&amp;" = "&amp;C77*100&amp;"%"</f>
        <v>Operating Capacity Factor = 94.5%</v>
      </c>
      <c r="E77" s="892">
        <f t="shared" ref="E77:S77" si="6">+K52</f>
        <v>1.0633569922594281</v>
      </c>
      <c r="F77" s="892">
        <f t="shared" si="6"/>
        <v>0</v>
      </c>
      <c r="G77" s="892">
        <f t="shared" si="6"/>
        <v>6.5722408053668516E-4</v>
      </c>
      <c r="H77" s="892">
        <f t="shared" si="6"/>
        <v>6.5489425597851147E-2</v>
      </c>
      <c r="I77" s="892">
        <f t="shared" si="6"/>
        <v>8.3690851948680072E-3</v>
      </c>
      <c r="J77" s="892">
        <f t="shared" si="6"/>
        <v>1.2594272456799699E-2</v>
      </c>
      <c r="K77" s="892">
        <f t="shared" si="6"/>
        <v>2.813612763656651E-3</v>
      </c>
      <c r="L77" s="892">
        <f t="shared" si="6"/>
        <v>6.4612040928696502E-4</v>
      </c>
      <c r="M77" s="892">
        <f t="shared" si="6"/>
        <v>8.1405620224154401E-2</v>
      </c>
      <c r="N77" s="892">
        <f t="shared" si="6"/>
        <v>0.81583675894447782</v>
      </c>
      <c r="O77" s="892">
        <f t="shared" si="6"/>
        <v>1.6105360824716558E-2</v>
      </c>
      <c r="P77" s="892">
        <f t="shared" si="6"/>
        <v>1.0408505564024992E-2</v>
      </c>
      <c r="Q77" s="892">
        <f t="shared" si="6"/>
        <v>3.9145980575322918E-2</v>
      </c>
      <c r="R77" s="892">
        <f t="shared" si="6"/>
        <v>9.4409470242617019E-3</v>
      </c>
      <c r="S77" s="892">
        <f t="shared" si="6"/>
        <v>1.7585267605434406E-3</v>
      </c>
      <c r="T77" s="876"/>
      <c r="U77" s="876"/>
      <c r="V77" s="876"/>
      <c r="W77" s="876"/>
      <c r="X77" s="876"/>
      <c r="Y77" s="876"/>
      <c r="Z77" s="876"/>
      <c r="AA77" s="876"/>
      <c r="AB77" s="876"/>
      <c r="AC77" s="876"/>
      <c r="AD77" s="876"/>
      <c r="AE77" s="876"/>
      <c r="AF77" s="876"/>
      <c r="AG77" s="876"/>
      <c r="AH77" s="876"/>
      <c r="AI77" s="876"/>
      <c r="AJ77" s="876"/>
      <c r="AK77" s="876"/>
      <c r="AL77" s="876"/>
      <c r="AM77" s="876"/>
      <c r="AN77" s="876"/>
      <c r="AO77" s="876"/>
      <c r="AP77" s="876"/>
      <c r="AQ77" s="876"/>
      <c r="AR77" s="876"/>
      <c r="AS77" s="876"/>
      <c r="AT77" s="876"/>
      <c r="AU77" s="876"/>
      <c r="AV77" s="876"/>
      <c r="AW77" s="876"/>
      <c r="AX77" s="876"/>
      <c r="AY77" s="876"/>
      <c r="AZ77" s="876"/>
      <c r="BA77" s="876"/>
      <c r="BB77" s="876"/>
      <c r="BC77" s="876"/>
      <c r="BD77" s="876"/>
      <c r="BE77" s="876"/>
      <c r="BF77" s="876"/>
      <c r="BG77" s="876"/>
      <c r="BH77" s="876"/>
      <c r="BI77" s="876"/>
      <c r="BJ77" s="876"/>
      <c r="BK77" s="876"/>
      <c r="BL77" s="876"/>
      <c r="BM77" s="876"/>
      <c r="BN77" s="876"/>
      <c r="BO77" s="876"/>
      <c r="BP77" s="876"/>
      <c r="BQ77" s="876"/>
      <c r="BR77" s="876"/>
      <c r="BS77" s="876"/>
      <c r="BT77" s="876"/>
      <c r="BU77" s="876"/>
    </row>
    <row r="78" spans="1:73">
      <c r="A78" s="876"/>
      <c r="B78" s="880" t="str">
        <f>+$B$3</f>
        <v>Operating Capacity Factor</v>
      </c>
      <c r="C78" s="889">
        <f ca="1">+C3</f>
        <v>0.9</v>
      </c>
      <c r="D78" s="880" t="str">
        <f ca="1">+B78&amp;" = "&amp;C78*100&amp;"%"</f>
        <v>Operating Capacity Factor = 90%</v>
      </c>
      <c r="E78" s="892">
        <f t="shared" ref="E78:S78" si="7">+K$51</f>
        <v>1.0744589135139428</v>
      </c>
      <c r="F78" s="892">
        <f t="shared" si="7"/>
        <v>0</v>
      </c>
      <c r="G78" s="892">
        <f t="shared" si="7"/>
        <v>6.9008528456351935E-4</v>
      </c>
      <c r="H78" s="892">
        <f t="shared" si="7"/>
        <v>6.8763896877743688E-2</v>
      </c>
      <c r="I78" s="892">
        <f t="shared" si="7"/>
        <v>8.787539454611408E-3</v>
      </c>
      <c r="J78" s="892">
        <f t="shared" si="7"/>
        <v>1.2660876684470445E-2</v>
      </c>
      <c r="K78" s="892">
        <f t="shared" si="7"/>
        <v>2.9542934018394833E-3</v>
      </c>
      <c r="L78" s="892">
        <f t="shared" si="7"/>
        <v>6.784264297513133E-4</v>
      </c>
      <c r="M78" s="892">
        <f t="shared" si="7"/>
        <v>8.5475901235362126E-2</v>
      </c>
      <c r="N78" s="892">
        <f t="shared" si="7"/>
        <v>0.81583675894447782</v>
      </c>
      <c r="O78" s="892">
        <f t="shared" si="7"/>
        <v>1.6910628865952383E-2</v>
      </c>
      <c r="P78" s="892">
        <f t="shared" si="7"/>
        <v>1.0413134795616728E-2</v>
      </c>
      <c r="Q78" s="892">
        <f t="shared" si="7"/>
        <v>4.1103279604089063E-2</v>
      </c>
      <c r="R78" s="892">
        <f t="shared" si="7"/>
        <v>9.7178094060207474E-3</v>
      </c>
      <c r="S78" s="892">
        <f t="shared" si="7"/>
        <v>1.8464530985706127E-3</v>
      </c>
      <c r="T78" s="876"/>
      <c r="U78" s="876"/>
      <c r="V78" s="876"/>
      <c r="W78" s="876"/>
      <c r="X78" s="876"/>
      <c r="Y78" s="876"/>
      <c r="Z78" s="876"/>
      <c r="AA78" s="876"/>
      <c r="AB78" s="876"/>
      <c r="AC78" s="876"/>
      <c r="AD78" s="876"/>
      <c r="AE78" s="876"/>
      <c r="AF78" s="876"/>
      <c r="AG78" s="876"/>
      <c r="AH78" s="876"/>
      <c r="AI78" s="876"/>
      <c r="AJ78" s="876"/>
      <c r="AK78" s="876"/>
      <c r="AL78" s="876"/>
      <c r="AM78" s="876"/>
      <c r="AN78" s="876"/>
      <c r="AO78" s="876"/>
      <c r="AP78" s="876"/>
      <c r="AQ78" s="876"/>
      <c r="AR78" s="876"/>
      <c r="AS78" s="876"/>
      <c r="AT78" s="876"/>
      <c r="AU78" s="876"/>
      <c r="AV78" s="876"/>
      <c r="AW78" s="876"/>
      <c r="AX78" s="876"/>
      <c r="AY78" s="876"/>
      <c r="AZ78" s="876"/>
      <c r="BA78" s="876"/>
      <c r="BB78" s="876"/>
      <c r="BC78" s="876"/>
      <c r="BD78" s="876"/>
      <c r="BE78" s="876"/>
      <c r="BF78" s="876"/>
      <c r="BG78" s="876"/>
      <c r="BH78" s="876"/>
      <c r="BI78" s="876"/>
      <c r="BJ78" s="876"/>
      <c r="BK78" s="876"/>
      <c r="BL78" s="876"/>
      <c r="BM78" s="876"/>
      <c r="BN78" s="876"/>
      <c r="BO78" s="876"/>
      <c r="BP78" s="876"/>
      <c r="BQ78" s="876"/>
      <c r="BR78" s="876"/>
      <c r="BS78" s="876"/>
      <c r="BT78" s="876"/>
      <c r="BU78" s="876"/>
    </row>
    <row r="79" spans="1:73">
      <c r="A79" s="876"/>
      <c r="B79" s="880" t="str">
        <f>+$B$3</f>
        <v>Operating Capacity Factor</v>
      </c>
      <c r="C79" s="889">
        <f ca="1">+I3</f>
        <v>0.85499999999999998</v>
      </c>
      <c r="D79" s="880" t="str">
        <f ca="1">+B79&amp;" = "&amp;C79*100&amp;"%"</f>
        <v>Operating Capacity Factor = 85.5%</v>
      </c>
      <c r="E79" s="892">
        <f t="shared" ref="E79:S80" si="8">+K53</f>
        <v>1.086729458058407</v>
      </c>
      <c r="F79" s="892">
        <f t="shared" si="8"/>
        <v>0</v>
      </c>
      <c r="G79" s="892">
        <f t="shared" si="8"/>
        <v>7.2640556269844151E-4</v>
      </c>
      <c r="H79" s="892">
        <f t="shared" si="8"/>
        <v>7.2383049344993358E-2</v>
      </c>
      <c r="I79" s="892">
        <f t="shared" si="8"/>
        <v>9.2500415311699037E-3</v>
      </c>
      <c r="J79" s="892">
        <f t="shared" si="8"/>
        <v>1.273449188347495E-2</v>
      </c>
      <c r="K79" s="892">
        <f t="shared" si="8"/>
        <v>3.1097825282520876E-3</v>
      </c>
      <c r="L79" s="892">
        <f t="shared" si="8"/>
        <v>7.1413308394875077E-4</v>
      </c>
      <c r="M79" s="892">
        <f t="shared" si="8"/>
        <v>8.9974632879328553E-2</v>
      </c>
      <c r="N79" s="892">
        <f t="shared" si="8"/>
        <v>0.81583675894447771</v>
      </c>
      <c r="O79" s="892">
        <f t="shared" si="8"/>
        <v>1.7800661964160403E-2</v>
      </c>
      <c r="P79" s="892">
        <f t="shared" si="8"/>
        <v>1.0418251314744439E-2</v>
      </c>
      <c r="Q79" s="892">
        <f t="shared" si="8"/>
        <v>4.3266610109567442E-2</v>
      </c>
      <c r="R79" s="892">
        <f t="shared" si="8"/>
        <v>1.002381519638602E-2</v>
      </c>
      <c r="S79" s="892">
        <f t="shared" si="8"/>
        <v>1.9436348406006447E-3</v>
      </c>
      <c r="T79" s="876"/>
      <c r="U79" s="876"/>
      <c r="V79" s="876"/>
      <c r="W79" s="876"/>
      <c r="X79" s="876"/>
      <c r="Y79" s="876"/>
      <c r="Z79" s="876"/>
      <c r="AA79" s="876"/>
      <c r="AB79" s="876"/>
      <c r="AC79" s="876"/>
      <c r="AD79" s="876"/>
      <c r="AE79" s="876"/>
      <c r="AF79" s="876"/>
      <c r="AG79" s="876"/>
      <c r="AH79" s="876"/>
      <c r="AI79" s="876"/>
      <c r="AJ79" s="876"/>
      <c r="AK79" s="876"/>
      <c r="AL79" s="876"/>
      <c r="AM79" s="876"/>
      <c r="AN79" s="876"/>
      <c r="AO79" s="876"/>
      <c r="AP79" s="876"/>
      <c r="AQ79" s="876"/>
      <c r="AR79" s="876"/>
      <c r="AS79" s="876"/>
      <c r="AT79" s="876"/>
      <c r="AU79" s="876"/>
      <c r="AV79" s="876"/>
      <c r="AW79" s="876"/>
      <c r="AX79" s="876"/>
      <c r="AY79" s="876"/>
      <c r="AZ79" s="876"/>
      <c r="BA79" s="876"/>
      <c r="BB79" s="876"/>
      <c r="BC79" s="876"/>
      <c r="BD79" s="876"/>
      <c r="BE79" s="876"/>
      <c r="BF79" s="876"/>
      <c r="BG79" s="876"/>
      <c r="BH79" s="876"/>
      <c r="BI79" s="876"/>
      <c r="BJ79" s="876"/>
      <c r="BK79" s="876"/>
      <c r="BL79" s="876"/>
      <c r="BM79" s="876"/>
      <c r="BN79" s="876"/>
      <c r="BO79" s="876"/>
      <c r="BP79" s="876"/>
      <c r="BQ79" s="876"/>
      <c r="BR79" s="876"/>
      <c r="BS79" s="876"/>
      <c r="BT79" s="876"/>
      <c r="BU79" s="876"/>
    </row>
    <row r="80" spans="1:73">
      <c r="A80" s="876"/>
      <c r="B80" s="880" t="str">
        <f>+$B$4</f>
        <v>Plant Design Capacity (kg of H2/day)</v>
      </c>
      <c r="C80" s="897">
        <f ca="1">ROUND(H4,0)</f>
        <v>507175</v>
      </c>
      <c r="D80" s="880" t="str">
        <f ca="1">+B80&amp;" = "&amp;TEXT(C80,"0,000")</f>
        <v>Plant Design Capacity (kg of H2/day) = 507,175</v>
      </c>
      <c r="E80" s="892">
        <f t="shared" si="8"/>
        <v>1.0690889287242045</v>
      </c>
      <c r="F80" s="892">
        <f t="shared" si="8"/>
        <v>0</v>
      </c>
      <c r="G80" s="892">
        <f t="shared" si="8"/>
        <v>6.7244364172669652E-4</v>
      </c>
      <c r="H80" s="892">
        <f t="shared" si="8"/>
        <v>6.7001897275975511E-2</v>
      </c>
      <c r="I80" s="892">
        <f t="shared" si="8"/>
        <v>8.5623683732360158E-3</v>
      </c>
      <c r="J80" s="892">
        <f t="shared" si="8"/>
        <v>1.2632944023657919E-2</v>
      </c>
      <c r="K80" s="892">
        <f t="shared" si="8"/>
        <v>2.8889915173708064E-3</v>
      </c>
      <c r="L80" s="892">
        <f t="shared" si="8"/>
        <v>6.6104249496390399E-4</v>
      </c>
      <c r="M80" s="892">
        <f t="shared" si="8"/>
        <v>8.3429238891546659E-2</v>
      </c>
      <c r="N80" s="892">
        <f t="shared" si="8"/>
        <v>0.81583675894447782</v>
      </c>
      <c r="O80" s="892">
        <f t="shared" si="8"/>
        <v>1.6910628865952387E-2</v>
      </c>
      <c r="P80" s="892">
        <f t="shared" si="8"/>
        <v>1.041313479561673E-2</v>
      </c>
      <c r="Q80" s="892">
        <f t="shared" si="8"/>
        <v>4.0050053047971476E-2</v>
      </c>
      <c r="R80" s="892">
        <f t="shared" si="8"/>
        <v>9.5751743764692972E-3</v>
      </c>
      <c r="S80" s="892">
        <f t="shared" si="8"/>
        <v>1.7991397586918469E-3</v>
      </c>
      <c r="T80" s="876"/>
      <c r="U80" s="876"/>
      <c r="V80" s="876"/>
      <c r="W80" s="876"/>
      <c r="X80" s="876"/>
      <c r="Y80" s="876"/>
      <c r="Z80" s="876"/>
      <c r="AA80" s="876"/>
      <c r="AB80" s="876"/>
      <c r="AC80" s="876"/>
      <c r="AD80" s="876"/>
      <c r="AE80" s="876"/>
      <c r="AF80" s="876"/>
      <c r="AG80" s="876"/>
      <c r="AH80" s="876"/>
      <c r="AI80" s="876"/>
      <c r="AJ80" s="876"/>
      <c r="AK80" s="876"/>
      <c r="AL80" s="876"/>
      <c r="AM80" s="876"/>
      <c r="AN80" s="876"/>
      <c r="AO80" s="876"/>
      <c r="AP80" s="876"/>
      <c r="AQ80" s="876"/>
      <c r="AR80" s="876"/>
      <c r="AS80" s="876"/>
      <c r="AT80" s="876"/>
      <c r="AU80" s="876"/>
      <c r="AV80" s="876"/>
      <c r="AW80" s="876"/>
      <c r="AX80" s="876"/>
      <c r="AY80" s="876"/>
      <c r="AZ80" s="876"/>
      <c r="BA80" s="876"/>
      <c r="BB80" s="876"/>
      <c r="BC80" s="876"/>
      <c r="BD80" s="876"/>
      <c r="BE80" s="876"/>
      <c r="BF80" s="876"/>
      <c r="BG80" s="876"/>
      <c r="BH80" s="876"/>
      <c r="BI80" s="876"/>
      <c r="BJ80" s="876"/>
      <c r="BK80" s="876"/>
      <c r="BL80" s="876"/>
      <c r="BM80" s="876"/>
      <c r="BN80" s="876"/>
      <c r="BO80" s="876"/>
      <c r="BP80" s="876"/>
      <c r="BQ80" s="876"/>
      <c r="BR80" s="876"/>
      <c r="BS80" s="876"/>
      <c r="BT80" s="876"/>
      <c r="BU80" s="876"/>
    </row>
    <row r="81" spans="1:73">
      <c r="A81" s="876"/>
      <c r="B81" s="880" t="str">
        <f>+$B$4</f>
        <v>Plant Design Capacity (kg of H2/day)</v>
      </c>
      <c r="C81" s="897">
        <f ca="1">+ROUND(C4,0)</f>
        <v>483024</v>
      </c>
      <c r="D81" s="880" t="str">
        <f ca="1">+B81&amp;" = "&amp;TEXT(C81,"0,000")</f>
        <v>Plant Design Capacity (kg of H2/day) = 483,024</v>
      </c>
      <c r="E81" s="892">
        <f t="shared" ref="E81:S81" si="9">+K$51</f>
        <v>1.0744589135139428</v>
      </c>
      <c r="F81" s="892">
        <f t="shared" si="9"/>
        <v>0</v>
      </c>
      <c r="G81" s="892">
        <f t="shared" si="9"/>
        <v>6.9008528456351935E-4</v>
      </c>
      <c r="H81" s="892">
        <f t="shared" si="9"/>
        <v>6.8763896877743688E-2</v>
      </c>
      <c r="I81" s="892">
        <f t="shared" si="9"/>
        <v>8.787539454611408E-3</v>
      </c>
      <c r="J81" s="892">
        <f t="shared" si="9"/>
        <v>1.2660876684470445E-2</v>
      </c>
      <c r="K81" s="892">
        <f t="shared" si="9"/>
        <v>2.9542934018394833E-3</v>
      </c>
      <c r="L81" s="892">
        <f t="shared" si="9"/>
        <v>6.784264297513133E-4</v>
      </c>
      <c r="M81" s="892">
        <f t="shared" si="9"/>
        <v>8.5475901235362126E-2</v>
      </c>
      <c r="N81" s="892">
        <f t="shared" si="9"/>
        <v>0.81583675894447782</v>
      </c>
      <c r="O81" s="892">
        <f t="shared" si="9"/>
        <v>1.6910628865952383E-2</v>
      </c>
      <c r="P81" s="892">
        <f t="shared" si="9"/>
        <v>1.0413134795616728E-2</v>
      </c>
      <c r="Q81" s="892">
        <f t="shared" si="9"/>
        <v>4.1103279604089063E-2</v>
      </c>
      <c r="R81" s="892">
        <f t="shared" si="9"/>
        <v>9.7178094060207474E-3</v>
      </c>
      <c r="S81" s="892">
        <f t="shared" si="9"/>
        <v>1.8464530985706127E-3</v>
      </c>
      <c r="T81" s="876"/>
      <c r="U81" s="876"/>
      <c r="V81" s="876"/>
      <c r="W81" s="876"/>
      <c r="X81" s="876"/>
      <c r="Y81" s="876"/>
      <c r="Z81" s="876"/>
      <c r="AA81" s="876"/>
      <c r="AB81" s="876"/>
      <c r="AC81" s="876"/>
      <c r="AD81" s="876"/>
      <c r="AE81" s="876"/>
      <c r="AF81" s="876"/>
      <c r="AG81" s="876"/>
      <c r="AH81" s="876"/>
      <c r="AI81" s="876"/>
      <c r="AJ81" s="876"/>
      <c r="AK81" s="876"/>
      <c r="AL81" s="876"/>
      <c r="AM81" s="876"/>
      <c r="AN81" s="876"/>
      <c r="AO81" s="876"/>
      <c r="AP81" s="876"/>
      <c r="AQ81" s="876"/>
      <c r="AR81" s="876"/>
      <c r="AS81" s="876"/>
      <c r="AT81" s="876"/>
      <c r="AU81" s="876"/>
      <c r="AV81" s="876"/>
      <c r="AW81" s="876"/>
      <c r="AX81" s="876"/>
      <c r="AY81" s="876"/>
      <c r="AZ81" s="876"/>
      <c r="BA81" s="876"/>
      <c r="BB81" s="876"/>
      <c r="BC81" s="876"/>
      <c r="BD81" s="876"/>
      <c r="BE81" s="876"/>
      <c r="BF81" s="876"/>
      <c r="BG81" s="876"/>
      <c r="BH81" s="876"/>
      <c r="BI81" s="876"/>
      <c r="BJ81" s="876"/>
      <c r="BK81" s="876"/>
      <c r="BL81" s="876"/>
      <c r="BM81" s="876"/>
      <c r="BN81" s="876"/>
      <c r="BO81" s="876"/>
      <c r="BP81" s="876"/>
      <c r="BQ81" s="876"/>
      <c r="BR81" s="876"/>
      <c r="BS81" s="876"/>
      <c r="BT81" s="876"/>
      <c r="BU81" s="876"/>
    </row>
    <row r="82" spans="1:73">
      <c r="A82" s="876"/>
      <c r="B82" s="880" t="str">
        <f>+$B$4</f>
        <v>Plant Design Capacity (kg of H2/day)</v>
      </c>
      <c r="C82" s="897">
        <f ca="1">ROUND(I4,0)</f>
        <v>458873</v>
      </c>
      <c r="D82" s="880" t="str">
        <f ca="1">+B82&amp;" = "&amp;TEXT(C82,"0,000")</f>
        <v>Plant Design Capacity (kg of H2/day) = 458,873</v>
      </c>
      <c r="E82" s="892">
        <f t="shared" ref="E82:S83" si="10">+K55</f>
        <v>1.0802823484766917</v>
      </c>
      <c r="F82" s="892">
        <f t="shared" si="10"/>
        <v>0</v>
      </c>
      <c r="G82" s="892">
        <f t="shared" si="10"/>
        <v>7.0922304609817707E-4</v>
      </c>
      <c r="H82" s="892">
        <f t="shared" si="10"/>
        <v>7.0675505389399054E-2</v>
      </c>
      <c r="I82" s="892">
        <f t="shared" si="10"/>
        <v>9.0318294960528983E-3</v>
      </c>
      <c r="J82" s="892">
        <f t="shared" si="10"/>
        <v>1.2691155706758096E-2</v>
      </c>
      <c r="K82" s="892">
        <f t="shared" si="10"/>
        <v>3.0246817378396331E-3</v>
      </c>
      <c r="L82" s="892">
        <f t="shared" si="10"/>
        <v>6.9728641001029002E-4</v>
      </c>
      <c r="M82" s="892">
        <f t="shared" si="10"/>
        <v>8.7694484532513606E-2</v>
      </c>
      <c r="N82" s="892">
        <f t="shared" si="10"/>
        <v>0.81583675894447771</v>
      </c>
      <c r="O82" s="892">
        <f t="shared" si="10"/>
        <v>1.6910628865952387E-2</v>
      </c>
      <c r="P82" s="892">
        <f t="shared" si="10"/>
        <v>1.041313479561673E-2</v>
      </c>
      <c r="Q82" s="892">
        <f t="shared" si="10"/>
        <v>4.2245934146891151E-2</v>
      </c>
      <c r="R82" s="892">
        <f t="shared" si="10"/>
        <v>9.8723877496325434E-3</v>
      </c>
      <c r="S82" s="892">
        <f t="shared" si="10"/>
        <v>1.8977837476447262E-3</v>
      </c>
      <c r="T82" s="876"/>
      <c r="U82" s="876"/>
      <c r="V82" s="876"/>
      <c r="W82" s="876"/>
      <c r="X82" s="876"/>
      <c r="Y82" s="876"/>
      <c r="Z82" s="876"/>
      <c r="AA82" s="876"/>
      <c r="AB82" s="876"/>
      <c r="AC82" s="876"/>
      <c r="AD82" s="876"/>
      <c r="AE82" s="876"/>
      <c r="AF82" s="876"/>
      <c r="AG82" s="876"/>
      <c r="AH82" s="876"/>
      <c r="AI82" s="876"/>
      <c r="AJ82" s="876"/>
      <c r="AK82" s="876"/>
      <c r="AL82" s="876"/>
      <c r="AM82" s="876"/>
      <c r="AN82" s="876"/>
      <c r="AO82" s="876"/>
      <c r="AP82" s="876"/>
      <c r="AQ82" s="876"/>
      <c r="AR82" s="876"/>
      <c r="AS82" s="876"/>
      <c r="AT82" s="876"/>
      <c r="AU82" s="876"/>
      <c r="AV82" s="876"/>
      <c r="AW82" s="876"/>
      <c r="AX82" s="876"/>
      <c r="AY82" s="876"/>
      <c r="AZ82" s="876"/>
      <c r="BA82" s="876"/>
      <c r="BB82" s="876"/>
      <c r="BC82" s="876"/>
      <c r="BD82" s="876"/>
      <c r="BE82" s="876"/>
      <c r="BF82" s="876"/>
      <c r="BG82" s="876"/>
      <c r="BH82" s="876"/>
      <c r="BI82" s="876"/>
      <c r="BJ82" s="876"/>
      <c r="BK82" s="876"/>
      <c r="BL82" s="876"/>
      <c r="BM82" s="876"/>
      <c r="BN82" s="876"/>
      <c r="BO82" s="876"/>
      <c r="BP82" s="876"/>
      <c r="BQ82" s="876"/>
      <c r="BR82" s="876"/>
      <c r="BS82" s="876"/>
      <c r="BT82" s="876"/>
      <c r="BU82" s="876"/>
    </row>
    <row r="83" spans="1:73">
      <c r="A83" s="876"/>
      <c r="B83" s="880" t="str">
        <f>+$B$5</f>
        <v>After-tax Real IRR</v>
      </c>
      <c r="C83" s="889">
        <f ca="1">+ROUND(H5,2)</f>
        <v>0.08</v>
      </c>
      <c r="D83" s="880" t="str">
        <f t="shared" ref="D83:D91" ca="1" si="11">+B83&amp;" = "&amp;C83*100&amp;"%"</f>
        <v>After-tax Real IRR = 8%</v>
      </c>
      <c r="E83" s="892">
        <f t="shared" si="10"/>
        <v>1.073118127311099</v>
      </c>
      <c r="F83" s="892">
        <f t="shared" si="10"/>
        <v>0</v>
      </c>
      <c r="G83" s="892">
        <f t="shared" si="10"/>
        <v>7.6639333496743387E-4</v>
      </c>
      <c r="H83" s="892">
        <f t="shared" si="10"/>
        <v>6.5347217266854871E-2</v>
      </c>
      <c r="I83" s="892">
        <f t="shared" si="10"/>
        <v>8.7875394546114028E-3</v>
      </c>
      <c r="J83" s="892">
        <f t="shared" si="10"/>
        <v>1.2239845216103992E-2</v>
      </c>
      <c r="K83" s="892">
        <f t="shared" si="10"/>
        <v>2.8075030876053382E-3</v>
      </c>
      <c r="L83" s="892">
        <f t="shared" si="10"/>
        <v>7.5344527069001722E-4</v>
      </c>
      <c r="M83" s="892">
        <f t="shared" si="10"/>
        <v>8.5475901235362112E-2</v>
      </c>
      <c r="N83" s="892">
        <f t="shared" si="10"/>
        <v>0.8199158449382844</v>
      </c>
      <c r="O83" s="892">
        <f t="shared" si="10"/>
        <v>1.6910628865952376E-2</v>
      </c>
      <c r="P83" s="892">
        <f t="shared" si="10"/>
        <v>1.0413134795616725E-2</v>
      </c>
      <c r="Q83" s="892">
        <f t="shared" si="10"/>
        <v>4.0444999386701451E-2</v>
      </c>
      <c r="R83" s="892">
        <f t="shared" si="10"/>
        <v>8.7378314746322829E-3</v>
      </c>
      <c r="S83" s="892">
        <f t="shared" si="10"/>
        <v>2.0506296536514953E-3</v>
      </c>
      <c r="T83" s="876"/>
      <c r="U83" s="876"/>
      <c r="V83" s="876"/>
      <c r="W83" s="876"/>
      <c r="X83" s="876"/>
      <c r="Y83" s="876"/>
      <c r="Z83" s="876"/>
      <c r="AA83" s="876"/>
      <c r="AB83" s="876"/>
      <c r="AC83" s="876"/>
      <c r="AD83" s="876"/>
      <c r="AE83" s="876"/>
      <c r="AF83" s="876"/>
      <c r="AG83" s="876"/>
      <c r="AH83" s="876"/>
      <c r="AI83" s="876"/>
      <c r="AJ83" s="876"/>
      <c r="AK83" s="876"/>
      <c r="AL83" s="876"/>
      <c r="AM83" s="876"/>
      <c r="AN83" s="876"/>
      <c r="AO83" s="876"/>
      <c r="AP83" s="876"/>
      <c r="AQ83" s="876"/>
      <c r="AR83" s="876"/>
      <c r="AS83" s="876"/>
      <c r="AT83" s="876"/>
      <c r="AU83" s="876"/>
      <c r="AV83" s="876"/>
      <c r="AW83" s="876"/>
      <c r="AX83" s="876"/>
      <c r="AY83" s="876"/>
      <c r="AZ83" s="876"/>
      <c r="BA83" s="876"/>
      <c r="BB83" s="876"/>
      <c r="BC83" s="876"/>
      <c r="BD83" s="876"/>
      <c r="BE83" s="876"/>
      <c r="BF83" s="876"/>
      <c r="BG83" s="876"/>
      <c r="BH83" s="876"/>
      <c r="BI83" s="876"/>
      <c r="BJ83" s="876"/>
      <c r="BK83" s="876"/>
      <c r="BL83" s="876"/>
      <c r="BM83" s="876"/>
      <c r="BN83" s="876"/>
      <c r="BO83" s="876"/>
      <c r="BP83" s="876"/>
      <c r="BQ83" s="876"/>
      <c r="BR83" s="876"/>
      <c r="BS83" s="876"/>
      <c r="BT83" s="876"/>
      <c r="BU83" s="876"/>
    </row>
    <row r="84" spans="1:73">
      <c r="A84" s="876"/>
      <c r="B84" s="880" t="str">
        <f>+$B$5</f>
        <v>After-tax Real IRR</v>
      </c>
      <c r="C84" s="889">
        <f ca="1">ROUND(C5,2)</f>
        <v>0.08</v>
      </c>
      <c r="D84" s="880" t="str">
        <f t="shared" ca="1" si="11"/>
        <v>After-tax Real IRR = 8%</v>
      </c>
      <c r="E84" s="892">
        <f t="shared" ref="E84:S84" si="12">+K$51</f>
        <v>1.0744589135139428</v>
      </c>
      <c r="F84" s="892">
        <f t="shared" si="12"/>
        <v>0</v>
      </c>
      <c r="G84" s="892">
        <f t="shared" si="12"/>
        <v>6.9008528456351935E-4</v>
      </c>
      <c r="H84" s="892">
        <f t="shared" si="12"/>
        <v>6.8763896877743688E-2</v>
      </c>
      <c r="I84" s="892">
        <f t="shared" si="12"/>
        <v>8.787539454611408E-3</v>
      </c>
      <c r="J84" s="892">
        <f t="shared" si="12"/>
        <v>1.2660876684470445E-2</v>
      </c>
      <c r="K84" s="892">
        <f t="shared" si="12"/>
        <v>2.9542934018394833E-3</v>
      </c>
      <c r="L84" s="892">
        <f t="shared" si="12"/>
        <v>6.784264297513133E-4</v>
      </c>
      <c r="M84" s="892">
        <f t="shared" si="12"/>
        <v>8.5475901235362126E-2</v>
      </c>
      <c r="N84" s="892">
        <f t="shared" si="12"/>
        <v>0.81583675894447782</v>
      </c>
      <c r="O84" s="892">
        <f t="shared" si="12"/>
        <v>1.6910628865952383E-2</v>
      </c>
      <c r="P84" s="892">
        <f t="shared" si="12"/>
        <v>1.0413134795616728E-2</v>
      </c>
      <c r="Q84" s="892">
        <f t="shared" si="12"/>
        <v>4.1103279604089063E-2</v>
      </c>
      <c r="R84" s="892">
        <f t="shared" si="12"/>
        <v>9.7178094060207474E-3</v>
      </c>
      <c r="S84" s="892">
        <f t="shared" si="12"/>
        <v>1.8464530985706127E-3</v>
      </c>
      <c r="T84" s="876"/>
      <c r="U84" s="876"/>
      <c r="V84" s="876"/>
      <c r="W84" s="876"/>
      <c r="X84" s="876"/>
      <c r="Y84" s="876"/>
      <c r="Z84" s="876"/>
      <c r="AA84" s="876"/>
      <c r="AB84" s="876"/>
      <c r="AC84" s="876"/>
      <c r="AD84" s="876"/>
      <c r="AE84" s="876"/>
      <c r="AF84" s="876"/>
      <c r="AG84" s="876"/>
      <c r="AH84" s="876"/>
      <c r="AI84" s="876"/>
      <c r="AJ84" s="876"/>
      <c r="AK84" s="876"/>
      <c r="AL84" s="876"/>
      <c r="AM84" s="876"/>
      <c r="AN84" s="876"/>
      <c r="AO84" s="876"/>
      <c r="AP84" s="876"/>
      <c r="AQ84" s="876"/>
      <c r="AR84" s="876"/>
      <c r="AS84" s="876"/>
      <c r="AT84" s="876"/>
      <c r="AU84" s="876"/>
      <c r="AV84" s="876"/>
      <c r="AW84" s="876"/>
      <c r="AX84" s="876"/>
      <c r="AY84" s="876"/>
      <c r="AZ84" s="876"/>
      <c r="BA84" s="876"/>
      <c r="BB84" s="876"/>
      <c r="BC84" s="876"/>
      <c r="BD84" s="876"/>
      <c r="BE84" s="876"/>
      <c r="BF84" s="876"/>
      <c r="BG84" s="876"/>
      <c r="BH84" s="876"/>
      <c r="BI84" s="876"/>
      <c r="BJ84" s="876"/>
      <c r="BK84" s="876"/>
      <c r="BL84" s="876"/>
      <c r="BM84" s="876"/>
      <c r="BN84" s="876"/>
      <c r="BO84" s="876"/>
      <c r="BP84" s="876"/>
      <c r="BQ84" s="876"/>
      <c r="BR84" s="876"/>
      <c r="BS84" s="876"/>
      <c r="BT84" s="876"/>
      <c r="BU84" s="876"/>
    </row>
    <row r="85" spans="1:73">
      <c r="A85" s="876"/>
      <c r="B85" s="880" t="str">
        <f>+$B$5</f>
        <v>After-tax Real IRR</v>
      </c>
      <c r="C85" s="889">
        <f ca="1">ROUND(I5,2)</f>
        <v>0.08</v>
      </c>
      <c r="D85" s="880" t="str">
        <f t="shared" ca="1" si="11"/>
        <v>After-tax Real IRR = 8%</v>
      </c>
      <c r="E85" s="892">
        <f t="shared" ref="E85:S86" si="13">+K57</f>
        <v>1.0760251572832065</v>
      </c>
      <c r="F85" s="892">
        <f t="shared" si="13"/>
        <v>0</v>
      </c>
      <c r="G85" s="892">
        <f t="shared" si="13"/>
        <v>6.2086894877999392E-4</v>
      </c>
      <c r="H85" s="892">
        <f t="shared" si="13"/>
        <v>7.2258638789935353E-2</v>
      </c>
      <c r="I85" s="892">
        <f t="shared" si="13"/>
        <v>8.7875394546114149E-3</v>
      </c>
      <c r="J85" s="892">
        <f t="shared" si="13"/>
        <v>1.307538439720039E-2</v>
      </c>
      <c r="K85" s="892">
        <f t="shared" si="13"/>
        <v>3.1044374954861211E-3</v>
      </c>
      <c r="L85" s="892">
        <f t="shared" si="13"/>
        <v>6.1037949031282569E-4</v>
      </c>
      <c r="M85" s="892">
        <f t="shared" si="13"/>
        <v>8.5475901235362209E-2</v>
      </c>
      <c r="N85" s="892">
        <f t="shared" si="13"/>
        <v>0.81184257920214997</v>
      </c>
      <c r="O85" s="892">
        <f t="shared" si="13"/>
        <v>1.6910628865952404E-2</v>
      </c>
      <c r="P85" s="892">
        <f t="shared" si="13"/>
        <v>1.0413134795616737E-2</v>
      </c>
      <c r="Q85" s="892">
        <f t="shared" si="13"/>
        <v>4.1764074840630737E-2</v>
      </c>
      <c r="R85" s="892">
        <f t="shared" si="13"/>
        <v>1.0742075903640532E-2</v>
      </c>
      <c r="S85" s="892">
        <f t="shared" si="13"/>
        <v>1.6612517610866068E-3</v>
      </c>
      <c r="T85" s="876"/>
      <c r="U85" s="876"/>
      <c r="V85" s="876"/>
      <c r="W85" s="876"/>
      <c r="X85" s="876"/>
      <c r="Y85" s="876"/>
      <c r="Z85" s="876"/>
      <c r="AA85" s="876"/>
      <c r="AB85" s="876"/>
      <c r="AC85" s="876"/>
      <c r="AD85" s="876"/>
      <c r="AE85" s="876"/>
      <c r="AF85" s="876"/>
      <c r="AG85" s="876"/>
      <c r="AH85" s="876"/>
      <c r="AI85" s="876"/>
      <c r="AJ85" s="876"/>
      <c r="AK85" s="876"/>
      <c r="AL85" s="876"/>
      <c r="AM85" s="876"/>
      <c r="AN85" s="876"/>
      <c r="AO85" s="876"/>
      <c r="AP85" s="876"/>
      <c r="AQ85" s="876"/>
      <c r="AR85" s="876"/>
      <c r="AS85" s="876"/>
      <c r="AT85" s="876"/>
      <c r="AU85" s="876"/>
      <c r="AV85" s="876"/>
      <c r="AW85" s="876"/>
      <c r="AX85" s="876"/>
      <c r="AY85" s="876"/>
      <c r="AZ85" s="876"/>
      <c r="BA85" s="876"/>
      <c r="BB85" s="876"/>
      <c r="BC85" s="876"/>
      <c r="BD85" s="876"/>
      <c r="BE85" s="876"/>
      <c r="BF85" s="876"/>
      <c r="BG85" s="876"/>
      <c r="BH85" s="876"/>
      <c r="BI85" s="876"/>
      <c r="BJ85" s="876"/>
      <c r="BK85" s="876"/>
      <c r="BL85" s="876"/>
      <c r="BM85" s="876"/>
      <c r="BN85" s="876"/>
      <c r="BO85" s="876"/>
      <c r="BP85" s="876"/>
      <c r="BQ85" s="876"/>
      <c r="BR85" s="876"/>
      <c r="BS85" s="876"/>
      <c r="BT85" s="876"/>
      <c r="BU85" s="876"/>
    </row>
    <row r="86" spans="1:73">
      <c r="A86" s="876"/>
      <c r="B86" s="880" t="str">
        <f>+$B$6</f>
        <v>Feedstock Consumption (% of baseline)</v>
      </c>
      <c r="C86" s="880">
        <f>+ROUND(H6,3)</f>
        <v>0.95</v>
      </c>
      <c r="D86" s="879" t="str">
        <f t="shared" si="11"/>
        <v>Feedstock Consumption (% of baseline) = 95%</v>
      </c>
      <c r="E86" s="900">
        <f t="shared" si="13"/>
        <v>1.0744589135139428</v>
      </c>
      <c r="F86" s="892">
        <f t="shared" si="13"/>
        <v>0</v>
      </c>
      <c r="G86" s="892">
        <f t="shared" si="13"/>
        <v>6.9008528456351935E-4</v>
      </c>
      <c r="H86" s="892">
        <f t="shared" si="13"/>
        <v>6.8763896877743688E-2</v>
      </c>
      <c r="I86" s="892">
        <f t="shared" si="13"/>
        <v>8.787539454611408E-3</v>
      </c>
      <c r="J86" s="892">
        <f t="shared" si="13"/>
        <v>1.2660876684470445E-2</v>
      </c>
      <c r="K86" s="892">
        <f t="shared" si="13"/>
        <v>2.9542934018394833E-3</v>
      </c>
      <c r="L86" s="892">
        <f t="shared" si="13"/>
        <v>6.784264297513133E-4</v>
      </c>
      <c r="M86" s="892">
        <f t="shared" si="13"/>
        <v>8.5475901235362126E-2</v>
      </c>
      <c r="N86" s="892">
        <f t="shared" si="13"/>
        <v>0.81583675894447782</v>
      </c>
      <c r="O86" s="892">
        <f t="shared" si="13"/>
        <v>1.6910628865952383E-2</v>
      </c>
      <c r="P86" s="892">
        <f t="shared" si="13"/>
        <v>1.0413134795616728E-2</v>
      </c>
      <c r="Q86" s="892">
        <f t="shared" si="13"/>
        <v>4.1103279604089063E-2</v>
      </c>
      <c r="R86" s="892">
        <f t="shared" si="13"/>
        <v>9.7178094060207474E-3</v>
      </c>
      <c r="S86" s="892">
        <f t="shared" si="13"/>
        <v>1.8464530985706127E-3</v>
      </c>
      <c r="T86" s="876"/>
      <c r="U86" s="876"/>
      <c r="V86" s="876"/>
      <c r="W86" s="876"/>
      <c r="X86" s="876"/>
      <c r="Y86" s="876"/>
      <c r="Z86" s="876"/>
      <c r="AA86" s="876"/>
      <c r="AB86" s="876"/>
      <c r="AC86" s="876"/>
      <c r="AD86" s="876"/>
      <c r="AE86" s="876"/>
      <c r="AF86" s="876"/>
      <c r="AG86" s="876"/>
      <c r="AH86" s="876"/>
      <c r="AI86" s="876"/>
      <c r="AJ86" s="876"/>
      <c r="AK86" s="876"/>
      <c r="AL86" s="876"/>
      <c r="AM86" s="876"/>
      <c r="AN86" s="876"/>
      <c r="AO86" s="876"/>
      <c r="AP86" s="876"/>
      <c r="AQ86" s="876"/>
      <c r="AR86" s="876"/>
      <c r="AS86" s="876"/>
      <c r="AT86" s="876"/>
      <c r="AU86" s="876"/>
      <c r="AV86" s="876"/>
      <c r="AW86" s="876"/>
      <c r="AX86" s="876"/>
      <c r="AY86" s="876"/>
      <c r="AZ86" s="876"/>
      <c r="BA86" s="876"/>
      <c r="BB86" s="876"/>
      <c r="BC86" s="876"/>
      <c r="BD86" s="876"/>
      <c r="BE86" s="876"/>
      <c r="BF86" s="876"/>
      <c r="BG86" s="876"/>
      <c r="BH86" s="876"/>
      <c r="BI86" s="876"/>
      <c r="BJ86" s="876"/>
      <c r="BK86" s="876"/>
      <c r="BL86" s="876"/>
      <c r="BM86" s="876"/>
      <c r="BN86" s="876"/>
      <c r="BO86" s="876"/>
      <c r="BP86" s="876"/>
      <c r="BQ86" s="876"/>
      <c r="BR86" s="876"/>
      <c r="BS86" s="876"/>
      <c r="BT86" s="876"/>
      <c r="BU86" s="876"/>
    </row>
    <row r="87" spans="1:73">
      <c r="A87" s="876"/>
      <c r="B87" s="880" t="str">
        <f>+$B$6</f>
        <v>Feedstock Consumption (% of baseline)</v>
      </c>
      <c r="C87" s="880">
        <f>+ROUND(C6,3)</f>
        <v>1</v>
      </c>
      <c r="D87" s="879" t="str">
        <f t="shared" si="11"/>
        <v>Feedstock Consumption (% of baseline) = 100%</v>
      </c>
      <c r="E87" s="900">
        <f t="shared" ref="E87:S87" si="14">+K$51</f>
        <v>1.0744589135139428</v>
      </c>
      <c r="F87" s="892">
        <f t="shared" si="14"/>
        <v>0</v>
      </c>
      <c r="G87" s="892">
        <f t="shared" si="14"/>
        <v>6.9008528456351935E-4</v>
      </c>
      <c r="H87" s="892">
        <f t="shared" si="14"/>
        <v>6.8763896877743688E-2</v>
      </c>
      <c r="I87" s="892">
        <f t="shared" si="14"/>
        <v>8.787539454611408E-3</v>
      </c>
      <c r="J87" s="892">
        <f t="shared" si="14"/>
        <v>1.2660876684470445E-2</v>
      </c>
      <c r="K87" s="892">
        <f t="shared" si="14"/>
        <v>2.9542934018394833E-3</v>
      </c>
      <c r="L87" s="892">
        <f t="shared" si="14"/>
        <v>6.784264297513133E-4</v>
      </c>
      <c r="M87" s="892">
        <f t="shared" si="14"/>
        <v>8.5475901235362126E-2</v>
      </c>
      <c r="N87" s="892">
        <f t="shared" si="14"/>
        <v>0.81583675894447782</v>
      </c>
      <c r="O87" s="892">
        <f t="shared" si="14"/>
        <v>1.6910628865952383E-2</v>
      </c>
      <c r="P87" s="892">
        <f t="shared" si="14"/>
        <v>1.0413134795616728E-2</v>
      </c>
      <c r="Q87" s="892">
        <f t="shared" si="14"/>
        <v>4.1103279604089063E-2</v>
      </c>
      <c r="R87" s="892">
        <f t="shared" si="14"/>
        <v>9.7178094060207474E-3</v>
      </c>
      <c r="S87" s="892">
        <f t="shared" si="14"/>
        <v>1.8464530985706127E-3</v>
      </c>
      <c r="T87" s="876"/>
      <c r="U87" s="876"/>
      <c r="V87" s="876"/>
      <c r="W87" s="876"/>
      <c r="X87" s="876"/>
      <c r="Y87" s="876"/>
      <c r="Z87" s="876"/>
      <c r="AA87" s="876"/>
      <c r="AB87" s="876"/>
      <c r="AC87" s="876"/>
      <c r="AD87" s="876"/>
      <c r="AE87" s="876"/>
      <c r="AF87" s="876"/>
      <c r="AG87" s="876"/>
      <c r="AH87" s="876"/>
      <c r="AI87" s="876"/>
      <c r="AJ87" s="876"/>
      <c r="AK87" s="876"/>
      <c r="AL87" s="876"/>
      <c r="AM87" s="876"/>
      <c r="AN87" s="876"/>
      <c r="AO87" s="876"/>
      <c r="AP87" s="876"/>
      <c r="AQ87" s="876"/>
      <c r="AR87" s="876"/>
      <c r="AS87" s="876"/>
      <c r="AT87" s="876"/>
      <c r="AU87" s="876"/>
      <c r="AV87" s="876"/>
      <c r="AW87" s="876"/>
      <c r="AX87" s="876"/>
      <c r="AY87" s="876"/>
      <c r="AZ87" s="876"/>
      <c r="BA87" s="876"/>
      <c r="BB87" s="876"/>
      <c r="BC87" s="876"/>
      <c r="BD87" s="876"/>
      <c r="BE87" s="876"/>
      <c r="BF87" s="876"/>
      <c r="BG87" s="876"/>
      <c r="BH87" s="876"/>
      <c r="BI87" s="876"/>
      <c r="BJ87" s="876"/>
      <c r="BK87" s="876"/>
      <c r="BL87" s="876"/>
      <c r="BM87" s="876"/>
      <c r="BN87" s="876"/>
      <c r="BO87" s="876"/>
      <c r="BP87" s="876"/>
      <c r="BQ87" s="876"/>
      <c r="BR87" s="876"/>
      <c r="BS87" s="876"/>
      <c r="BT87" s="876"/>
      <c r="BU87" s="876"/>
    </row>
    <row r="88" spans="1:73">
      <c r="A88" s="876"/>
      <c r="B88" s="880" t="str">
        <f>+$B$6</f>
        <v>Feedstock Consumption (% of baseline)</v>
      </c>
      <c r="C88" s="880">
        <f>+ROUND(I6,3)</f>
        <v>1.05</v>
      </c>
      <c r="D88" s="879" t="str">
        <f t="shared" si="11"/>
        <v>Feedstock Consumption (% of baseline) = 105%</v>
      </c>
      <c r="E88" s="900">
        <f t="shared" ref="E88:S89" si="15">+K59</f>
        <v>1.0744589135139428</v>
      </c>
      <c r="F88" s="892">
        <f t="shared" si="15"/>
        <v>0</v>
      </c>
      <c r="G88" s="892">
        <f t="shared" si="15"/>
        <v>6.9008528456351935E-4</v>
      </c>
      <c r="H88" s="892">
        <f t="shared" si="15"/>
        <v>6.8763896877743688E-2</v>
      </c>
      <c r="I88" s="892">
        <f t="shared" si="15"/>
        <v>8.787539454611408E-3</v>
      </c>
      <c r="J88" s="892">
        <f t="shared" si="15"/>
        <v>1.2660876684470445E-2</v>
      </c>
      <c r="K88" s="892">
        <f t="shared" si="15"/>
        <v>2.9542934018394833E-3</v>
      </c>
      <c r="L88" s="892">
        <f t="shared" si="15"/>
        <v>6.784264297513133E-4</v>
      </c>
      <c r="M88" s="892">
        <f t="shared" si="15"/>
        <v>8.5475901235362126E-2</v>
      </c>
      <c r="N88" s="892">
        <f t="shared" si="15"/>
        <v>0.81583675894447782</v>
      </c>
      <c r="O88" s="892">
        <f t="shared" si="15"/>
        <v>1.6910628865952383E-2</v>
      </c>
      <c r="P88" s="892">
        <f t="shared" si="15"/>
        <v>1.0413134795616728E-2</v>
      </c>
      <c r="Q88" s="892">
        <f t="shared" si="15"/>
        <v>4.1103279604089063E-2</v>
      </c>
      <c r="R88" s="892">
        <f t="shared" si="15"/>
        <v>9.7178094060207474E-3</v>
      </c>
      <c r="S88" s="892">
        <f t="shared" si="15"/>
        <v>1.8464530985706127E-3</v>
      </c>
      <c r="T88" s="876"/>
      <c r="U88" s="876"/>
      <c r="V88" s="876"/>
      <c r="W88" s="876"/>
      <c r="X88" s="876"/>
      <c r="Y88" s="876"/>
      <c r="Z88" s="876"/>
      <c r="AA88" s="876"/>
      <c r="AB88" s="876"/>
      <c r="AC88" s="876"/>
      <c r="AD88" s="876"/>
      <c r="AE88" s="876"/>
      <c r="AF88" s="876"/>
      <c r="AG88" s="876"/>
      <c r="AH88" s="876"/>
      <c r="AI88" s="876"/>
      <c r="AJ88" s="876"/>
      <c r="AK88" s="876"/>
      <c r="AL88" s="876"/>
      <c r="AM88" s="876"/>
      <c r="AN88" s="876"/>
      <c r="AO88" s="876"/>
      <c r="AP88" s="876"/>
      <c r="AQ88" s="876"/>
      <c r="AR88" s="876"/>
      <c r="AS88" s="876"/>
      <c r="AT88" s="876"/>
      <c r="AU88" s="876"/>
      <c r="AV88" s="876"/>
      <c r="AW88" s="876"/>
      <c r="AX88" s="876"/>
      <c r="AY88" s="876"/>
      <c r="AZ88" s="876"/>
      <c r="BA88" s="876"/>
      <c r="BB88" s="876"/>
      <c r="BC88" s="876"/>
      <c r="BD88" s="876"/>
      <c r="BE88" s="876"/>
      <c r="BF88" s="876"/>
      <c r="BG88" s="876"/>
      <c r="BH88" s="876"/>
      <c r="BI88" s="876"/>
      <c r="BJ88" s="876"/>
      <c r="BK88" s="876"/>
      <c r="BL88" s="876"/>
      <c r="BM88" s="876"/>
      <c r="BN88" s="876"/>
      <c r="BO88" s="876"/>
      <c r="BP88" s="876"/>
      <c r="BQ88" s="876"/>
      <c r="BR88" s="876"/>
      <c r="BS88" s="876"/>
      <c r="BT88" s="876"/>
      <c r="BU88" s="876"/>
    </row>
    <row r="89" spans="1:73">
      <c r="A89" s="876"/>
      <c r="B89" s="880" t="str">
        <f>+$B$7</f>
        <v>Utilities Consumption (% of baseline)</v>
      </c>
      <c r="C89" s="880">
        <f>+ROUND(H7,3)</f>
        <v>0.95</v>
      </c>
      <c r="D89" s="879" t="str">
        <f t="shared" si="11"/>
        <v>Utilities Consumption (% of baseline) = 95%</v>
      </c>
      <c r="E89" s="900">
        <f t="shared" si="15"/>
        <v>1.0744589135139428</v>
      </c>
      <c r="F89" s="900">
        <f t="shared" si="15"/>
        <v>0</v>
      </c>
      <c r="G89" s="900">
        <f t="shared" si="15"/>
        <v>6.9008528456351935E-4</v>
      </c>
      <c r="H89" s="900">
        <f t="shared" si="15"/>
        <v>6.8763896877743688E-2</v>
      </c>
      <c r="I89" s="900">
        <f t="shared" si="15"/>
        <v>8.787539454611408E-3</v>
      </c>
      <c r="J89" s="900">
        <f t="shared" si="15"/>
        <v>1.2660876684470445E-2</v>
      </c>
      <c r="K89" s="900">
        <f t="shared" si="15"/>
        <v>2.9542934018394833E-3</v>
      </c>
      <c r="L89" s="900">
        <f t="shared" si="15"/>
        <v>6.784264297513133E-4</v>
      </c>
      <c r="M89" s="900">
        <f t="shared" si="15"/>
        <v>8.5475901235362126E-2</v>
      </c>
      <c r="N89" s="900">
        <f t="shared" si="15"/>
        <v>0.81583675894447782</v>
      </c>
      <c r="O89" s="900">
        <f t="shared" si="15"/>
        <v>1.6910628865952383E-2</v>
      </c>
      <c r="P89" s="900">
        <f t="shared" si="15"/>
        <v>1.0413134795616728E-2</v>
      </c>
      <c r="Q89" s="900">
        <f t="shared" si="15"/>
        <v>4.1103279604089063E-2</v>
      </c>
      <c r="R89" s="900">
        <f t="shared" si="15"/>
        <v>9.7178094060207474E-3</v>
      </c>
      <c r="S89" s="900">
        <f t="shared" si="15"/>
        <v>1.8464530985706127E-3</v>
      </c>
      <c r="T89" s="876"/>
      <c r="U89" s="876"/>
      <c r="V89" s="876"/>
      <c r="W89" s="876"/>
      <c r="X89" s="876"/>
      <c r="Y89" s="876"/>
      <c r="Z89" s="876"/>
      <c r="AA89" s="876"/>
      <c r="AB89" s="876"/>
      <c r="AC89" s="876"/>
      <c r="AD89" s="876"/>
      <c r="AE89" s="876"/>
      <c r="AF89" s="876"/>
      <c r="AG89" s="876"/>
      <c r="AH89" s="876"/>
      <c r="AI89" s="876"/>
      <c r="AJ89" s="876"/>
      <c r="AK89" s="876"/>
      <c r="AL89" s="876"/>
      <c r="AM89" s="876"/>
      <c r="AN89" s="876"/>
      <c r="AO89" s="876"/>
      <c r="AP89" s="876"/>
      <c r="AQ89" s="876"/>
      <c r="AR89" s="876"/>
      <c r="AS89" s="876"/>
      <c r="AT89" s="876"/>
      <c r="AU89" s="876"/>
      <c r="AV89" s="876"/>
      <c r="AW89" s="876"/>
      <c r="AX89" s="876"/>
      <c r="AY89" s="876"/>
      <c r="AZ89" s="876"/>
      <c r="BA89" s="876"/>
      <c r="BB89" s="876"/>
      <c r="BC89" s="876"/>
      <c r="BD89" s="876"/>
      <c r="BE89" s="876"/>
      <c r="BF89" s="876"/>
      <c r="BG89" s="876"/>
      <c r="BH89" s="876"/>
      <c r="BI89" s="876"/>
      <c r="BJ89" s="876"/>
      <c r="BK89" s="876"/>
      <c r="BL89" s="876"/>
      <c r="BM89" s="876"/>
      <c r="BN89" s="876"/>
      <c r="BO89" s="876"/>
      <c r="BP89" s="876"/>
      <c r="BQ89" s="876"/>
      <c r="BR89" s="876"/>
      <c r="BS89" s="876"/>
      <c r="BT89" s="876"/>
      <c r="BU89" s="876"/>
    </row>
    <row r="90" spans="1:73">
      <c r="A90" s="876"/>
      <c r="B90" s="880" t="str">
        <f>+$B$7</f>
        <v>Utilities Consumption (% of baseline)</v>
      </c>
      <c r="C90" s="880">
        <f>+ROUND(C7,3)</f>
        <v>1</v>
      </c>
      <c r="D90" s="879" t="str">
        <f t="shared" si="11"/>
        <v>Utilities Consumption (% of baseline) = 100%</v>
      </c>
      <c r="E90" s="900">
        <f>+K$51</f>
        <v>1.0744589135139428</v>
      </c>
      <c r="F90" s="900">
        <f t="shared" ref="F90:S90" si="16">+L$51</f>
        <v>0</v>
      </c>
      <c r="G90" s="900">
        <f t="shared" si="16"/>
        <v>6.9008528456351935E-4</v>
      </c>
      <c r="H90" s="900">
        <f t="shared" si="16"/>
        <v>6.8763896877743688E-2</v>
      </c>
      <c r="I90" s="900">
        <f t="shared" si="16"/>
        <v>8.787539454611408E-3</v>
      </c>
      <c r="J90" s="900">
        <f t="shared" si="16"/>
        <v>1.2660876684470445E-2</v>
      </c>
      <c r="K90" s="900">
        <f t="shared" si="16"/>
        <v>2.9542934018394833E-3</v>
      </c>
      <c r="L90" s="900">
        <f t="shared" si="16"/>
        <v>6.784264297513133E-4</v>
      </c>
      <c r="M90" s="900">
        <f t="shared" si="16"/>
        <v>8.5475901235362126E-2</v>
      </c>
      <c r="N90" s="900">
        <f t="shared" si="16"/>
        <v>0.81583675894447782</v>
      </c>
      <c r="O90" s="900">
        <f t="shared" si="16"/>
        <v>1.6910628865952383E-2</v>
      </c>
      <c r="P90" s="900">
        <f t="shared" si="16"/>
        <v>1.0413134795616728E-2</v>
      </c>
      <c r="Q90" s="900">
        <f t="shared" si="16"/>
        <v>4.1103279604089063E-2</v>
      </c>
      <c r="R90" s="900">
        <f t="shared" si="16"/>
        <v>9.7178094060207474E-3</v>
      </c>
      <c r="S90" s="900">
        <f t="shared" si="16"/>
        <v>1.8464530985706127E-3</v>
      </c>
      <c r="T90" s="876"/>
      <c r="U90" s="876"/>
      <c r="V90" s="876"/>
      <c r="W90" s="876"/>
      <c r="X90" s="876"/>
      <c r="Y90" s="876"/>
      <c r="Z90" s="876"/>
      <c r="AA90" s="876"/>
      <c r="AB90" s="876"/>
      <c r="AC90" s="876"/>
      <c r="AD90" s="876"/>
      <c r="AE90" s="876"/>
      <c r="AF90" s="876"/>
      <c r="AG90" s="876"/>
      <c r="AH90" s="876"/>
      <c r="AI90" s="876"/>
      <c r="AJ90" s="876"/>
      <c r="AK90" s="876"/>
      <c r="AL90" s="876"/>
      <c r="AM90" s="876"/>
      <c r="AN90" s="876"/>
      <c r="AO90" s="876"/>
      <c r="AP90" s="876"/>
      <c r="AQ90" s="876"/>
      <c r="AR90" s="876"/>
      <c r="AS90" s="876"/>
      <c r="AT90" s="876"/>
      <c r="AU90" s="876"/>
      <c r="AV90" s="876"/>
      <c r="AW90" s="876"/>
      <c r="AX90" s="876"/>
      <c r="AY90" s="876"/>
      <c r="AZ90" s="876"/>
      <c r="BA90" s="876"/>
      <c r="BB90" s="876"/>
      <c r="BC90" s="876"/>
      <c r="BD90" s="876"/>
      <c r="BE90" s="876"/>
      <c r="BF90" s="876"/>
      <c r="BG90" s="876"/>
      <c r="BH90" s="876"/>
      <c r="BI90" s="876"/>
      <c r="BJ90" s="876"/>
      <c r="BK90" s="876"/>
      <c r="BL90" s="876"/>
      <c r="BM90" s="876"/>
      <c r="BN90" s="876"/>
      <c r="BO90" s="876"/>
      <c r="BP90" s="876"/>
      <c r="BQ90" s="876"/>
      <c r="BR90" s="876"/>
      <c r="BS90" s="876"/>
      <c r="BT90" s="876"/>
      <c r="BU90" s="876"/>
    </row>
    <row r="91" spans="1:73">
      <c r="A91" s="876"/>
      <c r="B91" s="880" t="str">
        <f>+$B$7</f>
        <v>Utilities Consumption (% of baseline)</v>
      </c>
      <c r="C91" s="880">
        <f>+ROUND(I7,3)</f>
        <v>1.05</v>
      </c>
      <c r="D91" s="879" t="str">
        <f t="shared" si="11"/>
        <v>Utilities Consumption (% of baseline) = 105%</v>
      </c>
      <c r="E91" s="900">
        <f t="shared" ref="E91:S92" si="17">+K61</f>
        <v>1.0744589135139428</v>
      </c>
      <c r="F91" s="900">
        <f t="shared" si="17"/>
        <v>0</v>
      </c>
      <c r="G91" s="900">
        <f t="shared" si="17"/>
        <v>6.9008528456351935E-4</v>
      </c>
      <c r="H91" s="900">
        <f t="shared" si="17"/>
        <v>6.8763896877743688E-2</v>
      </c>
      <c r="I91" s="900">
        <f t="shared" si="17"/>
        <v>8.787539454611408E-3</v>
      </c>
      <c r="J91" s="900">
        <f t="shared" si="17"/>
        <v>1.2660876684470445E-2</v>
      </c>
      <c r="K91" s="900">
        <f t="shared" si="17"/>
        <v>2.9542934018394833E-3</v>
      </c>
      <c r="L91" s="900">
        <f t="shared" si="17"/>
        <v>6.784264297513133E-4</v>
      </c>
      <c r="M91" s="900">
        <f t="shared" si="17"/>
        <v>8.5475901235362126E-2</v>
      </c>
      <c r="N91" s="900">
        <f t="shared" si="17"/>
        <v>0.81583675894447782</v>
      </c>
      <c r="O91" s="900">
        <f t="shared" si="17"/>
        <v>1.6910628865952383E-2</v>
      </c>
      <c r="P91" s="900">
        <f t="shared" si="17"/>
        <v>1.0413134795616728E-2</v>
      </c>
      <c r="Q91" s="900">
        <f t="shared" si="17"/>
        <v>4.1103279604089063E-2</v>
      </c>
      <c r="R91" s="900">
        <f t="shared" si="17"/>
        <v>9.7178094060207474E-3</v>
      </c>
      <c r="S91" s="900">
        <f t="shared" si="17"/>
        <v>1.8464530985706127E-3</v>
      </c>
      <c r="T91" s="876"/>
      <c r="U91" s="876"/>
      <c r="V91" s="876"/>
      <c r="W91" s="876"/>
      <c r="X91" s="876"/>
      <c r="Y91" s="876"/>
      <c r="Z91" s="876"/>
      <c r="AA91" s="876"/>
      <c r="AB91" s="876"/>
      <c r="AC91" s="876"/>
      <c r="AD91" s="876"/>
      <c r="AE91" s="876"/>
      <c r="AF91" s="876"/>
      <c r="AG91" s="876"/>
      <c r="AH91" s="876"/>
      <c r="AI91" s="876"/>
      <c r="AJ91" s="876"/>
      <c r="AK91" s="876"/>
      <c r="AL91" s="876"/>
      <c r="AM91" s="876"/>
      <c r="AN91" s="876"/>
      <c r="AO91" s="876"/>
      <c r="AP91" s="876"/>
      <c r="AQ91" s="876"/>
      <c r="AR91" s="876"/>
      <c r="AS91" s="876"/>
      <c r="AT91" s="876"/>
      <c r="AU91" s="876"/>
      <c r="AV91" s="876"/>
      <c r="AW91" s="876"/>
      <c r="AX91" s="876"/>
      <c r="AY91" s="876"/>
      <c r="AZ91" s="876"/>
      <c r="BA91" s="876"/>
      <c r="BB91" s="876"/>
      <c r="BC91" s="876"/>
      <c r="BD91" s="876"/>
      <c r="BE91" s="876"/>
      <c r="BF91" s="876"/>
      <c r="BG91" s="876"/>
      <c r="BH91" s="876"/>
      <c r="BI91" s="876"/>
      <c r="BJ91" s="876"/>
      <c r="BK91" s="876"/>
      <c r="BL91" s="876"/>
      <c r="BM91" s="876"/>
      <c r="BN91" s="876"/>
      <c r="BO91" s="876"/>
      <c r="BP91" s="876"/>
      <c r="BQ91" s="876"/>
      <c r="BR91" s="876"/>
      <c r="BS91" s="876"/>
      <c r="BT91" s="876"/>
      <c r="BU91" s="876"/>
    </row>
    <row r="92" spans="1:73">
      <c r="A92" s="876"/>
      <c r="B92" s="880" t="str">
        <f>+$B$8</f>
        <v>Total Capital Investment</v>
      </c>
      <c r="C92" s="897">
        <f ca="1">+ROUND(H8,0)</f>
        <v>269479033</v>
      </c>
      <c r="D92" s="880" t="str">
        <f t="shared" ref="D92:D97" ca="1" si="18">+B92&amp;" = "&amp;TEXT(C92/1000,"$0,000K")</f>
        <v>Total Capital Investment = $269,479K</v>
      </c>
      <c r="E92" s="892">
        <f t="shared" si="17"/>
        <v>1.066815242095559</v>
      </c>
      <c r="F92" s="892">
        <f t="shared" si="17"/>
        <v>0</v>
      </c>
      <c r="G92" s="892">
        <f t="shared" si="17"/>
        <v>6.5558102033534303E-4</v>
      </c>
      <c r="H92" s="892">
        <f t="shared" si="17"/>
        <v>6.5266616165819691E-2</v>
      </c>
      <c r="I92" s="892">
        <f t="shared" si="17"/>
        <v>8.787539454611408E-3</v>
      </c>
      <c r="J92" s="892">
        <f t="shared" si="17"/>
        <v>1.2636478169125954E-2</v>
      </c>
      <c r="K92" s="892">
        <f t="shared" si="17"/>
        <v>2.9542934018394833E-3</v>
      </c>
      <c r="L92" s="892">
        <f t="shared" si="17"/>
        <v>6.4392216552313698E-4</v>
      </c>
      <c r="M92" s="892">
        <f t="shared" si="17"/>
        <v>8.3688190321041869E-2</v>
      </c>
      <c r="N92" s="892">
        <f t="shared" si="17"/>
        <v>0.81583675894447782</v>
      </c>
      <c r="O92" s="892">
        <f t="shared" si="17"/>
        <v>1.6910628865952383E-2</v>
      </c>
      <c r="P92" s="892">
        <f t="shared" si="17"/>
        <v>1.0413134795616728E-2</v>
      </c>
      <c r="Q92" s="892">
        <f t="shared" si="17"/>
        <v>3.9012797338202163E-2</v>
      </c>
      <c r="R92" s="892">
        <f t="shared" si="17"/>
        <v>9.5679196280139163E-3</v>
      </c>
      <c r="S92" s="892">
        <f t="shared" si="17"/>
        <v>1.7525438656691625E-3</v>
      </c>
      <c r="T92" s="876"/>
      <c r="U92" s="876"/>
      <c r="V92" s="876"/>
      <c r="W92" s="876"/>
      <c r="X92" s="876"/>
      <c r="Y92" s="876"/>
      <c r="Z92" s="876"/>
      <c r="AA92" s="876"/>
      <c r="AB92" s="876"/>
      <c r="AC92" s="876"/>
      <c r="AD92" s="876"/>
      <c r="AE92" s="876"/>
      <c r="AF92" s="876"/>
      <c r="AG92" s="876"/>
      <c r="AH92" s="876"/>
      <c r="AI92" s="876"/>
      <c r="AJ92" s="876"/>
      <c r="AK92" s="876"/>
      <c r="AL92" s="876"/>
      <c r="AM92" s="876"/>
      <c r="AN92" s="876"/>
      <c r="AO92" s="876"/>
      <c r="AP92" s="876"/>
      <c r="AQ92" s="876"/>
      <c r="AR92" s="876"/>
      <c r="AS92" s="876"/>
      <c r="AT92" s="876"/>
      <c r="AU92" s="876"/>
      <c r="AV92" s="876"/>
      <c r="AW92" s="876"/>
      <c r="AX92" s="876"/>
      <c r="AY92" s="876"/>
      <c r="AZ92" s="876"/>
      <c r="BA92" s="876"/>
      <c r="BB92" s="876"/>
      <c r="BC92" s="876"/>
      <c r="BD92" s="876"/>
      <c r="BE92" s="876"/>
      <c r="BF92" s="876"/>
      <c r="BG92" s="876"/>
      <c r="BH92" s="876"/>
      <c r="BI92" s="876"/>
      <c r="BJ92" s="876"/>
      <c r="BK92" s="876"/>
      <c r="BL92" s="876"/>
      <c r="BM92" s="876"/>
      <c r="BN92" s="876"/>
      <c r="BO92" s="876"/>
      <c r="BP92" s="876"/>
      <c r="BQ92" s="876"/>
      <c r="BR92" s="876"/>
      <c r="BS92" s="876"/>
      <c r="BT92" s="876"/>
      <c r="BU92" s="876"/>
    </row>
    <row r="93" spans="1:73">
      <c r="A93" s="876"/>
      <c r="B93" s="880" t="str">
        <f>+$B$8</f>
        <v>Total Capital Investment</v>
      </c>
      <c r="C93" s="897">
        <f ca="1">+ROUND(C8,0)</f>
        <v>283662140</v>
      </c>
      <c r="D93" s="880" t="str">
        <f t="shared" ca="1" si="18"/>
        <v>Total Capital Investment = $283,662K</v>
      </c>
      <c r="E93" s="892">
        <f t="shared" ref="E93:S93" si="19">+K$51</f>
        <v>1.0744589135139428</v>
      </c>
      <c r="F93" s="892">
        <f t="shared" si="19"/>
        <v>0</v>
      </c>
      <c r="G93" s="892">
        <f t="shared" si="19"/>
        <v>6.9008528456351935E-4</v>
      </c>
      <c r="H93" s="892">
        <f t="shared" si="19"/>
        <v>6.8763896877743688E-2</v>
      </c>
      <c r="I93" s="892">
        <f t="shared" si="19"/>
        <v>8.787539454611408E-3</v>
      </c>
      <c r="J93" s="892">
        <f t="shared" si="19"/>
        <v>1.2660876684470445E-2</v>
      </c>
      <c r="K93" s="892">
        <f t="shared" si="19"/>
        <v>2.9542934018394833E-3</v>
      </c>
      <c r="L93" s="892">
        <f t="shared" si="19"/>
        <v>6.784264297513133E-4</v>
      </c>
      <c r="M93" s="892">
        <f t="shared" si="19"/>
        <v>8.5475901235362126E-2</v>
      </c>
      <c r="N93" s="892">
        <f t="shared" si="19"/>
        <v>0.81583675894447782</v>
      </c>
      <c r="O93" s="892">
        <f t="shared" si="19"/>
        <v>1.6910628865952383E-2</v>
      </c>
      <c r="P93" s="892">
        <f t="shared" si="19"/>
        <v>1.0413134795616728E-2</v>
      </c>
      <c r="Q93" s="892">
        <f t="shared" si="19"/>
        <v>4.1103279604089063E-2</v>
      </c>
      <c r="R93" s="892">
        <f t="shared" si="19"/>
        <v>9.7178094060207474E-3</v>
      </c>
      <c r="S93" s="892">
        <f t="shared" si="19"/>
        <v>1.8464530985706127E-3</v>
      </c>
      <c r="T93" s="876"/>
      <c r="U93" s="876"/>
      <c r="V93" s="876"/>
      <c r="W93" s="876"/>
      <c r="X93" s="876"/>
      <c r="Y93" s="876"/>
      <c r="Z93" s="876"/>
      <c r="AA93" s="876"/>
      <c r="AB93" s="876"/>
      <c r="AC93" s="876"/>
      <c r="AD93" s="876"/>
      <c r="AE93" s="876"/>
      <c r="AF93" s="876"/>
      <c r="AG93" s="876"/>
      <c r="AH93" s="876"/>
      <c r="AI93" s="876"/>
      <c r="AJ93" s="876"/>
      <c r="AK93" s="876"/>
      <c r="AL93" s="876"/>
      <c r="AM93" s="876"/>
      <c r="AN93" s="876"/>
      <c r="AO93" s="876"/>
      <c r="AP93" s="876"/>
      <c r="AQ93" s="876"/>
      <c r="AR93" s="876"/>
      <c r="AS93" s="876"/>
      <c r="AT93" s="876"/>
      <c r="AU93" s="876"/>
      <c r="AV93" s="876"/>
      <c r="AW93" s="876"/>
      <c r="AX93" s="876"/>
      <c r="AY93" s="876"/>
      <c r="AZ93" s="876"/>
      <c r="BA93" s="876"/>
      <c r="BB93" s="876"/>
      <c r="BC93" s="876"/>
      <c r="BD93" s="876"/>
      <c r="BE93" s="876"/>
      <c r="BF93" s="876"/>
      <c r="BG93" s="876"/>
      <c r="BH93" s="876"/>
      <c r="BI93" s="876"/>
      <c r="BJ93" s="876"/>
      <c r="BK93" s="876"/>
      <c r="BL93" s="876"/>
      <c r="BM93" s="876"/>
      <c r="BN93" s="876"/>
      <c r="BO93" s="876"/>
      <c r="BP93" s="876"/>
      <c r="BQ93" s="876"/>
      <c r="BR93" s="876"/>
      <c r="BS93" s="876"/>
      <c r="BT93" s="876"/>
      <c r="BU93" s="876"/>
    </row>
    <row r="94" spans="1:73">
      <c r="A94" s="876"/>
      <c r="B94" s="880" t="str">
        <f>+$B$8</f>
        <v>Total Capital Investment</v>
      </c>
      <c r="C94" s="897">
        <f ca="1">+ROUND(I8,0)</f>
        <v>297845247</v>
      </c>
      <c r="D94" s="880" t="str">
        <f t="shared" ca="1" si="18"/>
        <v>Total Capital Investment = $297,845K</v>
      </c>
      <c r="E94" s="892">
        <f t="shared" ref="E94:S95" si="20">+K63</f>
        <v>1.0821025849323265</v>
      </c>
      <c r="F94" s="892">
        <f t="shared" si="20"/>
        <v>0</v>
      </c>
      <c r="G94" s="892">
        <f t="shared" si="20"/>
        <v>7.2458954879169534E-4</v>
      </c>
      <c r="H94" s="892">
        <f t="shared" si="20"/>
        <v>7.2261177589667672E-2</v>
      </c>
      <c r="I94" s="892">
        <f t="shared" si="20"/>
        <v>8.787539454611408E-3</v>
      </c>
      <c r="J94" s="892">
        <f t="shared" si="20"/>
        <v>1.2685275199814931E-2</v>
      </c>
      <c r="K94" s="892">
        <f t="shared" si="20"/>
        <v>2.9542934018394833E-3</v>
      </c>
      <c r="L94" s="892">
        <f t="shared" si="20"/>
        <v>7.1293069397948918E-4</v>
      </c>
      <c r="M94" s="892">
        <f t="shared" si="20"/>
        <v>8.726361214968234E-2</v>
      </c>
      <c r="N94" s="892">
        <f t="shared" si="20"/>
        <v>0.81583675894447782</v>
      </c>
      <c r="O94" s="892">
        <f t="shared" si="20"/>
        <v>1.6910628865952383E-2</v>
      </c>
      <c r="P94" s="892">
        <f t="shared" si="20"/>
        <v>1.0413134795616728E-2</v>
      </c>
      <c r="Q94" s="892">
        <f t="shared" si="20"/>
        <v>4.3193761869975963E-2</v>
      </c>
      <c r="R94" s="892">
        <f t="shared" si="20"/>
        <v>9.8676991840276791E-3</v>
      </c>
      <c r="S94" s="892">
        <f t="shared" si="20"/>
        <v>1.9403623314720613E-3</v>
      </c>
      <c r="T94" s="876"/>
      <c r="U94" s="876"/>
      <c r="V94" s="876"/>
      <c r="W94" s="876"/>
      <c r="X94" s="876"/>
      <c r="Y94" s="876"/>
      <c r="Z94" s="876"/>
      <c r="AA94" s="876"/>
      <c r="AB94" s="876"/>
      <c r="AC94" s="876"/>
      <c r="AD94" s="876"/>
      <c r="AE94" s="876"/>
      <c r="AF94" s="876"/>
      <c r="AG94" s="876"/>
      <c r="AH94" s="876"/>
      <c r="AI94" s="876"/>
      <c r="AJ94" s="876"/>
      <c r="AK94" s="876"/>
      <c r="AL94" s="876"/>
      <c r="AM94" s="876"/>
      <c r="AN94" s="876"/>
      <c r="AO94" s="876"/>
      <c r="AP94" s="876"/>
      <c r="AQ94" s="876"/>
      <c r="AR94" s="876"/>
      <c r="AS94" s="876"/>
      <c r="AT94" s="876"/>
      <c r="AU94" s="876"/>
      <c r="AV94" s="876"/>
      <c r="AW94" s="876"/>
      <c r="AX94" s="876"/>
      <c r="AY94" s="876"/>
      <c r="AZ94" s="876"/>
      <c r="BA94" s="876"/>
      <c r="BB94" s="876"/>
      <c r="BC94" s="876"/>
      <c r="BD94" s="876"/>
      <c r="BE94" s="876"/>
      <c r="BF94" s="876"/>
      <c r="BG94" s="876"/>
      <c r="BH94" s="876"/>
      <c r="BI94" s="876"/>
      <c r="BJ94" s="876"/>
      <c r="BK94" s="876"/>
      <c r="BL94" s="876"/>
      <c r="BM94" s="876"/>
      <c r="BN94" s="876"/>
      <c r="BO94" s="876"/>
      <c r="BP94" s="876"/>
      <c r="BQ94" s="876"/>
      <c r="BR94" s="876"/>
      <c r="BS94" s="876"/>
      <c r="BT94" s="876"/>
      <c r="BU94" s="876"/>
    </row>
    <row r="95" spans="1:73">
      <c r="A95" s="876"/>
      <c r="B95" s="880" t="str">
        <f>+$B$9</f>
        <v>Total Fixed Operating Cost</v>
      </c>
      <c r="C95" s="897">
        <f ca="1">+ROUND(H9,0)</f>
        <v>12884613</v>
      </c>
      <c r="D95" s="880" t="str">
        <f t="shared" ca="1" si="18"/>
        <v>Total Fixed Operating Cost = $12,885K</v>
      </c>
      <c r="E95" s="892">
        <f t="shared" si="20"/>
        <v>1.0701065723104906</v>
      </c>
      <c r="F95" s="892">
        <f t="shared" si="20"/>
        <v>0</v>
      </c>
      <c r="G95" s="892">
        <f t="shared" si="20"/>
        <v>6.9008528456351935E-4</v>
      </c>
      <c r="H95" s="892">
        <f t="shared" si="20"/>
        <v>6.8763896877743688E-2</v>
      </c>
      <c r="I95" s="892">
        <f t="shared" si="20"/>
        <v>8.787539454611408E-3</v>
      </c>
      <c r="J95" s="892">
        <f t="shared" si="20"/>
        <v>1.2602548319655711E-2</v>
      </c>
      <c r="K95" s="892">
        <f t="shared" si="20"/>
        <v>2.9542934018394833E-3</v>
      </c>
      <c r="L95" s="892">
        <f t="shared" si="20"/>
        <v>6.784264297513133E-4</v>
      </c>
      <c r="M95" s="892">
        <f t="shared" si="20"/>
        <v>8.120210617359401E-2</v>
      </c>
      <c r="N95" s="892">
        <f t="shared" si="20"/>
        <v>0.81583675894447782</v>
      </c>
      <c r="O95" s="892">
        <f t="shared" si="20"/>
        <v>1.6910628865952383E-2</v>
      </c>
      <c r="P95" s="892">
        <f t="shared" si="20"/>
        <v>1.0413134795616728E-2</v>
      </c>
      <c r="Q95" s="892">
        <f t="shared" si="20"/>
        <v>4.1103279604089063E-2</v>
      </c>
      <c r="R95" s="892">
        <f t="shared" si="20"/>
        <v>9.6975916291512261E-3</v>
      </c>
      <c r="S95" s="892">
        <f t="shared" si="20"/>
        <v>1.8464530985706127E-3</v>
      </c>
      <c r="T95" s="876"/>
      <c r="U95" s="876"/>
      <c r="V95" s="876"/>
      <c r="W95" s="876"/>
      <c r="X95" s="876"/>
      <c r="Y95" s="876"/>
      <c r="Z95" s="876"/>
      <c r="AA95" s="876"/>
      <c r="AB95" s="876"/>
      <c r="AC95" s="876"/>
      <c r="AD95" s="876"/>
      <c r="AE95" s="876"/>
      <c r="AF95" s="876"/>
      <c r="AG95" s="876"/>
      <c r="AH95" s="876"/>
      <c r="AI95" s="876"/>
      <c r="AJ95" s="876"/>
      <c r="AK95" s="876"/>
      <c r="AL95" s="876"/>
      <c r="AM95" s="876"/>
      <c r="AN95" s="876"/>
      <c r="AO95" s="876"/>
      <c r="AP95" s="876"/>
      <c r="AQ95" s="876"/>
      <c r="AR95" s="876"/>
      <c r="AS95" s="876"/>
      <c r="AT95" s="876"/>
      <c r="AU95" s="876"/>
      <c r="AV95" s="876"/>
      <c r="AW95" s="876"/>
      <c r="AX95" s="876"/>
      <c r="AY95" s="876"/>
      <c r="AZ95" s="876"/>
      <c r="BA95" s="876"/>
      <c r="BB95" s="876"/>
      <c r="BC95" s="876"/>
      <c r="BD95" s="876"/>
      <c r="BE95" s="876"/>
      <c r="BF95" s="876"/>
      <c r="BG95" s="876"/>
      <c r="BH95" s="876"/>
      <c r="BI95" s="876"/>
      <c r="BJ95" s="876"/>
      <c r="BK95" s="876"/>
      <c r="BL95" s="876"/>
      <c r="BM95" s="876"/>
      <c r="BN95" s="876"/>
      <c r="BO95" s="876"/>
      <c r="BP95" s="876"/>
      <c r="BQ95" s="876"/>
      <c r="BR95" s="876"/>
      <c r="BS95" s="876"/>
      <c r="BT95" s="876"/>
      <c r="BU95" s="876"/>
    </row>
    <row r="96" spans="1:73">
      <c r="A96" s="876"/>
      <c r="B96" s="880" t="str">
        <f>+$B$9</f>
        <v>Total Fixed Operating Cost</v>
      </c>
      <c r="C96" s="897">
        <f ca="1">+ROUND(C9,0)</f>
        <v>13562750</v>
      </c>
      <c r="D96" s="880" t="str">
        <f t="shared" ca="1" si="18"/>
        <v>Total Fixed Operating Cost = $13,563K</v>
      </c>
      <c r="E96" s="892">
        <f t="shared" ref="E96:S96" si="21">+K$51</f>
        <v>1.0744589135139428</v>
      </c>
      <c r="F96" s="892">
        <f t="shared" si="21"/>
        <v>0</v>
      </c>
      <c r="G96" s="892">
        <f t="shared" si="21"/>
        <v>6.9008528456351935E-4</v>
      </c>
      <c r="H96" s="892">
        <f t="shared" si="21"/>
        <v>6.8763896877743688E-2</v>
      </c>
      <c r="I96" s="892">
        <f t="shared" si="21"/>
        <v>8.787539454611408E-3</v>
      </c>
      <c r="J96" s="892">
        <f t="shared" si="21"/>
        <v>1.2660876684470445E-2</v>
      </c>
      <c r="K96" s="892">
        <f t="shared" si="21"/>
        <v>2.9542934018394833E-3</v>
      </c>
      <c r="L96" s="892">
        <f t="shared" si="21"/>
        <v>6.784264297513133E-4</v>
      </c>
      <c r="M96" s="892">
        <f t="shared" si="21"/>
        <v>8.5475901235362126E-2</v>
      </c>
      <c r="N96" s="892">
        <f t="shared" si="21"/>
        <v>0.81583675894447782</v>
      </c>
      <c r="O96" s="892">
        <f t="shared" si="21"/>
        <v>1.6910628865952383E-2</v>
      </c>
      <c r="P96" s="892">
        <f t="shared" si="21"/>
        <v>1.0413134795616728E-2</v>
      </c>
      <c r="Q96" s="892">
        <f t="shared" si="21"/>
        <v>4.1103279604089063E-2</v>
      </c>
      <c r="R96" s="892">
        <f t="shared" si="21"/>
        <v>9.7178094060207474E-3</v>
      </c>
      <c r="S96" s="892">
        <f t="shared" si="21"/>
        <v>1.8464530985706127E-3</v>
      </c>
      <c r="T96" s="876"/>
      <c r="U96" s="876"/>
      <c r="V96" s="876"/>
      <c r="W96" s="876"/>
      <c r="X96" s="876"/>
      <c r="Y96" s="876"/>
      <c r="Z96" s="876"/>
      <c r="AA96" s="876"/>
      <c r="AB96" s="876"/>
      <c r="AC96" s="876"/>
      <c r="AD96" s="876"/>
      <c r="AE96" s="876"/>
      <c r="AF96" s="876"/>
      <c r="AG96" s="876"/>
      <c r="AH96" s="876"/>
      <c r="AI96" s="876"/>
      <c r="AJ96" s="876"/>
      <c r="AK96" s="876"/>
      <c r="AL96" s="876"/>
      <c r="AM96" s="876"/>
      <c r="AN96" s="876"/>
      <c r="AO96" s="876"/>
      <c r="AP96" s="876"/>
      <c r="AQ96" s="876"/>
      <c r="AR96" s="876"/>
      <c r="AS96" s="876"/>
      <c r="AT96" s="876"/>
      <c r="AU96" s="876"/>
      <c r="AV96" s="876"/>
      <c r="AW96" s="876"/>
      <c r="AX96" s="876"/>
      <c r="AY96" s="876"/>
      <c r="AZ96" s="876"/>
      <c r="BA96" s="876"/>
      <c r="BB96" s="876"/>
      <c r="BC96" s="876"/>
      <c r="BD96" s="876"/>
      <c r="BE96" s="876"/>
      <c r="BF96" s="876"/>
      <c r="BG96" s="876"/>
      <c r="BH96" s="876"/>
      <c r="BI96" s="876"/>
      <c r="BJ96" s="876"/>
      <c r="BK96" s="876"/>
      <c r="BL96" s="876"/>
      <c r="BM96" s="876"/>
      <c r="BN96" s="876"/>
      <c r="BO96" s="876"/>
      <c r="BP96" s="876"/>
      <c r="BQ96" s="876"/>
      <c r="BR96" s="876"/>
      <c r="BS96" s="876"/>
      <c r="BT96" s="876"/>
      <c r="BU96" s="876"/>
    </row>
    <row r="97" spans="1:73">
      <c r="A97" s="876"/>
      <c r="B97" s="880" t="str">
        <f>+$B$9</f>
        <v>Total Fixed Operating Cost</v>
      </c>
      <c r="C97" s="897">
        <f ca="1">+ROUND(I9,0)</f>
        <v>14240888</v>
      </c>
      <c r="D97" s="880" t="str">
        <f t="shared" ca="1" si="18"/>
        <v>Total Fixed Operating Cost = $14,241K</v>
      </c>
      <c r="E97" s="892">
        <f t="shared" ref="E97:S97" si="22">+K65</f>
        <v>1.0788112547173956</v>
      </c>
      <c r="F97" s="892">
        <f t="shared" si="22"/>
        <v>0</v>
      </c>
      <c r="G97" s="892">
        <f t="shared" si="22"/>
        <v>6.9008528456351935E-4</v>
      </c>
      <c r="H97" s="892">
        <f t="shared" si="22"/>
        <v>6.8763896877743688E-2</v>
      </c>
      <c r="I97" s="892">
        <f t="shared" si="22"/>
        <v>8.787539454611408E-3</v>
      </c>
      <c r="J97" s="892">
        <f t="shared" si="22"/>
        <v>1.2719205049285164E-2</v>
      </c>
      <c r="K97" s="892">
        <f t="shared" si="22"/>
        <v>2.9542934018394833E-3</v>
      </c>
      <c r="L97" s="892">
        <f t="shared" si="22"/>
        <v>6.784264297513133E-4</v>
      </c>
      <c r="M97" s="892">
        <f t="shared" si="22"/>
        <v>8.9749696297130199E-2</v>
      </c>
      <c r="N97" s="892">
        <f t="shared" si="22"/>
        <v>0.81583675894447782</v>
      </c>
      <c r="O97" s="892">
        <f t="shared" si="22"/>
        <v>1.6910628865952383E-2</v>
      </c>
      <c r="P97" s="892">
        <f t="shared" si="22"/>
        <v>1.0413134795616728E-2</v>
      </c>
      <c r="Q97" s="892">
        <f t="shared" si="22"/>
        <v>4.1103279604089063E-2</v>
      </c>
      <c r="R97" s="892">
        <f t="shared" si="22"/>
        <v>9.7380271828903346E-3</v>
      </c>
      <c r="S97" s="892">
        <f t="shared" si="22"/>
        <v>1.8464530985706127E-3</v>
      </c>
      <c r="T97" s="876"/>
      <c r="U97" s="876"/>
      <c r="V97" s="876"/>
      <c r="W97" s="876"/>
      <c r="X97" s="876"/>
      <c r="Y97" s="876"/>
      <c r="Z97" s="876"/>
      <c r="AA97" s="876"/>
      <c r="AB97" s="876"/>
      <c r="AC97" s="876"/>
      <c r="AD97" s="876"/>
      <c r="AE97" s="876"/>
      <c r="AF97" s="876"/>
      <c r="AG97" s="876"/>
      <c r="AH97" s="876"/>
      <c r="AI97" s="876"/>
      <c r="AJ97" s="876"/>
      <c r="AK97" s="876"/>
      <c r="AL97" s="876"/>
      <c r="AM97" s="876"/>
      <c r="AN97" s="876"/>
      <c r="AO97" s="876"/>
      <c r="AP97" s="876"/>
      <c r="AQ97" s="876"/>
      <c r="AR97" s="876"/>
      <c r="AS97" s="876"/>
      <c r="AT97" s="876"/>
      <c r="AU97" s="876"/>
      <c r="AV97" s="876"/>
      <c r="AW97" s="876"/>
      <c r="AX97" s="876"/>
      <c r="AY97" s="876"/>
      <c r="AZ97" s="876"/>
      <c r="BA97" s="876"/>
      <c r="BB97" s="876"/>
      <c r="BC97" s="876"/>
      <c r="BD97" s="876"/>
      <c r="BE97" s="876"/>
      <c r="BF97" s="876"/>
      <c r="BG97" s="876"/>
      <c r="BH97" s="876"/>
      <c r="BI97" s="876"/>
      <c r="BJ97" s="876"/>
      <c r="BK97" s="876"/>
      <c r="BL97" s="876"/>
      <c r="BM97" s="876"/>
      <c r="BN97" s="876"/>
      <c r="BO97" s="876"/>
      <c r="BP97" s="876"/>
      <c r="BQ97" s="876"/>
      <c r="BR97" s="876"/>
      <c r="BS97" s="876"/>
      <c r="BT97" s="876"/>
      <c r="BU97" s="876"/>
    </row>
    <row r="98" spans="1:73">
      <c r="A98" s="876"/>
      <c r="B98" s="876"/>
      <c r="C98" s="876"/>
      <c r="D98" s="876"/>
      <c r="E98" s="876"/>
      <c r="F98" s="876"/>
      <c r="G98" s="876"/>
      <c r="H98" s="876"/>
      <c r="I98" s="876"/>
      <c r="J98" s="876"/>
      <c r="K98" s="876"/>
      <c r="L98" s="876"/>
      <c r="M98" s="876"/>
      <c r="N98" s="876"/>
      <c r="O98" s="876"/>
      <c r="P98" s="876"/>
      <c r="Q98" s="876"/>
      <c r="R98" s="876"/>
      <c r="S98" s="876"/>
      <c r="T98" s="876"/>
      <c r="U98" s="876"/>
      <c r="V98" s="876"/>
      <c r="W98" s="876"/>
      <c r="X98" s="876"/>
      <c r="Y98" s="876"/>
      <c r="Z98" s="876"/>
      <c r="AA98" s="876"/>
      <c r="AB98" s="876"/>
      <c r="AC98" s="876"/>
      <c r="AD98" s="876"/>
      <c r="AE98" s="876"/>
      <c r="AF98" s="876"/>
      <c r="AG98" s="876"/>
      <c r="AH98" s="876"/>
      <c r="AI98" s="876"/>
      <c r="AJ98" s="876"/>
      <c r="AK98" s="876"/>
      <c r="AL98" s="876"/>
      <c r="AM98" s="876"/>
      <c r="AN98" s="876"/>
      <c r="AO98" s="876"/>
      <c r="AP98" s="876"/>
      <c r="AQ98" s="876"/>
      <c r="AR98" s="876"/>
      <c r="AS98" s="876"/>
      <c r="AT98" s="876"/>
      <c r="AU98" s="876"/>
      <c r="AV98" s="876"/>
      <c r="AW98" s="876"/>
      <c r="AX98" s="876"/>
      <c r="AY98" s="876"/>
      <c r="AZ98" s="876"/>
      <c r="BA98" s="876"/>
      <c r="BB98" s="876"/>
      <c r="BC98" s="876"/>
      <c r="BD98" s="876"/>
      <c r="BE98" s="876"/>
      <c r="BF98" s="876"/>
      <c r="BG98" s="876"/>
      <c r="BH98" s="876"/>
      <c r="BI98" s="876"/>
      <c r="BJ98" s="876"/>
      <c r="BK98" s="876"/>
      <c r="BL98" s="876"/>
      <c r="BM98" s="876"/>
      <c r="BN98" s="876"/>
      <c r="BO98" s="876"/>
      <c r="BP98" s="876"/>
      <c r="BQ98" s="876"/>
      <c r="BR98" s="876"/>
      <c r="BS98" s="876"/>
      <c r="BT98" s="876"/>
      <c r="BU98" s="876"/>
    </row>
    <row r="99" spans="1:73">
      <c r="A99" s="876"/>
      <c r="B99" s="876"/>
      <c r="C99" s="876"/>
      <c r="D99" s="876"/>
      <c r="E99" s="876"/>
      <c r="F99" s="876"/>
      <c r="G99" s="876"/>
      <c r="H99" s="876"/>
      <c r="I99" s="876"/>
      <c r="J99" s="876"/>
      <c r="K99" s="876"/>
      <c r="L99" s="876"/>
      <c r="M99" s="876"/>
      <c r="N99" s="876"/>
      <c r="O99" s="876"/>
      <c r="P99" s="876"/>
      <c r="Q99" s="876"/>
      <c r="R99" s="876"/>
      <c r="S99" s="876"/>
      <c r="T99" s="876"/>
      <c r="U99" s="876"/>
      <c r="V99" s="876"/>
      <c r="W99" s="876"/>
      <c r="X99" s="876"/>
      <c r="Y99" s="876"/>
      <c r="Z99" s="876"/>
      <c r="AA99" s="876"/>
      <c r="AB99" s="876"/>
      <c r="AC99" s="876"/>
      <c r="AD99" s="876"/>
      <c r="AE99" s="876"/>
      <c r="AF99" s="876"/>
      <c r="AG99" s="876"/>
      <c r="AH99" s="876"/>
      <c r="AI99" s="876"/>
      <c r="AJ99" s="876"/>
      <c r="AK99" s="876"/>
      <c r="AL99" s="876"/>
      <c r="AM99" s="876"/>
      <c r="AN99" s="876"/>
      <c r="AO99" s="876"/>
      <c r="AP99" s="876"/>
      <c r="AQ99" s="876"/>
      <c r="AR99" s="876"/>
      <c r="AS99" s="876"/>
      <c r="AT99" s="876"/>
      <c r="AU99" s="876"/>
      <c r="AV99" s="876"/>
      <c r="AW99" s="876"/>
      <c r="AX99" s="876"/>
      <c r="AY99" s="876"/>
      <c r="AZ99" s="876"/>
      <c r="BA99" s="876"/>
      <c r="BB99" s="876"/>
      <c r="BC99" s="876"/>
      <c r="BD99" s="876"/>
      <c r="BE99" s="876"/>
      <c r="BF99" s="876"/>
      <c r="BG99" s="876"/>
      <c r="BH99" s="876"/>
      <c r="BI99" s="876"/>
      <c r="BJ99" s="876"/>
      <c r="BK99" s="876"/>
      <c r="BL99" s="876"/>
      <c r="BM99" s="876"/>
      <c r="BN99" s="876"/>
      <c r="BO99" s="876"/>
      <c r="BP99" s="876"/>
      <c r="BQ99" s="876"/>
      <c r="BR99" s="876"/>
      <c r="BS99" s="876"/>
      <c r="BT99" s="876"/>
      <c r="BU99" s="876"/>
    </row>
    <row r="100" spans="1:73" ht="28">
      <c r="A100" s="876"/>
      <c r="B100" s="878" t="s">
        <v>1145</v>
      </c>
      <c r="C100" s="898" t="s">
        <v>1144</v>
      </c>
      <c r="D100" s="1" t="s">
        <v>1154</v>
      </c>
      <c r="E100" s="878" t="s">
        <v>1150</v>
      </c>
      <c r="F100" s="878" t="s">
        <v>1151</v>
      </c>
      <c r="G100" s="878" t="s">
        <v>1152</v>
      </c>
      <c r="H100" s="878" t="s">
        <v>1146</v>
      </c>
      <c r="I100" s="878" t="s">
        <v>1147</v>
      </c>
      <c r="J100" s="878" t="s">
        <v>1148</v>
      </c>
      <c r="K100" s="876"/>
      <c r="L100" s="878" t="s">
        <v>1153</v>
      </c>
      <c r="M100" s="887" t="s">
        <v>1156</v>
      </c>
      <c r="N100" s="887" t="s">
        <v>1139</v>
      </c>
      <c r="O100" s="876"/>
      <c r="P100" s="876"/>
      <c r="Q100" s="876"/>
      <c r="R100" s="876"/>
      <c r="S100" s="876"/>
      <c r="T100" s="876"/>
      <c r="U100" s="876"/>
      <c r="V100" s="876"/>
      <c r="W100" s="876"/>
      <c r="X100" s="876"/>
      <c r="Y100" s="876"/>
      <c r="Z100" s="876"/>
      <c r="AA100" s="876"/>
      <c r="AB100" s="876"/>
      <c r="AC100" s="876"/>
      <c r="AD100" s="876"/>
      <c r="AE100" s="876"/>
      <c r="AF100" s="876"/>
      <c r="AG100" s="876"/>
      <c r="AH100" s="876"/>
      <c r="AI100" s="876"/>
      <c r="AJ100" s="876"/>
      <c r="AK100" s="876"/>
      <c r="AL100" s="876"/>
      <c r="AM100" s="876"/>
      <c r="AN100" s="876"/>
      <c r="AO100" s="876"/>
      <c r="AP100" s="876"/>
      <c r="AQ100" s="876"/>
      <c r="AR100" s="876"/>
      <c r="AS100" s="876"/>
      <c r="AT100" s="876"/>
      <c r="AU100" s="876"/>
      <c r="AV100" s="876"/>
      <c r="AW100" s="876"/>
      <c r="AX100" s="876"/>
      <c r="AY100" s="876"/>
      <c r="AZ100" s="876"/>
      <c r="BA100" s="876"/>
      <c r="BB100" s="876"/>
      <c r="BC100" s="876"/>
      <c r="BD100" s="876"/>
      <c r="BE100" s="876"/>
      <c r="BF100" s="876"/>
      <c r="BG100" s="876"/>
      <c r="BH100" s="876"/>
      <c r="BI100" s="876"/>
      <c r="BJ100" s="876"/>
      <c r="BK100" s="876"/>
      <c r="BL100" s="876"/>
      <c r="BM100" s="876"/>
      <c r="BN100" s="876"/>
      <c r="BO100" s="876"/>
      <c r="BP100" s="876"/>
      <c r="BQ100" s="876"/>
      <c r="BR100" s="876"/>
      <c r="BS100" s="876"/>
      <c r="BT100" s="876"/>
      <c r="BU100" s="876"/>
    </row>
    <row r="101" spans="1:73">
      <c r="A101" s="876"/>
      <c r="B101" s="876"/>
      <c r="C101" s="899">
        <v>1</v>
      </c>
      <c r="D101" s="880" t="str">
        <f t="shared" ref="D101:D107" ca="1" si="23">OFFSET(L$100,MATCH($C101,$N$101:$N$107,0),0)</f>
        <v>Operating Capacity Factor
(95%, 90%, 86%)</v>
      </c>
      <c r="E101" s="972">
        <f t="shared" ref="E101:E107" ca="1" si="24">OFFSET(E$76,MATCH($C101,$N$101:$N$107,0)*3-2,0)</f>
        <v>1.0633569922594281</v>
      </c>
      <c r="F101" s="972">
        <f t="shared" ref="F101:F107" si="25">+$K$51</f>
        <v>1.0744589135139428</v>
      </c>
      <c r="G101" s="972">
        <f t="shared" ref="G101:G107" ca="1" si="26">OFFSET(E$76,MATCH($C101,$N$101:$N$107,0)*3,0)</f>
        <v>1.086729458058407</v>
      </c>
      <c r="H101" s="880">
        <f ca="1">+E101</f>
        <v>1.0633569922594281</v>
      </c>
      <c r="I101" s="880">
        <f ca="1">+F101-E101</f>
        <v>1.1101921254514702E-2</v>
      </c>
      <c r="J101" s="880">
        <f ca="1">+G101-F101</f>
        <v>1.227054454446419E-2</v>
      </c>
      <c r="K101" s="876"/>
      <c r="L101" s="880" t="str">
        <f ca="1">+B3&amp;"
("&amp;TEXT(H3,"0%, ")&amp;TEXT(C3,"0%, ")&amp;TEXT(I3,"0%)")</f>
        <v>Operating Capacity Factor
(95%, 90%, 86%)</v>
      </c>
      <c r="M101" s="890">
        <f>ABS(K52-K53)+0.000000001</f>
        <v>2.3372466798978891E-2</v>
      </c>
      <c r="N101" s="880">
        <f t="shared" ref="N101:N107" si="27">+RANK(M101,$M$101:$M$107)</f>
        <v>1</v>
      </c>
      <c r="O101" s="887"/>
      <c r="P101" s="876"/>
      <c r="Q101" s="876"/>
      <c r="R101" s="876"/>
      <c r="S101" s="876"/>
      <c r="T101" s="876"/>
      <c r="U101" s="876"/>
      <c r="V101" s="876"/>
      <c r="W101" s="876"/>
      <c r="X101" s="876"/>
      <c r="Y101" s="876"/>
      <c r="Z101" s="876"/>
      <c r="AA101" s="876"/>
      <c r="AB101" s="876"/>
      <c r="AC101" s="876"/>
      <c r="AD101" s="876"/>
      <c r="AE101" s="876"/>
      <c r="AF101" s="876"/>
      <c r="AG101" s="876"/>
      <c r="AH101" s="876"/>
      <c r="AI101" s="876"/>
      <c r="AJ101" s="876"/>
      <c r="AK101" s="876"/>
      <c r="AL101" s="876"/>
      <c r="AM101" s="876"/>
      <c r="AN101" s="876"/>
      <c r="AO101" s="876"/>
      <c r="AP101" s="876"/>
      <c r="AQ101" s="876"/>
      <c r="AR101" s="876"/>
      <c r="AS101" s="876"/>
      <c r="AT101" s="876"/>
      <c r="AU101" s="876"/>
      <c r="AV101" s="876"/>
      <c r="AW101" s="876"/>
      <c r="AX101" s="876"/>
      <c r="AY101" s="876"/>
      <c r="AZ101" s="876"/>
      <c r="BA101" s="876"/>
      <c r="BB101" s="876"/>
      <c r="BC101" s="876"/>
      <c r="BD101" s="876"/>
      <c r="BE101" s="876"/>
      <c r="BF101" s="876"/>
      <c r="BG101" s="876"/>
      <c r="BH101" s="876"/>
      <c r="BI101" s="876"/>
      <c r="BJ101" s="876"/>
      <c r="BK101" s="876"/>
      <c r="BL101" s="876"/>
      <c r="BM101" s="876"/>
      <c r="BN101" s="876"/>
      <c r="BO101" s="876"/>
      <c r="BP101" s="876"/>
      <c r="BQ101" s="876"/>
      <c r="BR101" s="876"/>
      <c r="BS101" s="876"/>
      <c r="BT101" s="876"/>
      <c r="BU101" s="876"/>
    </row>
    <row r="102" spans="1:73">
      <c r="A102" s="876"/>
      <c r="B102" s="876"/>
      <c r="C102" s="899">
        <v>2</v>
      </c>
      <c r="D102" s="880" t="str">
        <f t="shared" ca="1" si="23"/>
        <v xml:space="preserve">Total Capital Investment
($269,479K, $283,662K, $297,845K) </v>
      </c>
      <c r="E102" s="972">
        <f t="shared" ca="1" si="24"/>
        <v>1.066815242095559</v>
      </c>
      <c r="F102" s="972">
        <f t="shared" si="25"/>
        <v>1.0744589135139428</v>
      </c>
      <c r="G102" s="972">
        <f t="shared" ca="1" si="26"/>
        <v>1.0821025849323265</v>
      </c>
      <c r="H102" s="880">
        <f t="shared" ref="H102:H107" ca="1" si="28">+E102</f>
        <v>1.066815242095559</v>
      </c>
      <c r="I102" s="880">
        <f t="shared" ref="I102:I107" ca="1" si="29">+F102-E102</f>
        <v>7.6436714183838461E-3</v>
      </c>
      <c r="J102" s="880">
        <f t="shared" ref="J102:J107" ca="1" si="30">+G102-F102</f>
        <v>7.6436714183836241E-3</v>
      </c>
      <c r="K102" s="876"/>
      <c r="L102" s="880" t="str">
        <f ca="1">+B4&amp;"
("&amp;TEXT(H4,"0,000")&amp;", "&amp;TEXT(C4,"0,000")&amp;", "&amp;TEXT(I4,"0,000")&amp;") "</f>
        <v xml:space="preserve">Plant Design Capacity (kg of H2/day)
(507,175, 483,024, 458,873) </v>
      </c>
      <c r="M102" s="890">
        <f>+ABS(K54-K55)+0.000000002</f>
        <v>1.1193421752487222E-2</v>
      </c>
      <c r="N102" s="880">
        <f t="shared" si="27"/>
        <v>3</v>
      </c>
      <c r="O102" s="887"/>
      <c r="P102" s="876"/>
      <c r="Q102" s="876"/>
      <c r="R102" s="876"/>
      <c r="S102" s="876"/>
      <c r="T102" s="876"/>
      <c r="U102" s="876"/>
      <c r="V102" s="876"/>
      <c r="W102" s="876"/>
      <c r="X102" s="876"/>
      <c r="Y102" s="876"/>
      <c r="Z102" s="876"/>
      <c r="AA102" s="876"/>
      <c r="AB102" s="876"/>
      <c r="AC102" s="876"/>
      <c r="AD102" s="876"/>
      <c r="AE102" s="876"/>
      <c r="AF102" s="876"/>
      <c r="AG102" s="876"/>
      <c r="AH102" s="876"/>
      <c r="AI102" s="876"/>
      <c r="AJ102" s="876"/>
      <c r="AK102" s="876"/>
      <c r="AL102" s="876"/>
      <c r="AM102" s="876"/>
      <c r="AN102" s="876"/>
      <c r="AO102" s="876"/>
      <c r="AP102" s="876"/>
      <c r="AQ102" s="876"/>
      <c r="AR102" s="876"/>
      <c r="AS102" s="876"/>
      <c r="AT102" s="876"/>
      <c r="AU102" s="876"/>
      <c r="AV102" s="876"/>
      <c r="AW102" s="876"/>
      <c r="AX102" s="876"/>
      <c r="AY102" s="876"/>
      <c r="AZ102" s="876"/>
      <c r="BA102" s="876"/>
      <c r="BB102" s="876"/>
      <c r="BC102" s="876"/>
      <c r="BD102" s="876"/>
      <c r="BE102" s="876"/>
      <c r="BF102" s="876"/>
      <c r="BG102" s="876"/>
      <c r="BH102" s="876"/>
      <c r="BI102" s="876"/>
      <c r="BJ102" s="876"/>
      <c r="BK102" s="876"/>
      <c r="BL102" s="876"/>
      <c r="BM102" s="876"/>
      <c r="BN102" s="876"/>
      <c r="BO102" s="876"/>
      <c r="BP102" s="876"/>
      <c r="BQ102" s="876"/>
      <c r="BR102" s="876"/>
      <c r="BS102" s="876"/>
      <c r="BT102" s="876"/>
      <c r="BU102" s="876"/>
    </row>
    <row r="103" spans="1:73">
      <c r="A103" s="876"/>
      <c r="B103" s="876"/>
      <c r="C103" s="899">
        <v>3</v>
      </c>
      <c r="D103" s="880" t="str">
        <f t="shared" ca="1" si="23"/>
        <v xml:space="preserve">Plant Design Capacity (kg of H2/day)
(507,175, 483,024, 458,873) </v>
      </c>
      <c r="E103" s="972">
        <f t="shared" ca="1" si="24"/>
        <v>1.0690889287242045</v>
      </c>
      <c r="F103" s="972">
        <f t="shared" si="25"/>
        <v>1.0744589135139428</v>
      </c>
      <c r="G103" s="972">
        <f t="shared" ca="1" si="26"/>
        <v>1.0802823484766917</v>
      </c>
      <c r="H103" s="880">
        <f t="shared" ca="1" si="28"/>
        <v>1.0690889287242045</v>
      </c>
      <c r="I103" s="880">
        <f t="shared" ca="1" si="29"/>
        <v>5.3699847897383801E-3</v>
      </c>
      <c r="J103" s="880">
        <f t="shared" ca="1" si="30"/>
        <v>5.8234349627488413E-3</v>
      </c>
      <c r="K103" s="876"/>
      <c r="L103" s="880" t="str">
        <f ca="1">+B5&amp;"
("&amp;TEXT(H5,"0%, ")&amp;TEXT(C5,"0%, ")&amp;TEXT(I5,"0%)")</f>
        <v>After-tax Real IRR
(8%, 8%, 8%)</v>
      </c>
      <c r="M103" s="890">
        <f>+ABS(K56-K57)+0.000000003</f>
        <v>2.9070329721074557E-3</v>
      </c>
      <c r="N103" s="880">
        <f t="shared" si="27"/>
        <v>5</v>
      </c>
      <c r="O103" s="887"/>
      <c r="P103" s="876"/>
      <c r="Q103" s="876"/>
      <c r="R103" s="876"/>
      <c r="S103" s="876"/>
      <c r="T103" s="876"/>
      <c r="U103" s="876"/>
      <c r="V103" s="876"/>
      <c r="W103" s="876"/>
      <c r="X103" s="876"/>
      <c r="Y103" s="876"/>
      <c r="Z103" s="876"/>
      <c r="AA103" s="876"/>
      <c r="AB103" s="876"/>
      <c r="AC103" s="876"/>
      <c r="AD103" s="876"/>
      <c r="AE103" s="876"/>
      <c r="AF103" s="876"/>
      <c r="AG103" s="876"/>
      <c r="AH103" s="876"/>
      <c r="AI103" s="876"/>
      <c r="AJ103" s="876"/>
      <c r="AK103" s="876"/>
      <c r="AL103" s="876"/>
      <c r="AM103" s="876"/>
      <c r="AN103" s="876"/>
      <c r="AO103" s="876"/>
      <c r="AP103" s="876"/>
      <c r="AQ103" s="876"/>
      <c r="AR103" s="876"/>
      <c r="AS103" s="876"/>
      <c r="AT103" s="876"/>
      <c r="AU103" s="876"/>
      <c r="AV103" s="876"/>
      <c r="AW103" s="876"/>
      <c r="AX103" s="876"/>
      <c r="AY103" s="876"/>
      <c r="AZ103" s="876"/>
      <c r="BA103" s="876"/>
      <c r="BB103" s="876"/>
      <c r="BC103" s="876"/>
      <c r="BD103" s="876"/>
      <c r="BE103" s="876"/>
      <c r="BF103" s="876"/>
      <c r="BG103" s="876"/>
      <c r="BH103" s="876"/>
      <c r="BI103" s="876"/>
      <c r="BJ103" s="876"/>
      <c r="BK103" s="876"/>
      <c r="BL103" s="876"/>
      <c r="BM103" s="876"/>
      <c r="BN103" s="876"/>
      <c r="BO103" s="876"/>
      <c r="BP103" s="876"/>
      <c r="BQ103" s="876"/>
      <c r="BR103" s="876"/>
      <c r="BS103" s="876"/>
      <c r="BT103" s="876"/>
      <c r="BU103" s="876"/>
    </row>
    <row r="104" spans="1:73">
      <c r="A104" s="876"/>
      <c r="B104" s="876"/>
      <c r="C104" s="899">
        <v>4</v>
      </c>
      <c r="D104" s="880" t="str">
        <f t="shared" ca="1" si="23"/>
        <v xml:space="preserve">Total Fixed Operating Cost
($12,885K, $13,563K, $14,241K) </v>
      </c>
      <c r="E104" s="972">
        <f t="shared" ca="1" si="24"/>
        <v>1.0701065723104906</v>
      </c>
      <c r="F104" s="972">
        <f t="shared" si="25"/>
        <v>1.0744589135139428</v>
      </c>
      <c r="G104" s="972">
        <f t="shared" ca="1" si="26"/>
        <v>1.0788112547173956</v>
      </c>
      <c r="H104" s="880">
        <f t="shared" ca="1" si="28"/>
        <v>1.0701065723104906</v>
      </c>
      <c r="I104" s="880">
        <f t="shared" ca="1" si="29"/>
        <v>4.3523412034522924E-3</v>
      </c>
      <c r="J104" s="880">
        <f t="shared" ca="1" si="30"/>
        <v>4.3523412034527365E-3</v>
      </c>
      <c r="K104" s="876"/>
      <c r="L104" s="880" t="str">
        <f>+B6&amp;"
("&amp;TEXT(H6,"0%, ")&amp;TEXT(C6,"0%, ")&amp;TEXT(I6,"0%)")</f>
        <v>Feedstock Consumption (% of baseline)
(95%, 100%, 105%)</v>
      </c>
      <c r="M104" s="890">
        <f>+ABS(K58-K59)+0.000000004</f>
        <v>4.0000000000000002E-9</v>
      </c>
      <c r="N104" s="880">
        <f t="shared" si="27"/>
        <v>6</v>
      </c>
      <c r="O104" s="887"/>
      <c r="P104" s="876"/>
      <c r="Q104" s="876"/>
      <c r="R104" s="876"/>
      <c r="S104" s="876"/>
      <c r="T104" s="876"/>
      <c r="U104" s="876"/>
      <c r="V104" s="876"/>
      <c r="W104" s="876"/>
      <c r="X104" s="876"/>
      <c r="Y104" s="876"/>
      <c r="Z104" s="876"/>
      <c r="AA104" s="876"/>
      <c r="AB104" s="876"/>
      <c r="AC104" s="876"/>
      <c r="AD104" s="876"/>
      <c r="AE104" s="876"/>
      <c r="AF104" s="876"/>
      <c r="AG104" s="876"/>
      <c r="AH104" s="876"/>
      <c r="AI104" s="876"/>
      <c r="AJ104" s="876"/>
      <c r="AK104" s="876"/>
      <c r="AL104" s="876"/>
      <c r="AM104" s="876"/>
      <c r="AN104" s="876"/>
      <c r="AO104" s="876"/>
      <c r="AP104" s="876"/>
      <c r="AQ104" s="876"/>
      <c r="AR104" s="876"/>
      <c r="AS104" s="876"/>
      <c r="AT104" s="876"/>
      <c r="AU104" s="876"/>
      <c r="AV104" s="876"/>
      <c r="AW104" s="876"/>
      <c r="AX104" s="876"/>
      <c r="AY104" s="876"/>
      <c r="AZ104" s="876"/>
      <c r="BA104" s="876"/>
      <c r="BB104" s="876"/>
      <c r="BC104" s="876"/>
      <c r="BD104" s="876"/>
      <c r="BE104" s="876"/>
      <c r="BF104" s="876"/>
      <c r="BG104" s="876"/>
      <c r="BH104" s="876"/>
      <c r="BI104" s="876"/>
      <c r="BJ104" s="876"/>
      <c r="BK104" s="876"/>
      <c r="BL104" s="876"/>
      <c r="BM104" s="876"/>
      <c r="BN104" s="876"/>
      <c r="BO104" s="876"/>
      <c r="BP104" s="876"/>
      <c r="BQ104" s="876"/>
      <c r="BR104" s="876"/>
      <c r="BS104" s="876"/>
      <c r="BT104" s="876"/>
      <c r="BU104" s="876"/>
    </row>
    <row r="105" spans="1:73">
      <c r="A105" s="876"/>
      <c r="B105" s="876"/>
      <c r="C105" s="899">
        <v>5</v>
      </c>
      <c r="D105" s="880" t="str">
        <f t="shared" ca="1" si="23"/>
        <v>After-tax Real IRR
(8%, 8%, 8%)</v>
      </c>
      <c r="E105" s="972">
        <f t="shared" ca="1" si="24"/>
        <v>1.073118127311099</v>
      </c>
      <c r="F105" s="972">
        <f t="shared" si="25"/>
        <v>1.0744589135139428</v>
      </c>
      <c r="G105" s="972">
        <f t="shared" ca="1" si="26"/>
        <v>1.0760251572832065</v>
      </c>
      <c r="H105" s="880">
        <f ca="1">+E105</f>
        <v>1.073118127311099</v>
      </c>
      <c r="I105" s="880">
        <f ca="1">+F105-E105</f>
        <v>1.3407862028438355E-3</v>
      </c>
      <c r="J105" s="880">
        <f ca="1">+G105-F105</f>
        <v>1.56624376926362E-3</v>
      </c>
      <c r="K105" s="876"/>
      <c r="L105" s="880" t="str">
        <f>+B7&amp;"
("&amp;TEXT(H7,"0%, ")&amp;TEXT(C7,"0%, ")&amp;TEXT(I7,"0%)")</f>
        <v>Utilities Consumption (% of baseline)
(95%, 100%, 105%)</v>
      </c>
      <c r="M105" s="890">
        <f>+ABS(K60-K61)+0.000000004</f>
        <v>4.0000000000000002E-9</v>
      </c>
      <c r="N105" s="880">
        <f t="shared" si="27"/>
        <v>6</v>
      </c>
      <c r="O105" s="887"/>
      <c r="P105" s="876"/>
      <c r="Q105" s="876"/>
      <c r="R105" s="876"/>
      <c r="S105" s="876"/>
      <c r="T105" s="876"/>
      <c r="U105" s="876"/>
      <c r="V105" s="876"/>
      <c r="W105" s="876"/>
      <c r="X105" s="876"/>
      <c r="Y105" s="876"/>
      <c r="Z105" s="876"/>
      <c r="AA105" s="876"/>
      <c r="AB105" s="876"/>
      <c r="AC105" s="876"/>
      <c r="AD105" s="876"/>
      <c r="AE105" s="876"/>
      <c r="AF105" s="876"/>
      <c r="AG105" s="876"/>
      <c r="AH105" s="876"/>
      <c r="AI105" s="876"/>
      <c r="AJ105" s="876"/>
      <c r="AK105" s="876"/>
      <c r="AL105" s="876"/>
      <c r="AM105" s="876"/>
      <c r="AN105" s="876"/>
      <c r="AO105" s="876"/>
      <c r="AP105" s="876"/>
      <c r="AQ105" s="876"/>
      <c r="AR105" s="876"/>
      <c r="AS105" s="876"/>
      <c r="AT105" s="876"/>
      <c r="AU105" s="876"/>
      <c r="AV105" s="876"/>
      <c r="AW105" s="876"/>
      <c r="AX105" s="876"/>
      <c r="AY105" s="876"/>
      <c r="AZ105" s="876"/>
      <c r="BA105" s="876"/>
      <c r="BB105" s="876"/>
      <c r="BC105" s="876"/>
      <c r="BD105" s="876"/>
      <c r="BE105" s="876"/>
      <c r="BF105" s="876"/>
      <c r="BG105" s="876"/>
      <c r="BH105" s="876"/>
      <c r="BI105" s="876"/>
      <c r="BJ105" s="876"/>
      <c r="BK105" s="876"/>
      <c r="BL105" s="876"/>
      <c r="BM105" s="876"/>
      <c r="BN105" s="876"/>
      <c r="BO105" s="876"/>
      <c r="BP105" s="876"/>
      <c r="BQ105" s="876"/>
      <c r="BR105" s="876"/>
      <c r="BS105" s="876"/>
      <c r="BT105" s="876"/>
      <c r="BU105" s="876"/>
    </row>
    <row r="106" spans="1:73">
      <c r="A106" s="876"/>
      <c r="B106" s="876"/>
      <c r="C106" s="899">
        <v>6</v>
      </c>
      <c r="D106" s="880" t="str">
        <f t="shared" ca="1" si="23"/>
        <v>Feedstock Consumption (% of baseline)
(95%, 100%, 105%)</v>
      </c>
      <c r="E106" s="972">
        <f t="shared" ca="1" si="24"/>
        <v>1.0744589135139428</v>
      </c>
      <c r="F106" s="972">
        <f t="shared" si="25"/>
        <v>1.0744589135139428</v>
      </c>
      <c r="G106" s="972">
        <f t="shared" ca="1" si="26"/>
        <v>1.0744589135139428</v>
      </c>
      <c r="H106" s="880">
        <f t="shared" ca="1" si="28"/>
        <v>1.0744589135139428</v>
      </c>
      <c r="I106" s="880">
        <f t="shared" ca="1" si="29"/>
        <v>0</v>
      </c>
      <c r="J106" s="880">
        <f t="shared" ca="1" si="30"/>
        <v>0</v>
      </c>
      <c r="K106" s="876"/>
      <c r="L106" s="880" t="str">
        <f ca="1">+B8&amp;"
("&amp;TEXT(H8/1000,"$0,000K")&amp;", "&amp;TEXT(C8/1000,"$0,000K")&amp;", "&amp;TEXT(I8/1000,"$0,000K")&amp;") "</f>
        <v xml:space="preserve">Total Capital Investment
($269,479K, $283,662K, $297,845K) </v>
      </c>
      <c r="M106" s="890">
        <f>+ABS(K62-K63)+0.000000006</f>
        <v>1.5287348836767471E-2</v>
      </c>
      <c r="N106" s="880">
        <f t="shared" si="27"/>
        <v>2</v>
      </c>
      <c r="O106" s="887"/>
      <c r="P106" s="876"/>
      <c r="Q106" s="876"/>
      <c r="R106" s="876"/>
      <c r="S106" s="876"/>
      <c r="T106" s="876"/>
      <c r="U106" s="876"/>
      <c r="V106" s="876"/>
      <c r="W106" s="876"/>
      <c r="X106" s="876"/>
      <c r="Y106" s="876"/>
      <c r="Z106" s="876"/>
      <c r="AA106" s="876"/>
      <c r="AB106" s="876"/>
      <c r="AC106" s="876"/>
      <c r="AD106" s="876"/>
      <c r="AE106" s="876"/>
      <c r="AF106" s="876"/>
      <c r="AG106" s="876"/>
      <c r="AH106" s="876"/>
      <c r="AI106" s="876"/>
      <c r="AJ106" s="876"/>
      <c r="AK106" s="876"/>
      <c r="AL106" s="876"/>
      <c r="AM106" s="876"/>
      <c r="AN106" s="876"/>
      <c r="AO106" s="876"/>
      <c r="AP106" s="876"/>
      <c r="AQ106" s="876"/>
      <c r="AR106" s="876"/>
      <c r="AS106" s="876"/>
      <c r="AT106" s="876"/>
      <c r="AU106" s="876"/>
      <c r="AV106" s="876"/>
      <c r="AW106" s="876"/>
      <c r="AX106" s="876"/>
      <c r="AY106" s="876"/>
      <c r="AZ106" s="876"/>
      <c r="BA106" s="876"/>
      <c r="BB106" s="876"/>
      <c r="BC106" s="876"/>
      <c r="BD106" s="876"/>
      <c r="BE106" s="876"/>
      <c r="BF106" s="876"/>
      <c r="BG106" s="876"/>
      <c r="BH106" s="876"/>
      <c r="BI106" s="876"/>
      <c r="BJ106" s="876"/>
      <c r="BK106" s="876"/>
      <c r="BL106" s="876"/>
      <c r="BM106" s="876"/>
      <c r="BN106" s="876"/>
      <c r="BO106" s="876"/>
      <c r="BP106" s="876"/>
      <c r="BQ106" s="876"/>
      <c r="BR106" s="876"/>
      <c r="BS106" s="876"/>
      <c r="BT106" s="876"/>
      <c r="BU106" s="876"/>
    </row>
    <row r="107" spans="1:73">
      <c r="A107" s="876"/>
      <c r="B107" s="876"/>
      <c r="C107" s="899">
        <v>7</v>
      </c>
      <c r="D107" s="880" t="e">
        <f t="shared" ca="1" si="23"/>
        <v>#N/A</v>
      </c>
      <c r="E107" s="972" t="e">
        <f t="shared" ca="1" si="24"/>
        <v>#N/A</v>
      </c>
      <c r="F107" s="972">
        <f t="shared" si="25"/>
        <v>1.0744589135139428</v>
      </c>
      <c r="G107" s="972" t="e">
        <f t="shared" ca="1" si="26"/>
        <v>#N/A</v>
      </c>
      <c r="H107" s="880" t="e">
        <f t="shared" ca="1" si="28"/>
        <v>#N/A</v>
      </c>
      <c r="I107" s="880" t="e">
        <f t="shared" ca="1" si="29"/>
        <v>#N/A</v>
      </c>
      <c r="J107" s="880" t="e">
        <f t="shared" ca="1" si="30"/>
        <v>#N/A</v>
      </c>
      <c r="K107" s="876"/>
      <c r="L107" s="880" t="str">
        <f ca="1">+B9&amp;"
("&amp;TEXT(H9/1000,"$0,000K")&amp;", "&amp;TEXT(C9/1000,"$0,000K")&amp;", "&amp;TEXT(I9/1000,"$0,000K")&amp;") "</f>
        <v xml:space="preserve">Total Fixed Operating Cost
($12,885K, $13,563K, $14,241K) </v>
      </c>
      <c r="M107" s="890">
        <f>+ABS(K64-K65)+0.00000007</f>
        <v>8.7047524069050284E-3</v>
      </c>
      <c r="N107" s="880">
        <f t="shared" si="27"/>
        <v>4</v>
      </c>
      <c r="O107" s="887"/>
      <c r="P107" s="876"/>
      <c r="Q107" s="876"/>
      <c r="R107" s="876"/>
      <c r="S107" s="876"/>
      <c r="T107" s="876"/>
      <c r="U107" s="876"/>
      <c r="V107" s="876"/>
      <c r="W107" s="876"/>
      <c r="X107" s="876"/>
      <c r="Y107" s="876"/>
      <c r="Z107" s="876"/>
      <c r="AA107" s="876"/>
      <c r="AB107" s="876"/>
      <c r="AC107" s="876"/>
      <c r="AD107" s="876"/>
      <c r="AE107" s="876"/>
      <c r="AF107" s="876"/>
      <c r="AG107" s="876"/>
      <c r="AH107" s="876"/>
      <c r="AI107" s="876"/>
      <c r="AJ107" s="876"/>
      <c r="AK107" s="876"/>
      <c r="AL107" s="876"/>
      <c r="AM107" s="876"/>
      <c r="AN107" s="876"/>
      <c r="AO107" s="876"/>
      <c r="AP107" s="876"/>
      <c r="AQ107" s="876"/>
      <c r="AR107" s="876"/>
      <c r="AS107" s="876"/>
      <c r="AT107" s="876"/>
      <c r="AU107" s="876"/>
      <c r="AV107" s="876"/>
      <c r="AW107" s="876"/>
      <c r="AX107" s="876"/>
      <c r="AY107" s="876"/>
      <c r="AZ107" s="876"/>
      <c r="BA107" s="876"/>
      <c r="BB107" s="876"/>
      <c r="BC107" s="876"/>
      <c r="BD107" s="876"/>
      <c r="BE107" s="876"/>
      <c r="BF107" s="876"/>
      <c r="BG107" s="876"/>
      <c r="BH107" s="876"/>
      <c r="BI107" s="876"/>
      <c r="BJ107" s="876"/>
      <c r="BK107" s="876"/>
      <c r="BL107" s="876"/>
      <c r="BM107" s="876"/>
      <c r="BN107" s="876"/>
      <c r="BO107" s="876"/>
      <c r="BP107" s="876"/>
      <c r="BQ107" s="876"/>
      <c r="BR107" s="876"/>
      <c r="BS107" s="876"/>
      <c r="BT107" s="876"/>
      <c r="BU107" s="876"/>
    </row>
    <row r="108" spans="1:73">
      <c r="A108" s="876"/>
      <c r="B108" s="876"/>
      <c r="C108" s="876"/>
      <c r="D108" s="876"/>
      <c r="E108" s="876"/>
      <c r="F108" s="876"/>
      <c r="G108" s="876"/>
      <c r="H108" s="876"/>
      <c r="I108" s="876"/>
      <c r="J108" s="876"/>
      <c r="K108" s="876"/>
      <c r="L108" s="876"/>
      <c r="M108" s="876"/>
      <c r="N108" s="876"/>
      <c r="O108" s="876"/>
      <c r="P108" s="876"/>
      <c r="Q108" s="876"/>
      <c r="R108" s="876"/>
      <c r="S108" s="876"/>
      <c r="T108" s="876"/>
      <c r="U108" s="876"/>
      <c r="V108" s="876"/>
      <c r="W108" s="876"/>
      <c r="X108" s="876"/>
      <c r="Y108" s="876"/>
      <c r="Z108" s="876"/>
      <c r="AA108" s="876"/>
      <c r="AB108" s="876"/>
      <c r="AC108" s="876"/>
      <c r="AD108" s="876"/>
      <c r="AE108" s="876"/>
      <c r="AF108" s="876"/>
      <c r="AG108" s="876"/>
      <c r="AH108" s="876"/>
      <c r="AI108" s="876"/>
      <c r="AJ108" s="876"/>
      <c r="AK108" s="876"/>
      <c r="AL108" s="876"/>
      <c r="AM108" s="876"/>
      <c r="AN108" s="876"/>
      <c r="AO108" s="876"/>
      <c r="AP108" s="876"/>
      <c r="AQ108" s="876"/>
      <c r="AR108" s="876"/>
      <c r="AS108" s="876"/>
      <c r="AT108" s="876"/>
      <c r="AU108" s="876"/>
      <c r="AV108" s="876"/>
      <c r="AW108" s="876"/>
      <c r="AX108" s="876"/>
      <c r="AY108" s="876"/>
      <c r="AZ108" s="876"/>
      <c r="BA108" s="876"/>
      <c r="BB108" s="876"/>
      <c r="BC108" s="876"/>
      <c r="BD108" s="876"/>
      <c r="BE108" s="876"/>
      <c r="BF108" s="876"/>
      <c r="BG108" s="876"/>
      <c r="BH108" s="876"/>
      <c r="BI108" s="876"/>
      <c r="BJ108" s="876"/>
      <c r="BK108" s="876"/>
      <c r="BL108" s="876"/>
      <c r="BM108" s="876"/>
      <c r="BN108" s="876"/>
      <c r="BO108" s="876"/>
      <c r="BP108" s="876"/>
      <c r="BQ108" s="876"/>
      <c r="BR108" s="876"/>
      <c r="BS108" s="876"/>
      <c r="BT108" s="876"/>
      <c r="BU108" s="876"/>
    </row>
    <row r="109" spans="1:73">
      <c r="A109" s="876"/>
      <c r="B109" s="876"/>
      <c r="C109" s="876"/>
      <c r="D109" s="876"/>
      <c r="E109" s="876"/>
      <c r="F109" s="876"/>
      <c r="G109" s="876"/>
      <c r="H109" s="876"/>
      <c r="I109" s="876"/>
      <c r="J109" s="876"/>
      <c r="K109" s="876"/>
      <c r="L109" s="876"/>
      <c r="M109" s="876"/>
      <c r="N109" s="876"/>
      <c r="O109" s="876"/>
      <c r="P109" s="876"/>
      <c r="Q109" s="876"/>
      <c r="R109" s="876"/>
      <c r="S109" s="876"/>
      <c r="T109" s="876"/>
      <c r="U109" s="876"/>
      <c r="V109" s="876"/>
      <c r="W109" s="876"/>
      <c r="X109" s="876"/>
      <c r="Y109" s="876"/>
      <c r="Z109" s="876"/>
      <c r="AA109" s="876"/>
      <c r="AB109" s="876"/>
      <c r="AC109" s="876"/>
      <c r="AD109" s="876"/>
      <c r="AE109" s="876"/>
      <c r="AF109" s="876"/>
      <c r="AG109" s="876"/>
      <c r="AH109" s="876"/>
      <c r="AI109" s="876"/>
      <c r="AJ109" s="876"/>
      <c r="AK109" s="876"/>
      <c r="AL109" s="876"/>
      <c r="AM109" s="876"/>
      <c r="AN109" s="876"/>
      <c r="AO109" s="876"/>
      <c r="AP109" s="876"/>
      <c r="AQ109" s="876"/>
      <c r="AR109" s="876"/>
      <c r="AS109" s="876"/>
      <c r="AT109" s="876"/>
      <c r="AU109" s="876"/>
      <c r="AV109" s="876"/>
      <c r="AW109" s="876"/>
      <c r="AX109" s="876"/>
      <c r="AY109" s="876"/>
      <c r="AZ109" s="876"/>
      <c r="BA109" s="876"/>
      <c r="BB109" s="876"/>
      <c r="BC109" s="876"/>
      <c r="BD109" s="876"/>
      <c r="BE109" s="876"/>
      <c r="BF109" s="876"/>
      <c r="BG109" s="876"/>
      <c r="BH109" s="876"/>
      <c r="BI109" s="876"/>
      <c r="BJ109" s="876"/>
      <c r="BK109" s="876"/>
      <c r="BL109" s="876"/>
      <c r="BM109" s="876"/>
      <c r="BN109" s="876"/>
      <c r="BO109" s="876"/>
      <c r="BP109" s="876"/>
      <c r="BQ109" s="876"/>
      <c r="BR109" s="876"/>
      <c r="BS109" s="876"/>
      <c r="BT109" s="876"/>
      <c r="BU109" s="876"/>
    </row>
    <row r="110" spans="1:73" ht="56">
      <c r="A110" s="876"/>
      <c r="B110" s="878" t="s">
        <v>1157</v>
      </c>
      <c r="C110" s="898" t="s">
        <v>1144</v>
      </c>
      <c r="D110" s="887" t="str">
        <f>+D76</f>
        <v>Chart titles</v>
      </c>
      <c r="E110" s="887" t="s">
        <v>1177</v>
      </c>
      <c r="F110" s="887" t="s">
        <v>1178</v>
      </c>
      <c r="G110" s="887" t="str">
        <f>+G76</f>
        <v>Salvage Value</v>
      </c>
      <c r="H110" s="887" t="str">
        <f t="shared" ref="H110:S110" si="31">+H76</f>
        <v>Initial Equity Depreciable Capital</v>
      </c>
      <c r="I110" s="887" t="str">
        <f t="shared" si="31"/>
        <v>Yearly Replacement Costs</v>
      </c>
      <c r="J110" s="887" t="str">
        <f t="shared" si="31"/>
        <v>Cash for Working Capital Reserve</v>
      </c>
      <c r="K110" s="887" t="str">
        <f t="shared" si="31"/>
        <v>Other Non-Depreciable Capital Costs</v>
      </c>
      <c r="L110" s="887" t="str">
        <f t="shared" si="31"/>
        <v>Decommissioning Costs</v>
      </c>
      <c r="M110" s="887" t="str">
        <f t="shared" si="31"/>
        <v>Fixed Operating Cost</v>
      </c>
      <c r="N110" s="887" t="str">
        <f t="shared" si="31"/>
        <v>Feedstock Cost</v>
      </c>
      <c r="O110" s="887" t="str">
        <f t="shared" si="31"/>
        <v>Other Raw Material Cost</v>
      </c>
      <c r="P110" s="887" t="str">
        <f t="shared" si="31"/>
        <v>Other Variable Operating Costs</v>
      </c>
      <c r="Q110" s="887" t="str">
        <f t="shared" si="31"/>
        <v>Debt Interest</v>
      </c>
      <c r="R110" s="887" t="str">
        <f t="shared" si="31"/>
        <v>Taxes</v>
      </c>
      <c r="S110" s="887" t="str">
        <f t="shared" si="31"/>
        <v>Principal Payment</v>
      </c>
      <c r="T110" s="876"/>
      <c r="U110" s="876"/>
      <c r="V110" s="876"/>
      <c r="W110" s="876"/>
      <c r="X110" s="876"/>
      <c r="Y110" s="876"/>
      <c r="Z110" s="876"/>
      <c r="AA110" s="876"/>
      <c r="AB110" s="876"/>
      <c r="AC110" s="876"/>
      <c r="AD110" s="876"/>
      <c r="AE110" s="876"/>
      <c r="AF110" s="876"/>
      <c r="AG110" s="876"/>
      <c r="AH110" s="876"/>
      <c r="AI110" s="876"/>
      <c r="AJ110" s="876"/>
      <c r="AK110" s="876"/>
      <c r="AL110" s="876"/>
      <c r="AM110" s="876"/>
      <c r="AN110" s="876"/>
      <c r="AO110" s="876"/>
      <c r="AP110" s="876"/>
      <c r="AQ110" s="876"/>
      <c r="AR110" s="876"/>
      <c r="AS110" s="876"/>
      <c r="AT110" s="876"/>
      <c r="AU110" s="876"/>
      <c r="AV110" s="876"/>
      <c r="AW110" s="876"/>
      <c r="AX110" s="876"/>
      <c r="AY110" s="876"/>
      <c r="AZ110" s="876"/>
      <c r="BA110" s="876"/>
      <c r="BB110" s="876"/>
      <c r="BC110" s="876"/>
      <c r="BD110" s="876"/>
      <c r="BE110" s="876"/>
      <c r="BF110" s="876"/>
      <c r="BG110" s="876"/>
      <c r="BH110" s="876"/>
      <c r="BI110" s="876"/>
      <c r="BJ110" s="876"/>
      <c r="BK110" s="876"/>
      <c r="BL110" s="876"/>
      <c r="BM110" s="876"/>
      <c r="BN110" s="876"/>
      <c r="BO110" s="876"/>
      <c r="BP110" s="876"/>
      <c r="BQ110" s="876"/>
      <c r="BR110" s="876"/>
      <c r="BS110" s="876"/>
      <c r="BT110" s="876"/>
      <c r="BU110" s="876"/>
    </row>
    <row r="111" spans="1:73">
      <c r="A111" s="876"/>
      <c r="B111" s="876"/>
      <c r="C111" s="899">
        <v>1</v>
      </c>
      <c r="D111" s="879" t="s">
        <v>1176</v>
      </c>
      <c r="E111" s="892">
        <f ca="1">OFFSET(E$76,MATCH($C111,$N$101:$N$107,0)*3-1,0)</f>
        <v>1.0744589135139428</v>
      </c>
      <c r="F111" s="892">
        <f ca="1">OFFSET(F$76,MATCH($C111,$N$101:$N$107,0)*3-1,0)</f>
        <v>0</v>
      </c>
      <c r="G111" s="892">
        <f ca="1">OFFSET(G$76,MATCH($C111,$N$101:$N$107,0)*3-1,0)</f>
        <v>6.9008528456351935E-4</v>
      </c>
      <c r="H111" s="880"/>
      <c r="I111" s="880"/>
      <c r="J111" s="880"/>
      <c r="K111" s="880"/>
      <c r="L111" s="880"/>
      <c r="M111" s="880"/>
      <c r="N111" s="880"/>
      <c r="O111" s="880"/>
      <c r="P111" s="880"/>
      <c r="Q111" s="880"/>
      <c r="R111" s="880"/>
      <c r="S111" s="880"/>
      <c r="T111" s="876"/>
      <c r="U111" s="876"/>
      <c r="V111" s="876"/>
      <c r="W111" s="876"/>
      <c r="X111" s="876"/>
      <c r="Y111" s="876"/>
      <c r="Z111" s="876"/>
      <c r="AA111" s="876"/>
      <c r="AB111" s="876"/>
      <c r="AC111" s="876"/>
      <c r="AD111" s="876"/>
      <c r="AE111" s="876"/>
      <c r="AF111" s="876"/>
      <c r="AG111" s="876"/>
      <c r="AH111" s="876"/>
      <c r="AI111" s="876"/>
      <c r="AJ111" s="876"/>
      <c r="AK111" s="876"/>
      <c r="AL111" s="876"/>
      <c r="AM111" s="876"/>
      <c r="AN111" s="876"/>
      <c r="AO111" s="876"/>
      <c r="AP111" s="876"/>
      <c r="AQ111" s="876"/>
      <c r="AR111" s="876"/>
      <c r="AS111" s="876"/>
      <c r="AT111" s="876"/>
      <c r="AU111" s="876"/>
      <c r="AV111" s="876"/>
      <c r="AW111" s="876"/>
      <c r="AX111" s="876"/>
      <c r="AY111" s="876"/>
      <c r="AZ111" s="876"/>
      <c r="BA111" s="876"/>
      <c r="BB111" s="876"/>
      <c r="BC111" s="876"/>
      <c r="BD111" s="876"/>
      <c r="BE111" s="876"/>
      <c r="BF111" s="876"/>
      <c r="BG111" s="876"/>
      <c r="BH111" s="876"/>
      <c r="BI111" s="876"/>
      <c r="BJ111" s="876"/>
      <c r="BK111" s="876"/>
      <c r="BL111" s="876"/>
      <c r="BM111" s="876"/>
      <c r="BN111" s="876"/>
      <c r="BO111" s="876"/>
      <c r="BP111" s="876"/>
      <c r="BQ111" s="876"/>
      <c r="BR111" s="876"/>
      <c r="BS111" s="876"/>
      <c r="BT111" s="876"/>
      <c r="BU111" s="876"/>
    </row>
    <row r="112" spans="1:73">
      <c r="A112" s="876"/>
      <c r="B112" s="878"/>
      <c r="C112" s="976"/>
      <c r="D112" s="977"/>
      <c r="E112" s="978"/>
      <c r="F112" s="978"/>
      <c r="G112" s="978"/>
      <c r="H112" s="892">
        <f t="shared" ref="H112:S112" ca="1" si="32">OFFSET(H$76,MATCH($C111,$N$101:$N$107,0)*3-1,0)</f>
        <v>6.8763896877743688E-2</v>
      </c>
      <c r="I112" s="892">
        <f t="shared" ca="1" si="32"/>
        <v>8.787539454611408E-3</v>
      </c>
      <c r="J112" s="892">
        <f t="shared" ca="1" si="32"/>
        <v>1.2660876684470445E-2</v>
      </c>
      <c r="K112" s="892">
        <f t="shared" ca="1" si="32"/>
        <v>2.9542934018394833E-3</v>
      </c>
      <c r="L112" s="892">
        <f t="shared" ca="1" si="32"/>
        <v>6.784264297513133E-4</v>
      </c>
      <c r="M112" s="892">
        <f t="shared" ca="1" si="32"/>
        <v>8.5475901235362126E-2</v>
      </c>
      <c r="N112" s="892">
        <f t="shared" ca="1" si="32"/>
        <v>0.81583675894447782</v>
      </c>
      <c r="O112" s="892">
        <f t="shared" ca="1" si="32"/>
        <v>1.6910628865952383E-2</v>
      </c>
      <c r="P112" s="892">
        <f t="shared" ca="1" si="32"/>
        <v>1.0413134795616728E-2</v>
      </c>
      <c r="Q112" s="892">
        <f t="shared" ca="1" si="32"/>
        <v>4.1103279604089063E-2</v>
      </c>
      <c r="R112" s="892">
        <f t="shared" ca="1" si="32"/>
        <v>9.7178094060207474E-3</v>
      </c>
      <c r="S112" s="892">
        <f t="shared" ca="1" si="32"/>
        <v>1.8464530985706127E-3</v>
      </c>
      <c r="T112" s="876"/>
      <c r="U112" s="876"/>
      <c r="V112" s="876"/>
      <c r="W112" s="876"/>
      <c r="X112" s="876"/>
      <c r="Y112" s="876"/>
      <c r="Z112" s="876"/>
      <c r="AA112" s="876"/>
      <c r="AB112" s="876"/>
      <c r="AC112" s="876"/>
      <c r="AD112" s="876"/>
      <c r="AE112" s="876"/>
      <c r="AF112" s="876"/>
      <c r="AG112" s="876"/>
      <c r="AH112" s="876"/>
      <c r="AI112" s="876"/>
      <c r="AJ112" s="876"/>
      <c r="AK112" s="876"/>
      <c r="AL112" s="876"/>
      <c r="AM112" s="876"/>
      <c r="AN112" s="876"/>
      <c r="AO112" s="876"/>
      <c r="AP112" s="876"/>
      <c r="AQ112" s="876"/>
      <c r="AR112" s="876"/>
      <c r="AS112" s="876"/>
      <c r="AT112" s="876"/>
      <c r="AU112" s="876"/>
      <c r="AV112" s="876"/>
      <c r="AW112" s="876"/>
      <c r="AX112" s="876"/>
      <c r="AY112" s="876"/>
      <c r="AZ112" s="876"/>
      <c r="BA112" s="876"/>
      <c r="BB112" s="876"/>
      <c r="BC112" s="876"/>
      <c r="BD112" s="876"/>
      <c r="BE112" s="876"/>
      <c r="BF112" s="876"/>
      <c r="BG112" s="876"/>
      <c r="BH112" s="876"/>
      <c r="BI112" s="876"/>
      <c r="BJ112" s="876"/>
      <c r="BK112" s="876"/>
      <c r="BL112" s="876"/>
      <c r="BM112" s="876"/>
      <c r="BN112" s="876"/>
      <c r="BO112" s="876"/>
      <c r="BP112" s="876"/>
      <c r="BQ112" s="876"/>
      <c r="BR112" s="876"/>
      <c r="BS112" s="876"/>
      <c r="BT112" s="876"/>
      <c r="BU112" s="876"/>
    </row>
    <row r="113" spans="1:73">
      <c r="A113" s="876"/>
      <c r="B113" s="878"/>
      <c r="C113" s="976"/>
      <c r="D113" s="977"/>
      <c r="E113" s="978"/>
      <c r="F113" s="978"/>
      <c r="G113" s="978"/>
      <c r="H113" s="892"/>
      <c r="I113" s="892"/>
      <c r="J113" s="892"/>
      <c r="K113" s="892"/>
      <c r="L113" s="892"/>
      <c r="M113" s="892"/>
      <c r="N113" s="892"/>
      <c r="O113" s="892"/>
      <c r="P113" s="892"/>
      <c r="Q113" s="892"/>
      <c r="R113" s="892"/>
      <c r="S113" s="892"/>
      <c r="T113" s="876"/>
      <c r="U113" s="876"/>
      <c r="V113" s="876"/>
      <c r="W113" s="876"/>
      <c r="X113" s="876"/>
      <c r="Y113" s="876"/>
      <c r="Z113" s="876"/>
      <c r="AA113" s="876"/>
      <c r="AB113" s="876"/>
      <c r="AC113" s="876"/>
      <c r="AD113" s="876"/>
      <c r="AE113" s="876"/>
      <c r="AF113" s="876"/>
      <c r="AG113" s="876"/>
      <c r="AH113" s="876"/>
      <c r="AI113" s="876"/>
      <c r="AJ113" s="876"/>
      <c r="AK113" s="876"/>
      <c r="AL113" s="876"/>
      <c r="AM113" s="876"/>
      <c r="AN113" s="876"/>
      <c r="AO113" s="876"/>
      <c r="AP113" s="876"/>
      <c r="AQ113" s="876"/>
      <c r="AR113" s="876"/>
      <c r="AS113" s="876"/>
      <c r="AT113" s="876"/>
      <c r="AU113" s="876"/>
      <c r="AV113" s="876"/>
      <c r="AW113" s="876"/>
      <c r="AX113" s="876"/>
      <c r="AY113" s="876"/>
      <c r="AZ113" s="876"/>
      <c r="BA113" s="876"/>
      <c r="BB113" s="876"/>
      <c r="BC113" s="876"/>
      <c r="BD113" s="876"/>
      <c r="BE113" s="876"/>
      <c r="BF113" s="876"/>
      <c r="BG113" s="876"/>
      <c r="BH113" s="876"/>
      <c r="BI113" s="876"/>
      <c r="BJ113" s="876"/>
      <c r="BK113" s="876"/>
      <c r="BL113" s="876"/>
      <c r="BM113" s="876"/>
      <c r="BN113" s="876"/>
      <c r="BO113" s="876"/>
      <c r="BP113" s="876"/>
      <c r="BQ113" s="876"/>
      <c r="BR113" s="876"/>
      <c r="BS113" s="876"/>
      <c r="BT113" s="876"/>
      <c r="BU113" s="876"/>
    </row>
    <row r="114" spans="1:73">
      <c r="A114" s="876"/>
      <c r="B114" s="878"/>
      <c r="C114" s="976"/>
      <c r="D114" s="978"/>
      <c r="E114" s="978"/>
      <c r="F114" s="978"/>
      <c r="G114" s="978"/>
      <c r="H114" s="978"/>
      <c r="I114" s="978"/>
      <c r="J114" s="978"/>
      <c r="K114" s="978"/>
      <c r="L114" s="978"/>
      <c r="M114" s="978"/>
      <c r="N114" s="978"/>
      <c r="O114" s="978"/>
      <c r="P114" s="978"/>
      <c r="Q114" s="978"/>
      <c r="R114" s="978"/>
      <c r="S114" s="978"/>
      <c r="T114" s="876"/>
      <c r="U114" s="876"/>
      <c r="V114" s="876"/>
      <c r="W114" s="876"/>
      <c r="X114" s="876"/>
      <c r="Y114" s="876"/>
      <c r="Z114" s="876"/>
      <c r="AA114" s="876"/>
      <c r="AB114" s="876"/>
      <c r="AC114" s="876"/>
      <c r="AD114" s="876"/>
      <c r="AE114" s="876"/>
      <c r="AF114" s="876"/>
      <c r="AG114" s="876"/>
      <c r="AH114" s="876"/>
      <c r="AI114" s="876"/>
      <c r="AJ114" s="876"/>
      <c r="AK114" s="876"/>
      <c r="AL114" s="876"/>
      <c r="AM114" s="876"/>
      <c r="AN114" s="876"/>
      <c r="AO114" s="876"/>
      <c r="AP114" s="876"/>
      <c r="AQ114" s="876"/>
      <c r="AR114" s="876"/>
      <c r="AS114" s="876"/>
      <c r="AT114" s="876"/>
      <c r="AU114" s="876"/>
      <c r="AV114" s="876"/>
      <c r="AW114" s="876"/>
      <c r="AX114" s="876"/>
      <c r="AY114" s="876"/>
      <c r="AZ114" s="876"/>
      <c r="BA114" s="876"/>
      <c r="BB114" s="876"/>
      <c r="BC114" s="876"/>
      <c r="BD114" s="876"/>
      <c r="BE114" s="876"/>
      <c r="BF114" s="876"/>
      <c r="BG114" s="876"/>
      <c r="BH114" s="876"/>
      <c r="BI114" s="876"/>
      <c r="BJ114" s="876"/>
      <c r="BK114" s="876"/>
      <c r="BL114" s="876"/>
      <c r="BM114" s="876"/>
      <c r="BN114" s="876"/>
      <c r="BO114" s="876"/>
      <c r="BP114" s="876"/>
      <c r="BQ114" s="876"/>
      <c r="BR114" s="876"/>
      <c r="BS114" s="876"/>
      <c r="BT114" s="876"/>
      <c r="BU114" s="876"/>
    </row>
    <row r="115" spans="1:73">
      <c r="A115" s="876"/>
      <c r="B115" s="878"/>
      <c r="C115" s="899">
        <v>1</v>
      </c>
      <c r="D115" s="880" t="str">
        <f ca="1">OFFSET(D$76,MATCH($C115,$N$101:$N$107,0)*3-2,0)</f>
        <v>Operating Capacity Factor = 94.5%</v>
      </c>
      <c r="E115" s="892">
        <f ca="1">OFFSET(E$76,MATCH($C115,$N$101:$N$107,0)*3-2,0)</f>
        <v>1.0633569922594281</v>
      </c>
      <c r="F115" s="892">
        <f ca="1">OFFSET(F$76,MATCH($C115,$N$101:$N$107,0)*3-2,0)</f>
        <v>0</v>
      </c>
      <c r="G115" s="892">
        <f ca="1">OFFSET(G$76,MATCH($C115,$N$101:$N$107,0)*3-2,0)</f>
        <v>6.5722408053668516E-4</v>
      </c>
      <c r="H115" s="978"/>
      <c r="I115" s="978"/>
      <c r="J115" s="978"/>
      <c r="K115" s="978"/>
      <c r="L115" s="978"/>
      <c r="M115" s="978"/>
      <c r="N115" s="978"/>
      <c r="O115" s="978"/>
      <c r="P115" s="978"/>
      <c r="Q115" s="978"/>
      <c r="R115" s="978"/>
      <c r="S115" s="978"/>
      <c r="T115" s="876"/>
      <c r="U115" s="876"/>
      <c r="V115" s="876"/>
      <c r="W115" s="876"/>
      <c r="X115" s="876"/>
      <c r="Y115" s="876"/>
      <c r="Z115" s="876"/>
      <c r="AA115" s="876"/>
      <c r="AB115" s="876"/>
      <c r="AC115" s="876"/>
      <c r="AD115" s="876"/>
      <c r="AE115" s="876"/>
      <c r="AF115" s="876"/>
      <c r="AG115" s="876"/>
      <c r="AH115" s="876"/>
      <c r="AI115" s="876"/>
      <c r="AJ115" s="876"/>
      <c r="AK115" s="876"/>
      <c r="AL115" s="876"/>
      <c r="AM115" s="876"/>
      <c r="AN115" s="876"/>
      <c r="AO115" s="876"/>
      <c r="AP115" s="876"/>
      <c r="AQ115" s="876"/>
      <c r="AR115" s="876"/>
      <c r="AS115" s="876"/>
      <c r="AT115" s="876"/>
      <c r="AU115" s="876"/>
      <c r="AV115" s="876"/>
      <c r="AW115" s="876"/>
      <c r="AX115" s="876"/>
      <c r="AY115" s="876"/>
      <c r="AZ115" s="876"/>
      <c r="BA115" s="876"/>
      <c r="BB115" s="876"/>
      <c r="BC115" s="876"/>
      <c r="BD115" s="876"/>
      <c r="BE115" s="876"/>
      <c r="BF115" s="876"/>
      <c r="BG115" s="876"/>
      <c r="BH115" s="876"/>
      <c r="BI115" s="876"/>
      <c r="BJ115" s="876"/>
      <c r="BK115" s="876"/>
      <c r="BL115" s="876"/>
      <c r="BM115" s="876"/>
      <c r="BN115" s="876"/>
      <c r="BO115" s="876"/>
      <c r="BP115" s="876"/>
      <c r="BQ115" s="876"/>
      <c r="BR115" s="876"/>
      <c r="BS115" s="876"/>
      <c r="BT115" s="876"/>
      <c r="BU115" s="876"/>
    </row>
    <row r="116" spans="1:73">
      <c r="A116" s="876"/>
      <c r="B116" s="878"/>
      <c r="C116" s="880"/>
      <c r="D116" s="880"/>
      <c r="E116" s="880"/>
      <c r="F116" s="880"/>
      <c r="G116" s="880"/>
      <c r="H116" s="892">
        <f t="shared" ref="H116:S116" ca="1" si="33">OFFSET(H$76,MATCH($C115,$N$101:$N$107,0)*3-2,0)</f>
        <v>6.5489425597851147E-2</v>
      </c>
      <c r="I116" s="892">
        <f t="shared" ca="1" si="33"/>
        <v>8.3690851948680072E-3</v>
      </c>
      <c r="J116" s="892">
        <f t="shared" ca="1" si="33"/>
        <v>1.2594272456799699E-2</v>
      </c>
      <c r="K116" s="892">
        <f t="shared" ca="1" si="33"/>
        <v>2.813612763656651E-3</v>
      </c>
      <c r="L116" s="892">
        <f t="shared" ca="1" si="33"/>
        <v>6.4612040928696502E-4</v>
      </c>
      <c r="M116" s="892">
        <f t="shared" ca="1" si="33"/>
        <v>8.1405620224154401E-2</v>
      </c>
      <c r="N116" s="892">
        <f t="shared" ca="1" si="33"/>
        <v>0.81583675894447782</v>
      </c>
      <c r="O116" s="892">
        <f t="shared" ca="1" si="33"/>
        <v>1.6105360824716558E-2</v>
      </c>
      <c r="P116" s="892">
        <f t="shared" ca="1" si="33"/>
        <v>1.0408505564024992E-2</v>
      </c>
      <c r="Q116" s="892">
        <f t="shared" ca="1" si="33"/>
        <v>3.9145980575322918E-2</v>
      </c>
      <c r="R116" s="892">
        <f t="shared" ca="1" si="33"/>
        <v>9.4409470242617019E-3</v>
      </c>
      <c r="S116" s="892">
        <f t="shared" ca="1" si="33"/>
        <v>1.7585267605434406E-3</v>
      </c>
      <c r="T116" s="876"/>
      <c r="U116" s="876"/>
      <c r="V116" s="876"/>
      <c r="W116" s="876"/>
      <c r="X116" s="876"/>
      <c r="Y116" s="876"/>
      <c r="Z116" s="876"/>
      <c r="AA116" s="876"/>
      <c r="AB116" s="876"/>
      <c r="AC116" s="876"/>
      <c r="AD116" s="876"/>
      <c r="AE116" s="876"/>
      <c r="AF116" s="876"/>
      <c r="AG116" s="876"/>
      <c r="AH116" s="876"/>
      <c r="AI116" s="876"/>
      <c r="AJ116" s="876"/>
      <c r="AK116" s="876"/>
      <c r="AL116" s="876"/>
      <c r="AM116" s="876"/>
      <c r="AN116" s="876"/>
      <c r="AO116" s="876"/>
      <c r="AP116" s="876"/>
      <c r="AQ116" s="876"/>
      <c r="AR116" s="876"/>
      <c r="AS116" s="876"/>
      <c r="AT116" s="876"/>
      <c r="AU116" s="876"/>
      <c r="AV116" s="876"/>
      <c r="AW116" s="876"/>
      <c r="AX116" s="876"/>
      <c r="AY116" s="876"/>
      <c r="AZ116" s="876"/>
      <c r="BA116" s="876"/>
      <c r="BB116" s="876"/>
      <c r="BC116" s="876"/>
      <c r="BD116" s="876"/>
      <c r="BE116" s="876"/>
      <c r="BF116" s="876"/>
      <c r="BG116" s="876"/>
      <c r="BH116" s="876"/>
      <c r="BI116" s="876"/>
      <c r="BJ116" s="876"/>
      <c r="BK116" s="876"/>
      <c r="BL116" s="876"/>
      <c r="BM116" s="876"/>
      <c r="BN116" s="876"/>
      <c r="BO116" s="876"/>
      <c r="BP116" s="876"/>
      <c r="BQ116" s="876"/>
      <c r="BR116" s="876"/>
      <c r="BS116" s="876"/>
      <c r="BT116" s="876"/>
      <c r="BU116" s="876"/>
    </row>
    <row r="117" spans="1:73">
      <c r="A117" s="876"/>
      <c r="B117" s="878"/>
      <c r="C117" s="899">
        <v>1</v>
      </c>
      <c r="D117" s="880" t="str">
        <f ca="1">OFFSET(D$76,MATCH($C117,$N$101:$N$107,0)*3,0)</f>
        <v>Operating Capacity Factor = 85.5%</v>
      </c>
      <c r="E117" s="892">
        <f ca="1">OFFSET(E$76,MATCH($C117,$N$101:$N$107,0)*3,0)</f>
        <v>1.086729458058407</v>
      </c>
      <c r="F117" s="892">
        <f ca="1">OFFSET(F$76,MATCH($C117,$N$101:$N$107,0)*3,0)</f>
        <v>0</v>
      </c>
      <c r="G117" s="892">
        <f ca="1">OFFSET(G$76,MATCH($C117,$N$101:$N$107,0)*3,0)</f>
        <v>7.2640556269844151E-4</v>
      </c>
      <c r="H117" s="880"/>
      <c r="I117" s="880"/>
      <c r="J117" s="880"/>
      <c r="K117" s="880"/>
      <c r="L117" s="880"/>
      <c r="M117" s="880"/>
      <c r="N117" s="880"/>
      <c r="O117" s="880"/>
      <c r="P117" s="880"/>
      <c r="Q117" s="880"/>
      <c r="R117" s="880"/>
      <c r="S117" s="880"/>
      <c r="T117" s="876"/>
      <c r="U117" s="876"/>
      <c r="V117" s="876"/>
      <c r="W117" s="876"/>
      <c r="X117" s="876"/>
      <c r="Y117" s="876"/>
      <c r="Z117" s="876"/>
      <c r="AA117" s="876"/>
      <c r="AB117" s="876"/>
      <c r="AC117" s="876"/>
      <c r="AD117" s="876"/>
      <c r="AE117" s="876"/>
      <c r="AF117" s="876"/>
      <c r="AG117" s="876"/>
      <c r="AH117" s="876"/>
      <c r="AI117" s="876"/>
      <c r="AJ117" s="876"/>
      <c r="AK117" s="876"/>
      <c r="AL117" s="876"/>
      <c r="AM117" s="876"/>
      <c r="AN117" s="876"/>
      <c r="AO117" s="876"/>
      <c r="AP117" s="876"/>
      <c r="AQ117" s="876"/>
      <c r="AR117" s="876"/>
      <c r="AS117" s="876"/>
      <c r="AT117" s="876"/>
      <c r="AU117" s="876"/>
      <c r="AV117" s="876"/>
      <c r="AW117" s="876"/>
      <c r="AX117" s="876"/>
      <c r="AY117" s="876"/>
      <c r="AZ117" s="876"/>
      <c r="BA117" s="876"/>
      <c r="BB117" s="876"/>
      <c r="BC117" s="876"/>
      <c r="BD117" s="876"/>
      <c r="BE117" s="876"/>
      <c r="BF117" s="876"/>
      <c r="BG117" s="876"/>
      <c r="BH117" s="876"/>
      <c r="BI117" s="876"/>
      <c r="BJ117" s="876"/>
      <c r="BK117" s="876"/>
      <c r="BL117" s="876"/>
      <c r="BM117" s="876"/>
      <c r="BN117" s="876"/>
      <c r="BO117" s="876"/>
      <c r="BP117" s="876"/>
      <c r="BQ117" s="876"/>
      <c r="BR117" s="876"/>
      <c r="BS117" s="876"/>
      <c r="BT117" s="876"/>
      <c r="BU117" s="876"/>
    </row>
    <row r="118" spans="1:73">
      <c r="A118" s="876"/>
      <c r="B118" s="878"/>
      <c r="C118" s="899"/>
      <c r="D118" s="880"/>
      <c r="E118" s="892"/>
      <c r="F118" s="892"/>
      <c r="G118" s="892"/>
      <c r="H118" s="892">
        <f t="shared" ref="H118:S118" ca="1" si="34">OFFSET(H$76,MATCH($C117,$N$101:$N$107,0)*3,0)</f>
        <v>7.2383049344993358E-2</v>
      </c>
      <c r="I118" s="892">
        <f t="shared" ca="1" si="34"/>
        <v>9.2500415311699037E-3</v>
      </c>
      <c r="J118" s="892">
        <f t="shared" ca="1" si="34"/>
        <v>1.273449188347495E-2</v>
      </c>
      <c r="K118" s="892">
        <f t="shared" ca="1" si="34"/>
        <v>3.1097825282520876E-3</v>
      </c>
      <c r="L118" s="892">
        <f t="shared" ca="1" si="34"/>
        <v>7.1413308394875077E-4</v>
      </c>
      <c r="M118" s="892">
        <f t="shared" ca="1" si="34"/>
        <v>8.9974632879328553E-2</v>
      </c>
      <c r="N118" s="892">
        <f t="shared" ca="1" si="34"/>
        <v>0.81583675894447771</v>
      </c>
      <c r="O118" s="892">
        <f t="shared" ca="1" si="34"/>
        <v>1.7800661964160403E-2</v>
      </c>
      <c r="P118" s="892">
        <f t="shared" ca="1" si="34"/>
        <v>1.0418251314744439E-2</v>
      </c>
      <c r="Q118" s="892">
        <f t="shared" ca="1" si="34"/>
        <v>4.3266610109567442E-2</v>
      </c>
      <c r="R118" s="892">
        <f t="shared" ca="1" si="34"/>
        <v>1.002381519638602E-2</v>
      </c>
      <c r="S118" s="892">
        <f t="shared" ca="1" si="34"/>
        <v>1.9436348406006447E-3</v>
      </c>
      <c r="T118" s="876"/>
      <c r="U118" s="876"/>
      <c r="V118" s="876"/>
      <c r="W118" s="876"/>
      <c r="X118" s="876"/>
      <c r="Y118" s="876"/>
      <c r="Z118" s="876"/>
      <c r="AA118" s="876"/>
      <c r="AB118" s="876"/>
      <c r="AC118" s="876"/>
      <c r="AD118" s="876"/>
      <c r="AE118" s="876"/>
      <c r="AF118" s="876"/>
      <c r="AG118" s="876"/>
      <c r="AH118" s="876"/>
      <c r="AI118" s="876"/>
      <c r="AJ118" s="876"/>
      <c r="AK118" s="876"/>
      <c r="AL118" s="876"/>
      <c r="AM118" s="876"/>
      <c r="AN118" s="876"/>
      <c r="AO118" s="876"/>
      <c r="AP118" s="876"/>
      <c r="AQ118" s="876"/>
      <c r="AR118" s="876"/>
      <c r="AS118" s="876"/>
      <c r="AT118" s="876"/>
      <c r="AU118" s="876"/>
      <c r="AV118" s="876"/>
      <c r="AW118" s="876"/>
      <c r="AX118" s="876"/>
      <c r="AY118" s="876"/>
      <c r="AZ118" s="876"/>
      <c r="BA118" s="876"/>
      <c r="BB118" s="876"/>
      <c r="BC118" s="876"/>
      <c r="BD118" s="876"/>
      <c r="BE118" s="876"/>
      <c r="BF118" s="876"/>
      <c r="BG118" s="876"/>
      <c r="BH118" s="876"/>
      <c r="BI118" s="876"/>
      <c r="BJ118" s="876"/>
      <c r="BK118" s="876"/>
      <c r="BL118" s="876"/>
      <c r="BM118" s="876"/>
      <c r="BN118" s="876"/>
      <c r="BO118" s="876"/>
      <c r="BP118" s="876"/>
      <c r="BQ118" s="876"/>
      <c r="BR118" s="876"/>
      <c r="BS118" s="876"/>
      <c r="BT118" s="876"/>
      <c r="BU118" s="876"/>
    </row>
    <row r="119" spans="1:73">
      <c r="A119" s="876"/>
      <c r="B119" s="878"/>
      <c r="C119" s="899"/>
      <c r="D119" s="880"/>
      <c r="E119" s="892"/>
      <c r="F119" s="892"/>
      <c r="G119" s="892"/>
      <c r="H119" s="892"/>
      <c r="I119" s="892"/>
      <c r="J119" s="892"/>
      <c r="K119" s="892"/>
      <c r="L119" s="892"/>
      <c r="M119" s="892"/>
      <c r="N119" s="892"/>
      <c r="O119" s="892"/>
      <c r="P119" s="892"/>
      <c r="Q119" s="892"/>
      <c r="R119" s="892"/>
      <c r="S119" s="892"/>
      <c r="T119" s="876"/>
      <c r="U119" s="876"/>
      <c r="V119" s="876"/>
      <c r="W119" s="876"/>
      <c r="X119" s="876"/>
      <c r="Y119" s="876"/>
      <c r="Z119" s="876"/>
      <c r="AA119" s="876"/>
      <c r="AB119" s="876"/>
      <c r="AC119" s="876"/>
      <c r="AD119" s="876"/>
      <c r="AE119" s="876"/>
      <c r="AF119" s="876"/>
      <c r="AG119" s="876"/>
      <c r="AH119" s="876"/>
      <c r="AI119" s="876"/>
      <c r="AJ119" s="876"/>
      <c r="AK119" s="876"/>
      <c r="AL119" s="876"/>
      <c r="AM119" s="876"/>
      <c r="AN119" s="876"/>
      <c r="AO119" s="876"/>
      <c r="AP119" s="876"/>
      <c r="AQ119" s="876"/>
      <c r="AR119" s="876"/>
      <c r="AS119" s="876"/>
      <c r="AT119" s="876"/>
      <c r="AU119" s="876"/>
      <c r="AV119" s="876"/>
      <c r="AW119" s="876"/>
      <c r="AX119" s="876"/>
      <c r="AY119" s="876"/>
      <c r="AZ119" s="876"/>
      <c r="BA119" s="876"/>
      <c r="BB119" s="876"/>
      <c r="BC119" s="876"/>
      <c r="BD119" s="876"/>
      <c r="BE119" s="876"/>
      <c r="BF119" s="876"/>
      <c r="BG119" s="876"/>
      <c r="BH119" s="876"/>
      <c r="BI119" s="876"/>
      <c r="BJ119" s="876"/>
      <c r="BK119" s="876"/>
      <c r="BL119" s="876"/>
      <c r="BM119" s="876"/>
      <c r="BN119" s="876"/>
      <c r="BO119" s="876"/>
      <c r="BP119" s="876"/>
      <c r="BQ119" s="876"/>
      <c r="BR119" s="876"/>
      <c r="BS119" s="876"/>
      <c r="BT119" s="876"/>
      <c r="BU119" s="876"/>
    </row>
    <row r="120" spans="1:73">
      <c r="A120" s="876"/>
      <c r="B120" s="876"/>
      <c r="C120" s="899">
        <v>2</v>
      </c>
      <c r="D120" s="880" t="str">
        <f ca="1">OFFSET(D$76,MATCH($C120,$N$101:$N$107,0)*3-2,0)</f>
        <v>Total Capital Investment = $269,479K</v>
      </c>
      <c r="E120" s="892">
        <f ca="1">OFFSET(E$76,MATCH($C120,$N$101:$N$107,0)*3-2,0)</f>
        <v>1.066815242095559</v>
      </c>
      <c r="F120" s="892">
        <f ca="1">OFFSET(F$76,MATCH($C120,$N$101:$N$107,0)*3-2,0)</f>
        <v>0</v>
      </c>
      <c r="G120" s="892">
        <f ca="1">OFFSET(G$76,MATCH($C120,$N$101:$N$107,0)*3-2,0)</f>
        <v>6.5558102033534303E-4</v>
      </c>
      <c r="H120" s="892"/>
      <c r="I120" s="892"/>
      <c r="J120" s="892"/>
      <c r="K120" s="892"/>
      <c r="L120" s="892"/>
      <c r="M120" s="892"/>
      <c r="N120" s="892"/>
      <c r="O120" s="892"/>
      <c r="P120" s="892"/>
      <c r="Q120" s="892"/>
      <c r="R120" s="892"/>
      <c r="S120" s="892"/>
      <c r="T120" s="876"/>
      <c r="U120" s="876"/>
      <c r="V120" s="876"/>
      <c r="W120" s="876"/>
      <c r="X120" s="876"/>
      <c r="Y120" s="876"/>
      <c r="Z120" s="876"/>
      <c r="AA120" s="876"/>
      <c r="AB120" s="876"/>
      <c r="AC120" s="876"/>
      <c r="AD120" s="876"/>
      <c r="AE120" s="876"/>
      <c r="AF120" s="876"/>
      <c r="AG120" s="876"/>
      <c r="AH120" s="876"/>
      <c r="AI120" s="876"/>
      <c r="AJ120" s="876"/>
      <c r="AK120" s="876"/>
      <c r="AL120" s="876"/>
      <c r="AM120" s="876"/>
      <c r="AN120" s="876"/>
      <c r="AO120" s="876"/>
      <c r="AP120" s="876"/>
      <c r="AQ120" s="876"/>
      <c r="AR120" s="876"/>
      <c r="AS120" s="876"/>
      <c r="AT120" s="876"/>
      <c r="AU120" s="876"/>
      <c r="AV120" s="876"/>
      <c r="AW120" s="876"/>
      <c r="AX120" s="876"/>
      <c r="AY120" s="876"/>
      <c r="AZ120" s="876"/>
      <c r="BA120" s="876"/>
      <c r="BB120" s="876"/>
      <c r="BC120" s="876"/>
      <c r="BD120" s="876"/>
      <c r="BE120" s="876"/>
      <c r="BF120" s="876"/>
      <c r="BG120" s="876"/>
      <c r="BH120" s="876"/>
      <c r="BI120" s="876"/>
      <c r="BJ120" s="876"/>
      <c r="BK120" s="876"/>
      <c r="BL120" s="876"/>
      <c r="BM120" s="876"/>
      <c r="BN120" s="876"/>
      <c r="BO120" s="876"/>
      <c r="BP120" s="876"/>
      <c r="BQ120" s="876"/>
      <c r="BR120" s="876"/>
      <c r="BS120" s="876"/>
      <c r="BT120" s="876"/>
      <c r="BU120" s="876"/>
    </row>
    <row r="121" spans="1:73">
      <c r="A121" s="876"/>
      <c r="B121" s="876"/>
      <c r="C121" s="899"/>
      <c r="D121" s="880"/>
      <c r="E121" s="892"/>
      <c r="F121" s="892"/>
      <c r="G121" s="892"/>
      <c r="H121" s="892">
        <f t="shared" ref="H121:S121" ca="1" si="35">OFFSET(H$76,MATCH($C120,$N$101:$N$107,0)*3-2,0)</f>
        <v>6.5266616165819691E-2</v>
      </c>
      <c r="I121" s="892">
        <f t="shared" ca="1" si="35"/>
        <v>8.787539454611408E-3</v>
      </c>
      <c r="J121" s="892">
        <f t="shared" ca="1" si="35"/>
        <v>1.2636478169125954E-2</v>
      </c>
      <c r="K121" s="892">
        <f t="shared" ca="1" si="35"/>
        <v>2.9542934018394833E-3</v>
      </c>
      <c r="L121" s="892">
        <f t="shared" ca="1" si="35"/>
        <v>6.4392216552313698E-4</v>
      </c>
      <c r="M121" s="892">
        <f t="shared" ca="1" si="35"/>
        <v>8.3688190321041869E-2</v>
      </c>
      <c r="N121" s="892">
        <f t="shared" ca="1" si="35"/>
        <v>0.81583675894447782</v>
      </c>
      <c r="O121" s="892">
        <f t="shared" ca="1" si="35"/>
        <v>1.6910628865952383E-2</v>
      </c>
      <c r="P121" s="892">
        <f t="shared" ca="1" si="35"/>
        <v>1.0413134795616728E-2</v>
      </c>
      <c r="Q121" s="892">
        <f t="shared" ca="1" si="35"/>
        <v>3.9012797338202163E-2</v>
      </c>
      <c r="R121" s="892">
        <f t="shared" ca="1" si="35"/>
        <v>9.5679196280139163E-3</v>
      </c>
      <c r="S121" s="892">
        <f t="shared" ca="1" si="35"/>
        <v>1.7525438656691625E-3</v>
      </c>
      <c r="T121" s="876"/>
      <c r="U121" s="876"/>
      <c r="V121" s="876"/>
      <c r="W121" s="876"/>
      <c r="X121" s="876"/>
      <c r="Y121" s="876"/>
      <c r="Z121" s="876"/>
      <c r="AA121" s="876"/>
      <c r="AB121" s="876"/>
      <c r="AC121" s="876"/>
      <c r="AD121" s="876"/>
      <c r="AE121" s="876"/>
      <c r="AF121" s="876"/>
      <c r="AG121" s="876"/>
      <c r="AH121" s="876"/>
      <c r="AI121" s="876"/>
      <c r="AJ121" s="876"/>
      <c r="AK121" s="876"/>
      <c r="AL121" s="876"/>
      <c r="AM121" s="876"/>
      <c r="AN121" s="876"/>
      <c r="AO121" s="876"/>
      <c r="AP121" s="876"/>
      <c r="AQ121" s="876"/>
      <c r="AR121" s="876"/>
      <c r="AS121" s="876"/>
      <c r="AT121" s="876"/>
      <c r="AU121" s="876"/>
      <c r="AV121" s="876"/>
      <c r="AW121" s="876"/>
      <c r="AX121" s="876"/>
      <c r="AY121" s="876"/>
      <c r="AZ121" s="876"/>
      <c r="BA121" s="876"/>
      <c r="BB121" s="876"/>
      <c r="BC121" s="876"/>
      <c r="BD121" s="876"/>
      <c r="BE121" s="876"/>
      <c r="BF121" s="876"/>
      <c r="BG121" s="876"/>
      <c r="BH121" s="876"/>
      <c r="BI121" s="876"/>
      <c r="BJ121" s="876"/>
      <c r="BK121" s="876"/>
      <c r="BL121" s="876"/>
      <c r="BM121" s="876"/>
      <c r="BN121" s="876"/>
      <c r="BO121" s="876"/>
      <c r="BP121" s="876"/>
      <c r="BQ121" s="876"/>
      <c r="BR121" s="876"/>
      <c r="BS121" s="876"/>
      <c r="BT121" s="876"/>
      <c r="BU121" s="876"/>
    </row>
    <row r="122" spans="1:73">
      <c r="A122" s="876"/>
      <c r="B122" s="876"/>
      <c r="C122" s="899">
        <v>2</v>
      </c>
      <c r="D122" s="880" t="str">
        <f ca="1">OFFSET(D$76,MATCH($C122,$N$101:$N$107,0)*3,0)</f>
        <v>Total Capital Investment = $297,845K</v>
      </c>
      <c r="E122" s="892">
        <f ca="1">OFFSET(E$76,MATCH($C122,$N$101:$N$107,0)*3,0)</f>
        <v>1.0821025849323265</v>
      </c>
      <c r="F122" s="892">
        <f ca="1">OFFSET(F$76,MATCH($C122,$N$101:$N$107,0)*3,0)</f>
        <v>0</v>
      </c>
      <c r="G122" s="892">
        <f ca="1">OFFSET(G$76,MATCH($C122,$N$101:$N$107,0)*3,0)</f>
        <v>7.2458954879169534E-4</v>
      </c>
      <c r="H122" s="892"/>
      <c r="I122" s="892"/>
      <c r="J122" s="892"/>
      <c r="K122" s="892"/>
      <c r="L122" s="892"/>
      <c r="M122" s="892"/>
      <c r="N122" s="892"/>
      <c r="O122" s="892"/>
      <c r="P122" s="892"/>
      <c r="Q122" s="892"/>
      <c r="R122" s="892"/>
      <c r="S122" s="892"/>
      <c r="T122" s="876"/>
      <c r="U122" s="876"/>
      <c r="V122" s="876"/>
      <c r="W122" s="876"/>
      <c r="X122" s="876"/>
      <c r="Y122" s="876"/>
      <c r="Z122" s="876"/>
      <c r="AA122" s="876"/>
      <c r="AB122" s="876"/>
      <c r="AC122" s="876"/>
      <c r="AD122" s="876"/>
      <c r="AE122" s="876"/>
      <c r="AF122" s="876"/>
      <c r="AG122" s="876"/>
      <c r="AH122" s="876"/>
      <c r="AI122" s="876"/>
      <c r="AJ122" s="876"/>
      <c r="AK122" s="876"/>
      <c r="AL122" s="876"/>
      <c r="AM122" s="876"/>
      <c r="AN122" s="876"/>
      <c r="AO122" s="876"/>
      <c r="AP122" s="876"/>
      <c r="AQ122" s="876"/>
      <c r="AR122" s="876"/>
      <c r="AS122" s="876"/>
      <c r="AT122" s="876"/>
      <c r="AU122" s="876"/>
      <c r="AV122" s="876"/>
      <c r="AW122" s="876"/>
      <c r="AX122" s="876"/>
      <c r="AY122" s="876"/>
      <c r="AZ122" s="876"/>
      <c r="BA122" s="876"/>
      <c r="BB122" s="876"/>
      <c r="BC122" s="876"/>
      <c r="BD122" s="876"/>
      <c r="BE122" s="876"/>
      <c r="BF122" s="876"/>
      <c r="BG122" s="876"/>
      <c r="BH122" s="876"/>
      <c r="BI122" s="876"/>
      <c r="BJ122" s="876"/>
      <c r="BK122" s="876"/>
      <c r="BL122" s="876"/>
      <c r="BM122" s="876"/>
      <c r="BN122" s="876"/>
      <c r="BO122" s="876"/>
      <c r="BP122" s="876"/>
      <c r="BQ122" s="876"/>
      <c r="BR122" s="876"/>
      <c r="BS122" s="876"/>
      <c r="BT122" s="876"/>
      <c r="BU122" s="876"/>
    </row>
    <row r="123" spans="1:73">
      <c r="A123" s="876"/>
      <c r="B123" s="876"/>
      <c r="C123" s="899"/>
      <c r="D123" s="880"/>
      <c r="E123" s="892"/>
      <c r="F123" s="892"/>
      <c r="G123" s="892"/>
      <c r="H123" s="892">
        <f t="shared" ref="H123:S123" ca="1" si="36">OFFSET(H$76,MATCH($C122,$N$101:$N$107,0)*3,0)</f>
        <v>7.2261177589667672E-2</v>
      </c>
      <c r="I123" s="892">
        <f t="shared" ca="1" si="36"/>
        <v>8.787539454611408E-3</v>
      </c>
      <c r="J123" s="892">
        <f t="shared" ca="1" si="36"/>
        <v>1.2685275199814931E-2</v>
      </c>
      <c r="K123" s="892">
        <f t="shared" ca="1" si="36"/>
        <v>2.9542934018394833E-3</v>
      </c>
      <c r="L123" s="892">
        <f t="shared" ca="1" si="36"/>
        <v>7.1293069397948918E-4</v>
      </c>
      <c r="M123" s="892">
        <f t="shared" ca="1" si="36"/>
        <v>8.726361214968234E-2</v>
      </c>
      <c r="N123" s="892">
        <f t="shared" ca="1" si="36"/>
        <v>0.81583675894447782</v>
      </c>
      <c r="O123" s="892">
        <f t="shared" ca="1" si="36"/>
        <v>1.6910628865952383E-2</v>
      </c>
      <c r="P123" s="892">
        <f t="shared" ca="1" si="36"/>
        <v>1.0413134795616728E-2</v>
      </c>
      <c r="Q123" s="892">
        <f t="shared" ca="1" si="36"/>
        <v>4.3193761869975963E-2</v>
      </c>
      <c r="R123" s="892">
        <f t="shared" ca="1" si="36"/>
        <v>9.8676991840276791E-3</v>
      </c>
      <c r="S123" s="892">
        <f t="shared" ca="1" si="36"/>
        <v>1.9403623314720613E-3</v>
      </c>
      <c r="T123" s="876"/>
      <c r="U123" s="876"/>
      <c r="V123" s="876"/>
      <c r="W123" s="876"/>
      <c r="X123" s="876"/>
      <c r="Y123" s="876"/>
      <c r="Z123" s="876"/>
      <c r="AA123" s="876"/>
      <c r="AB123" s="876"/>
      <c r="AC123" s="876"/>
      <c r="AD123" s="876"/>
      <c r="AE123" s="876"/>
      <c r="AF123" s="876"/>
      <c r="AG123" s="876"/>
      <c r="AH123" s="876"/>
      <c r="AI123" s="876"/>
      <c r="AJ123" s="876"/>
      <c r="AK123" s="876"/>
      <c r="AL123" s="876"/>
      <c r="AM123" s="876"/>
      <c r="AN123" s="876"/>
      <c r="AO123" s="876"/>
      <c r="AP123" s="876"/>
      <c r="AQ123" s="876"/>
      <c r="AR123" s="876"/>
      <c r="AS123" s="876"/>
      <c r="AT123" s="876"/>
      <c r="AU123" s="876"/>
      <c r="AV123" s="876"/>
      <c r="AW123" s="876"/>
      <c r="AX123" s="876"/>
      <c r="AY123" s="876"/>
      <c r="AZ123" s="876"/>
      <c r="BA123" s="876"/>
      <c r="BB123" s="876"/>
      <c r="BC123" s="876"/>
      <c r="BD123" s="876"/>
      <c r="BE123" s="876"/>
      <c r="BF123" s="876"/>
      <c r="BG123" s="876"/>
      <c r="BH123" s="876"/>
      <c r="BI123" s="876"/>
      <c r="BJ123" s="876"/>
      <c r="BK123" s="876"/>
      <c r="BL123" s="876"/>
      <c r="BM123" s="876"/>
      <c r="BN123" s="876"/>
      <c r="BO123" s="876"/>
      <c r="BP123" s="876"/>
      <c r="BQ123" s="876"/>
      <c r="BR123" s="876"/>
      <c r="BS123" s="876"/>
      <c r="BT123" s="876"/>
      <c r="BU123" s="876"/>
    </row>
    <row r="124" spans="1:73">
      <c r="A124" s="876"/>
      <c r="B124" s="876"/>
      <c r="C124" s="899"/>
      <c r="D124" s="880"/>
      <c r="E124" s="892"/>
      <c r="F124" s="892"/>
      <c r="G124" s="892"/>
      <c r="H124" s="892"/>
      <c r="I124" s="892"/>
      <c r="J124" s="892"/>
      <c r="K124" s="892"/>
      <c r="L124" s="892"/>
      <c r="M124" s="892"/>
      <c r="N124" s="892"/>
      <c r="O124" s="892"/>
      <c r="P124" s="892"/>
      <c r="Q124" s="892"/>
      <c r="R124" s="892"/>
      <c r="S124" s="892"/>
      <c r="T124" s="876"/>
      <c r="U124" s="876"/>
      <c r="V124" s="876"/>
      <c r="W124" s="876"/>
      <c r="X124" s="876"/>
      <c r="Y124" s="876"/>
      <c r="Z124" s="876"/>
      <c r="AA124" s="876"/>
      <c r="AB124" s="876"/>
      <c r="AC124" s="876"/>
      <c r="AD124" s="876"/>
      <c r="AE124" s="876"/>
      <c r="AF124" s="876"/>
      <c r="AG124" s="876"/>
      <c r="AH124" s="876"/>
      <c r="AI124" s="876"/>
      <c r="AJ124" s="876"/>
      <c r="AK124" s="876"/>
      <c r="AL124" s="876"/>
      <c r="AM124" s="876"/>
      <c r="AN124" s="876"/>
      <c r="AO124" s="876"/>
      <c r="AP124" s="876"/>
      <c r="AQ124" s="876"/>
      <c r="AR124" s="876"/>
      <c r="AS124" s="876"/>
      <c r="AT124" s="876"/>
      <c r="AU124" s="876"/>
      <c r="AV124" s="876"/>
      <c r="AW124" s="876"/>
      <c r="AX124" s="876"/>
      <c r="AY124" s="876"/>
      <c r="AZ124" s="876"/>
      <c r="BA124" s="876"/>
      <c r="BB124" s="876"/>
      <c r="BC124" s="876"/>
      <c r="BD124" s="876"/>
      <c r="BE124" s="876"/>
      <c r="BF124" s="876"/>
      <c r="BG124" s="876"/>
      <c r="BH124" s="876"/>
      <c r="BI124" s="876"/>
      <c r="BJ124" s="876"/>
      <c r="BK124" s="876"/>
      <c r="BL124" s="876"/>
      <c r="BM124" s="876"/>
      <c r="BN124" s="876"/>
      <c r="BO124" s="876"/>
      <c r="BP124" s="876"/>
      <c r="BQ124" s="876"/>
      <c r="BR124" s="876"/>
      <c r="BS124" s="876"/>
      <c r="BT124" s="876"/>
      <c r="BU124" s="876"/>
    </row>
    <row r="125" spans="1:73">
      <c r="A125" s="876"/>
      <c r="B125" s="876"/>
      <c r="C125" s="899">
        <v>3</v>
      </c>
      <c r="D125" s="880" t="str">
        <f ca="1">OFFSET(D$76,MATCH($C125,$N$101:$N$107,0)*3-2,0)</f>
        <v>Plant Design Capacity (kg of H2/day) = 507,175</v>
      </c>
      <c r="E125" s="892">
        <f ca="1">OFFSET(E$76,MATCH($C125,$N$101:$N$107,0)*3-2,0)</f>
        <v>1.0690889287242045</v>
      </c>
      <c r="F125" s="892">
        <f ca="1">OFFSET(F$76,MATCH($C125,$N$101:$N$107,0)*3-2,0)</f>
        <v>0</v>
      </c>
      <c r="G125" s="892">
        <f ca="1">OFFSET(G$76,MATCH($C125,$N$101:$N$107,0)*3-2,0)</f>
        <v>6.7244364172669652E-4</v>
      </c>
      <c r="H125" s="892"/>
      <c r="I125" s="892"/>
      <c r="J125" s="892"/>
      <c r="K125" s="892"/>
      <c r="L125" s="892"/>
      <c r="M125" s="892"/>
      <c r="N125" s="892"/>
      <c r="O125" s="892"/>
      <c r="P125" s="892"/>
      <c r="Q125" s="892"/>
      <c r="R125" s="892"/>
      <c r="S125" s="892"/>
      <c r="T125" s="876"/>
      <c r="U125" s="876"/>
      <c r="V125" s="876"/>
      <c r="W125" s="876"/>
      <c r="X125" s="876"/>
      <c r="Y125" s="876"/>
      <c r="Z125" s="876"/>
      <c r="AA125" s="876"/>
      <c r="AB125" s="876"/>
      <c r="AC125" s="876"/>
      <c r="AD125" s="876"/>
      <c r="AE125" s="876"/>
      <c r="AF125" s="876"/>
      <c r="AG125" s="876"/>
      <c r="AH125" s="876"/>
      <c r="AI125" s="876"/>
      <c r="AJ125" s="876"/>
      <c r="AK125" s="876"/>
      <c r="AL125" s="876"/>
      <c r="AM125" s="876"/>
      <c r="AN125" s="876"/>
      <c r="AO125" s="876"/>
      <c r="AP125" s="876"/>
      <c r="AQ125" s="876"/>
      <c r="AR125" s="876"/>
      <c r="AS125" s="876"/>
      <c r="AT125" s="876"/>
      <c r="AU125" s="876"/>
      <c r="AV125" s="876"/>
      <c r="AW125" s="876"/>
      <c r="AX125" s="876"/>
      <c r="AY125" s="876"/>
      <c r="AZ125" s="876"/>
      <c r="BA125" s="876"/>
      <c r="BB125" s="876"/>
      <c r="BC125" s="876"/>
      <c r="BD125" s="876"/>
      <c r="BE125" s="876"/>
      <c r="BF125" s="876"/>
      <c r="BG125" s="876"/>
      <c r="BH125" s="876"/>
      <c r="BI125" s="876"/>
      <c r="BJ125" s="876"/>
      <c r="BK125" s="876"/>
      <c r="BL125" s="876"/>
      <c r="BM125" s="876"/>
      <c r="BN125" s="876"/>
      <c r="BO125" s="876"/>
      <c r="BP125" s="876"/>
      <c r="BQ125" s="876"/>
      <c r="BR125" s="876"/>
      <c r="BS125" s="876"/>
      <c r="BT125" s="876"/>
      <c r="BU125" s="876"/>
    </row>
    <row r="126" spans="1:73">
      <c r="A126" s="876"/>
      <c r="B126" s="876"/>
      <c r="C126" s="899"/>
      <c r="D126" s="880"/>
      <c r="E126" s="892"/>
      <c r="F126" s="892"/>
      <c r="G126" s="892"/>
      <c r="H126" s="892">
        <f t="shared" ref="H126:S126" ca="1" si="37">OFFSET(H$76,MATCH($C125,$N$101:$N$107,0)*3-2,0)</f>
        <v>6.7001897275975511E-2</v>
      </c>
      <c r="I126" s="892">
        <f t="shared" ca="1" si="37"/>
        <v>8.5623683732360158E-3</v>
      </c>
      <c r="J126" s="892">
        <f t="shared" ca="1" si="37"/>
        <v>1.2632944023657919E-2</v>
      </c>
      <c r="K126" s="892">
        <f t="shared" ca="1" si="37"/>
        <v>2.8889915173708064E-3</v>
      </c>
      <c r="L126" s="892">
        <f t="shared" ca="1" si="37"/>
        <v>6.6104249496390399E-4</v>
      </c>
      <c r="M126" s="892">
        <f t="shared" ca="1" si="37"/>
        <v>8.3429238891546659E-2</v>
      </c>
      <c r="N126" s="892">
        <f t="shared" ca="1" si="37"/>
        <v>0.81583675894447782</v>
      </c>
      <c r="O126" s="892">
        <f t="shared" ca="1" si="37"/>
        <v>1.6910628865952387E-2</v>
      </c>
      <c r="P126" s="892">
        <f t="shared" ca="1" si="37"/>
        <v>1.041313479561673E-2</v>
      </c>
      <c r="Q126" s="892">
        <f t="shared" ca="1" si="37"/>
        <v>4.0050053047971476E-2</v>
      </c>
      <c r="R126" s="892">
        <f t="shared" ca="1" si="37"/>
        <v>9.5751743764692972E-3</v>
      </c>
      <c r="S126" s="892">
        <f t="shared" ca="1" si="37"/>
        <v>1.7991397586918469E-3</v>
      </c>
      <c r="T126" s="876"/>
      <c r="U126" s="876"/>
      <c r="V126" s="876"/>
      <c r="W126" s="876"/>
      <c r="X126" s="876"/>
      <c r="Y126" s="876"/>
      <c r="Z126" s="876"/>
      <c r="AA126" s="876"/>
      <c r="AB126" s="876"/>
      <c r="AC126" s="876"/>
      <c r="AD126" s="876"/>
      <c r="AE126" s="876"/>
      <c r="AF126" s="876"/>
      <c r="AG126" s="876"/>
      <c r="AH126" s="876"/>
      <c r="AI126" s="876"/>
      <c r="AJ126" s="876"/>
      <c r="AK126" s="876"/>
      <c r="AL126" s="876"/>
      <c r="AM126" s="876"/>
      <c r="AN126" s="876"/>
      <c r="AO126" s="876"/>
      <c r="AP126" s="876"/>
      <c r="AQ126" s="876"/>
      <c r="AR126" s="876"/>
      <c r="AS126" s="876"/>
      <c r="AT126" s="876"/>
      <c r="AU126" s="876"/>
      <c r="AV126" s="876"/>
      <c r="AW126" s="876"/>
      <c r="AX126" s="876"/>
      <c r="AY126" s="876"/>
      <c r="AZ126" s="876"/>
      <c r="BA126" s="876"/>
      <c r="BB126" s="876"/>
      <c r="BC126" s="876"/>
      <c r="BD126" s="876"/>
      <c r="BE126" s="876"/>
      <c r="BF126" s="876"/>
      <c r="BG126" s="876"/>
      <c r="BH126" s="876"/>
      <c r="BI126" s="876"/>
      <c r="BJ126" s="876"/>
      <c r="BK126" s="876"/>
      <c r="BL126" s="876"/>
      <c r="BM126" s="876"/>
      <c r="BN126" s="876"/>
      <c r="BO126" s="876"/>
      <c r="BP126" s="876"/>
      <c r="BQ126" s="876"/>
      <c r="BR126" s="876"/>
      <c r="BS126" s="876"/>
      <c r="BT126" s="876"/>
      <c r="BU126" s="876"/>
    </row>
    <row r="127" spans="1:73">
      <c r="A127" s="876"/>
      <c r="B127" s="876"/>
      <c r="C127" s="899">
        <v>3</v>
      </c>
      <c r="D127" s="880" t="str">
        <f ca="1">OFFSET(D$76,MATCH($C127,$N$101:$N$107,0)*3,0)</f>
        <v>Plant Design Capacity (kg of H2/day) = 458,873</v>
      </c>
      <c r="E127" s="892">
        <f ca="1">OFFSET(E$76,MATCH($C127,$N$101:$N$107,0)*3,0)</f>
        <v>1.0802823484766917</v>
      </c>
      <c r="F127" s="892">
        <f ca="1">OFFSET(F$76,MATCH($C127,$N$101:$N$107,0)*3,0)</f>
        <v>0</v>
      </c>
      <c r="G127" s="892">
        <f ca="1">OFFSET(G$76,MATCH($C127,$N$101:$N$107,0)*3,0)</f>
        <v>7.0922304609817707E-4</v>
      </c>
      <c r="H127" s="892"/>
      <c r="I127" s="892"/>
      <c r="J127" s="892"/>
      <c r="K127" s="892"/>
      <c r="L127" s="892"/>
      <c r="M127" s="892"/>
      <c r="N127" s="892"/>
      <c r="O127" s="892"/>
      <c r="P127" s="892"/>
      <c r="Q127" s="892"/>
      <c r="R127" s="892"/>
      <c r="S127" s="892"/>
      <c r="T127" s="876"/>
      <c r="U127" s="876"/>
      <c r="V127" s="876"/>
      <c r="W127" s="876"/>
      <c r="X127" s="876"/>
      <c r="Y127" s="876"/>
      <c r="Z127" s="876"/>
      <c r="AA127" s="876"/>
      <c r="AB127" s="876"/>
      <c r="AC127" s="876"/>
      <c r="AD127" s="876"/>
      <c r="AE127" s="876"/>
      <c r="AF127" s="876"/>
      <c r="AG127" s="876"/>
      <c r="AH127" s="876"/>
      <c r="AI127" s="876"/>
      <c r="AJ127" s="876"/>
      <c r="AK127" s="876"/>
      <c r="AL127" s="876"/>
      <c r="AM127" s="876"/>
      <c r="AN127" s="876"/>
      <c r="AO127" s="876"/>
      <c r="AP127" s="876"/>
      <c r="AQ127" s="876"/>
      <c r="AR127" s="876"/>
      <c r="AS127" s="876"/>
      <c r="AT127" s="876"/>
      <c r="AU127" s="876"/>
      <c r="AV127" s="876"/>
      <c r="AW127" s="876"/>
      <c r="AX127" s="876"/>
      <c r="AY127" s="876"/>
      <c r="AZ127" s="876"/>
      <c r="BA127" s="876"/>
      <c r="BB127" s="876"/>
      <c r="BC127" s="876"/>
      <c r="BD127" s="876"/>
      <c r="BE127" s="876"/>
      <c r="BF127" s="876"/>
      <c r="BG127" s="876"/>
      <c r="BH127" s="876"/>
      <c r="BI127" s="876"/>
      <c r="BJ127" s="876"/>
      <c r="BK127" s="876"/>
      <c r="BL127" s="876"/>
      <c r="BM127" s="876"/>
      <c r="BN127" s="876"/>
      <c r="BO127" s="876"/>
      <c r="BP127" s="876"/>
      <c r="BQ127" s="876"/>
      <c r="BR127" s="876"/>
      <c r="BS127" s="876"/>
      <c r="BT127" s="876"/>
      <c r="BU127" s="876"/>
    </row>
    <row r="128" spans="1:73">
      <c r="A128" s="876"/>
      <c r="B128" s="876"/>
      <c r="C128" s="899"/>
      <c r="D128" s="880"/>
      <c r="E128" s="892"/>
      <c r="F128" s="892"/>
      <c r="G128" s="892"/>
      <c r="H128" s="892">
        <f t="shared" ref="H128:S128" ca="1" si="38">OFFSET(H$76,MATCH($C127,$N$101:$N$107,0)*3,0)</f>
        <v>7.0675505389399054E-2</v>
      </c>
      <c r="I128" s="892">
        <f t="shared" ca="1" si="38"/>
        <v>9.0318294960528983E-3</v>
      </c>
      <c r="J128" s="892">
        <f t="shared" ca="1" si="38"/>
        <v>1.2691155706758096E-2</v>
      </c>
      <c r="K128" s="892">
        <f t="shared" ca="1" si="38"/>
        <v>3.0246817378396331E-3</v>
      </c>
      <c r="L128" s="892">
        <f t="shared" ca="1" si="38"/>
        <v>6.9728641001029002E-4</v>
      </c>
      <c r="M128" s="892">
        <f t="shared" ca="1" si="38"/>
        <v>8.7694484532513606E-2</v>
      </c>
      <c r="N128" s="892">
        <f t="shared" ca="1" si="38"/>
        <v>0.81583675894447771</v>
      </c>
      <c r="O128" s="892">
        <f t="shared" ca="1" si="38"/>
        <v>1.6910628865952387E-2</v>
      </c>
      <c r="P128" s="892">
        <f t="shared" ca="1" si="38"/>
        <v>1.041313479561673E-2</v>
      </c>
      <c r="Q128" s="892">
        <f t="shared" ca="1" si="38"/>
        <v>4.2245934146891151E-2</v>
      </c>
      <c r="R128" s="892">
        <f t="shared" ca="1" si="38"/>
        <v>9.8723877496325434E-3</v>
      </c>
      <c r="S128" s="892">
        <f t="shared" ca="1" si="38"/>
        <v>1.8977837476447262E-3</v>
      </c>
      <c r="T128" s="876"/>
      <c r="U128" s="876"/>
      <c r="V128" s="876"/>
      <c r="W128" s="876"/>
      <c r="X128" s="876"/>
      <c r="Y128" s="876"/>
      <c r="Z128" s="876"/>
      <c r="AA128" s="876"/>
      <c r="AB128" s="876"/>
      <c r="AC128" s="876"/>
      <c r="AD128" s="876"/>
      <c r="AE128" s="876"/>
      <c r="AF128" s="876"/>
      <c r="AG128" s="876"/>
      <c r="AH128" s="876"/>
      <c r="AI128" s="876"/>
      <c r="AJ128" s="876"/>
      <c r="AK128" s="876"/>
      <c r="AL128" s="876"/>
      <c r="AM128" s="876"/>
      <c r="AN128" s="876"/>
      <c r="AO128" s="876"/>
      <c r="AP128" s="876"/>
      <c r="AQ128" s="876"/>
      <c r="AR128" s="876"/>
      <c r="AS128" s="876"/>
      <c r="AT128" s="876"/>
      <c r="AU128" s="876"/>
      <c r="AV128" s="876"/>
      <c r="AW128" s="876"/>
      <c r="AX128" s="876"/>
      <c r="AY128" s="876"/>
      <c r="AZ128" s="876"/>
      <c r="BA128" s="876"/>
      <c r="BB128" s="876"/>
      <c r="BC128" s="876"/>
      <c r="BD128" s="876"/>
      <c r="BE128" s="876"/>
      <c r="BF128" s="876"/>
      <c r="BG128" s="876"/>
      <c r="BH128" s="876"/>
      <c r="BI128" s="876"/>
      <c r="BJ128" s="876"/>
      <c r="BK128" s="876"/>
      <c r="BL128" s="876"/>
      <c r="BM128" s="876"/>
      <c r="BN128" s="876"/>
      <c r="BO128" s="876"/>
      <c r="BP128" s="876"/>
      <c r="BQ128" s="876"/>
      <c r="BR128" s="876"/>
      <c r="BS128" s="876"/>
      <c r="BT128" s="876"/>
      <c r="BU128" s="876"/>
    </row>
    <row r="129" spans="1:73">
      <c r="A129" s="876"/>
      <c r="B129" s="876"/>
      <c r="C129" s="899"/>
      <c r="D129" s="880"/>
      <c r="E129" s="892"/>
      <c r="F129" s="892"/>
      <c r="G129" s="892"/>
      <c r="H129" s="892"/>
      <c r="I129" s="892"/>
      <c r="J129" s="892"/>
      <c r="K129" s="892"/>
      <c r="L129" s="892"/>
      <c r="M129" s="892"/>
      <c r="N129" s="892"/>
      <c r="O129" s="892"/>
      <c r="P129" s="892"/>
      <c r="Q129" s="892"/>
      <c r="R129" s="892"/>
      <c r="S129" s="892"/>
      <c r="T129" s="876"/>
      <c r="U129" s="876"/>
      <c r="V129" s="876"/>
      <c r="W129" s="876"/>
      <c r="X129" s="876"/>
      <c r="Y129" s="876"/>
      <c r="Z129" s="876"/>
      <c r="AA129" s="876"/>
      <c r="AB129" s="876"/>
      <c r="AC129" s="876"/>
      <c r="AD129" s="876"/>
      <c r="AE129" s="876"/>
      <c r="AF129" s="876"/>
      <c r="AG129" s="876"/>
      <c r="AH129" s="876"/>
      <c r="AI129" s="876"/>
      <c r="AJ129" s="876"/>
      <c r="AK129" s="876"/>
      <c r="AL129" s="876"/>
      <c r="AM129" s="876"/>
      <c r="AN129" s="876"/>
      <c r="AO129" s="876"/>
      <c r="AP129" s="876"/>
      <c r="AQ129" s="876"/>
      <c r="AR129" s="876"/>
      <c r="AS129" s="876"/>
      <c r="AT129" s="876"/>
      <c r="AU129" s="876"/>
      <c r="AV129" s="876"/>
      <c r="AW129" s="876"/>
      <c r="AX129" s="876"/>
      <c r="AY129" s="876"/>
      <c r="AZ129" s="876"/>
      <c r="BA129" s="876"/>
      <c r="BB129" s="876"/>
      <c r="BC129" s="876"/>
      <c r="BD129" s="876"/>
      <c r="BE129" s="876"/>
      <c r="BF129" s="876"/>
      <c r="BG129" s="876"/>
      <c r="BH129" s="876"/>
      <c r="BI129" s="876"/>
      <c r="BJ129" s="876"/>
      <c r="BK129" s="876"/>
      <c r="BL129" s="876"/>
      <c r="BM129" s="876"/>
      <c r="BN129" s="876"/>
      <c r="BO129" s="876"/>
      <c r="BP129" s="876"/>
      <c r="BQ129" s="876"/>
      <c r="BR129" s="876"/>
      <c r="BS129" s="876"/>
      <c r="BT129" s="876"/>
      <c r="BU129" s="876"/>
    </row>
    <row r="130" spans="1:73">
      <c r="A130" s="876"/>
      <c r="B130" s="876"/>
      <c r="C130" s="899">
        <v>4</v>
      </c>
      <c r="D130" s="880" t="str">
        <f ca="1">OFFSET(D$76,MATCH($C130,$N$101:$N$107,0)*3-2,0)</f>
        <v>Total Fixed Operating Cost = $12,885K</v>
      </c>
      <c r="E130" s="892">
        <f ca="1">OFFSET(E$76,MATCH($C130,$N$101:$N$107,0)*3-2,0)</f>
        <v>1.0701065723104906</v>
      </c>
      <c r="F130" s="892">
        <f ca="1">OFFSET(F$76,MATCH($C130,$N$101:$N$107,0)*3-2,0)</f>
        <v>0</v>
      </c>
      <c r="G130" s="892">
        <f ca="1">OFFSET(G$76,MATCH($C130,$N$101:$N$107,0)*3-2,0)</f>
        <v>6.9008528456351935E-4</v>
      </c>
      <c r="H130" s="892"/>
      <c r="I130" s="892"/>
      <c r="J130" s="892"/>
      <c r="K130" s="892"/>
      <c r="L130" s="892"/>
      <c r="M130" s="892"/>
      <c r="N130" s="892"/>
      <c r="O130" s="892"/>
      <c r="P130" s="892"/>
      <c r="Q130" s="892"/>
      <c r="R130" s="892"/>
      <c r="S130" s="892"/>
      <c r="T130" s="876"/>
      <c r="U130" s="876"/>
      <c r="V130" s="876"/>
      <c r="W130" s="876"/>
      <c r="X130" s="876"/>
      <c r="Y130" s="876"/>
      <c r="Z130" s="876"/>
      <c r="AA130" s="876"/>
      <c r="AB130" s="876"/>
      <c r="AC130" s="876"/>
      <c r="AD130" s="876"/>
      <c r="AE130" s="876"/>
      <c r="AF130" s="876"/>
      <c r="AG130" s="876"/>
      <c r="AH130" s="876"/>
      <c r="AI130" s="876"/>
      <c r="AJ130" s="876"/>
      <c r="AK130" s="876"/>
      <c r="AL130" s="876"/>
      <c r="AM130" s="876"/>
      <c r="AN130" s="876"/>
      <c r="AO130" s="876"/>
      <c r="AP130" s="876"/>
      <c r="AQ130" s="876"/>
      <c r="AR130" s="876"/>
      <c r="AS130" s="876"/>
      <c r="AT130" s="876"/>
      <c r="AU130" s="876"/>
      <c r="AV130" s="876"/>
      <c r="AW130" s="876"/>
      <c r="AX130" s="876"/>
      <c r="AY130" s="876"/>
      <c r="AZ130" s="876"/>
      <c r="BA130" s="876"/>
      <c r="BB130" s="876"/>
      <c r="BC130" s="876"/>
      <c r="BD130" s="876"/>
      <c r="BE130" s="876"/>
      <c r="BF130" s="876"/>
      <c r="BG130" s="876"/>
      <c r="BH130" s="876"/>
      <c r="BI130" s="876"/>
      <c r="BJ130" s="876"/>
      <c r="BK130" s="876"/>
      <c r="BL130" s="876"/>
      <c r="BM130" s="876"/>
      <c r="BN130" s="876"/>
      <c r="BO130" s="876"/>
      <c r="BP130" s="876"/>
      <c r="BQ130" s="876"/>
      <c r="BR130" s="876"/>
      <c r="BS130" s="876"/>
      <c r="BT130" s="876"/>
      <c r="BU130" s="876"/>
    </row>
    <row r="131" spans="1:73">
      <c r="A131" s="876"/>
      <c r="B131" s="876"/>
      <c r="C131" s="899"/>
      <c r="D131" s="880"/>
      <c r="E131" s="892"/>
      <c r="F131" s="892"/>
      <c r="G131" s="892"/>
      <c r="H131" s="892">
        <f t="shared" ref="H131:S131" ca="1" si="39">OFFSET(H$76,MATCH($C130,$N$101:$N$107,0)*3-2,0)</f>
        <v>6.8763896877743688E-2</v>
      </c>
      <c r="I131" s="892">
        <f t="shared" ca="1" si="39"/>
        <v>8.787539454611408E-3</v>
      </c>
      <c r="J131" s="892">
        <f t="shared" ca="1" si="39"/>
        <v>1.2602548319655711E-2</v>
      </c>
      <c r="K131" s="892">
        <f t="shared" ca="1" si="39"/>
        <v>2.9542934018394833E-3</v>
      </c>
      <c r="L131" s="892">
        <f t="shared" ca="1" si="39"/>
        <v>6.784264297513133E-4</v>
      </c>
      <c r="M131" s="892">
        <f t="shared" ca="1" si="39"/>
        <v>8.120210617359401E-2</v>
      </c>
      <c r="N131" s="892">
        <f t="shared" ca="1" si="39"/>
        <v>0.81583675894447782</v>
      </c>
      <c r="O131" s="892">
        <f t="shared" ca="1" si="39"/>
        <v>1.6910628865952383E-2</v>
      </c>
      <c r="P131" s="892">
        <f t="shared" ca="1" si="39"/>
        <v>1.0413134795616728E-2</v>
      </c>
      <c r="Q131" s="892">
        <f t="shared" ca="1" si="39"/>
        <v>4.1103279604089063E-2</v>
      </c>
      <c r="R131" s="892">
        <f t="shared" ca="1" si="39"/>
        <v>9.6975916291512261E-3</v>
      </c>
      <c r="S131" s="892">
        <f t="shared" ca="1" si="39"/>
        <v>1.8464530985706127E-3</v>
      </c>
      <c r="T131" s="876"/>
      <c r="U131" s="876"/>
      <c r="V131" s="876"/>
      <c r="W131" s="876"/>
      <c r="X131" s="876"/>
      <c r="Y131" s="876"/>
      <c r="Z131" s="876"/>
      <c r="AA131" s="876"/>
      <c r="AB131" s="876"/>
      <c r="AC131" s="876"/>
      <c r="AD131" s="876"/>
      <c r="AE131" s="876"/>
      <c r="AF131" s="876"/>
      <c r="AG131" s="876"/>
      <c r="AH131" s="876"/>
      <c r="AI131" s="876"/>
      <c r="AJ131" s="876"/>
      <c r="AK131" s="876"/>
      <c r="AL131" s="876"/>
      <c r="AM131" s="876"/>
      <c r="AN131" s="876"/>
      <c r="AO131" s="876"/>
      <c r="AP131" s="876"/>
      <c r="AQ131" s="876"/>
      <c r="AR131" s="876"/>
      <c r="AS131" s="876"/>
      <c r="AT131" s="876"/>
      <c r="AU131" s="876"/>
      <c r="AV131" s="876"/>
      <c r="AW131" s="876"/>
      <c r="AX131" s="876"/>
      <c r="AY131" s="876"/>
      <c r="AZ131" s="876"/>
      <c r="BA131" s="876"/>
      <c r="BB131" s="876"/>
      <c r="BC131" s="876"/>
      <c r="BD131" s="876"/>
      <c r="BE131" s="876"/>
      <c r="BF131" s="876"/>
      <c r="BG131" s="876"/>
      <c r="BH131" s="876"/>
      <c r="BI131" s="876"/>
      <c r="BJ131" s="876"/>
      <c r="BK131" s="876"/>
      <c r="BL131" s="876"/>
      <c r="BM131" s="876"/>
      <c r="BN131" s="876"/>
      <c r="BO131" s="876"/>
      <c r="BP131" s="876"/>
      <c r="BQ131" s="876"/>
      <c r="BR131" s="876"/>
      <c r="BS131" s="876"/>
      <c r="BT131" s="876"/>
      <c r="BU131" s="876"/>
    </row>
    <row r="132" spans="1:73">
      <c r="A132" s="876"/>
      <c r="B132" s="876"/>
      <c r="C132" s="899">
        <v>4</v>
      </c>
      <c r="D132" s="880" t="str">
        <f ca="1">OFFSET(D$76,MATCH($C132,$N$101:$N$107,0)*3,0)</f>
        <v>Total Fixed Operating Cost = $14,241K</v>
      </c>
      <c r="E132" s="892">
        <f ca="1">OFFSET(E$76,MATCH($C132,$N$101:$N$107,0)*3,0)</f>
        <v>1.0788112547173956</v>
      </c>
      <c r="F132" s="892">
        <f ca="1">OFFSET(F$76,MATCH($C132,$N$101:$N$107,0)*3,0)</f>
        <v>0</v>
      </c>
      <c r="G132" s="892">
        <f ca="1">OFFSET(G$76,MATCH($C132,$N$101:$N$107,0)*3,0)</f>
        <v>6.9008528456351935E-4</v>
      </c>
      <c r="H132" s="892"/>
      <c r="I132" s="892"/>
      <c r="J132" s="892"/>
      <c r="K132" s="892"/>
      <c r="L132" s="892"/>
      <c r="M132" s="892"/>
      <c r="N132" s="892"/>
      <c r="O132" s="892"/>
      <c r="P132" s="892"/>
      <c r="Q132" s="892"/>
      <c r="R132" s="892"/>
      <c r="S132" s="892"/>
      <c r="T132" s="876"/>
      <c r="U132" s="876"/>
      <c r="V132" s="876"/>
      <c r="W132" s="876"/>
      <c r="X132" s="876"/>
      <c r="Y132" s="876"/>
      <c r="Z132" s="876"/>
      <c r="AA132" s="876"/>
      <c r="AB132" s="876"/>
      <c r="AC132" s="876"/>
      <c r="AD132" s="876"/>
      <c r="AE132" s="876"/>
      <c r="AF132" s="876"/>
      <c r="AG132" s="876"/>
      <c r="AH132" s="876"/>
      <c r="AI132" s="876"/>
      <c r="AJ132" s="876"/>
      <c r="AK132" s="876"/>
      <c r="AL132" s="876"/>
      <c r="AM132" s="876"/>
      <c r="AN132" s="876"/>
      <c r="AO132" s="876"/>
      <c r="AP132" s="876"/>
      <c r="AQ132" s="876"/>
      <c r="AR132" s="876"/>
      <c r="AS132" s="876"/>
      <c r="AT132" s="876"/>
      <c r="AU132" s="876"/>
      <c r="AV132" s="876"/>
      <c r="AW132" s="876"/>
      <c r="AX132" s="876"/>
      <c r="AY132" s="876"/>
      <c r="AZ132" s="876"/>
      <c r="BA132" s="876"/>
      <c r="BB132" s="876"/>
      <c r="BC132" s="876"/>
      <c r="BD132" s="876"/>
      <c r="BE132" s="876"/>
      <c r="BF132" s="876"/>
      <c r="BG132" s="876"/>
      <c r="BH132" s="876"/>
      <c r="BI132" s="876"/>
      <c r="BJ132" s="876"/>
      <c r="BK132" s="876"/>
      <c r="BL132" s="876"/>
      <c r="BM132" s="876"/>
      <c r="BN132" s="876"/>
      <c r="BO132" s="876"/>
      <c r="BP132" s="876"/>
      <c r="BQ132" s="876"/>
      <c r="BR132" s="876"/>
      <c r="BS132" s="876"/>
      <c r="BT132" s="876"/>
      <c r="BU132" s="876"/>
    </row>
    <row r="133" spans="1:73">
      <c r="A133" s="876"/>
      <c r="B133" s="876"/>
      <c r="C133" s="899"/>
      <c r="D133" s="880"/>
      <c r="E133" s="892"/>
      <c r="F133" s="892"/>
      <c r="G133" s="892"/>
      <c r="H133" s="892">
        <f t="shared" ref="H133:S133" ca="1" si="40">OFFSET(H$76,MATCH($C132,$N$101:$N$107,0)*3,0)</f>
        <v>6.8763896877743688E-2</v>
      </c>
      <c r="I133" s="892">
        <f t="shared" ca="1" si="40"/>
        <v>8.787539454611408E-3</v>
      </c>
      <c r="J133" s="892">
        <f t="shared" ca="1" si="40"/>
        <v>1.2719205049285164E-2</v>
      </c>
      <c r="K133" s="892">
        <f t="shared" ca="1" si="40"/>
        <v>2.9542934018394833E-3</v>
      </c>
      <c r="L133" s="892">
        <f t="shared" ca="1" si="40"/>
        <v>6.784264297513133E-4</v>
      </c>
      <c r="M133" s="892">
        <f t="shared" ca="1" si="40"/>
        <v>8.9749696297130199E-2</v>
      </c>
      <c r="N133" s="892">
        <f t="shared" ca="1" si="40"/>
        <v>0.81583675894447782</v>
      </c>
      <c r="O133" s="892">
        <f t="shared" ca="1" si="40"/>
        <v>1.6910628865952383E-2</v>
      </c>
      <c r="P133" s="892">
        <f t="shared" ca="1" si="40"/>
        <v>1.0413134795616728E-2</v>
      </c>
      <c r="Q133" s="892">
        <f t="shared" ca="1" si="40"/>
        <v>4.1103279604089063E-2</v>
      </c>
      <c r="R133" s="892">
        <f t="shared" ca="1" si="40"/>
        <v>9.7380271828903346E-3</v>
      </c>
      <c r="S133" s="892">
        <f t="shared" ca="1" si="40"/>
        <v>1.8464530985706127E-3</v>
      </c>
      <c r="T133" s="876"/>
      <c r="U133" s="876"/>
      <c r="V133" s="876"/>
      <c r="W133" s="876"/>
      <c r="X133" s="876"/>
      <c r="Y133" s="876"/>
      <c r="Z133" s="876"/>
      <c r="AA133" s="876"/>
      <c r="AB133" s="876"/>
      <c r="AC133" s="876"/>
      <c r="AD133" s="876"/>
      <c r="AE133" s="876"/>
      <c r="AF133" s="876"/>
      <c r="AG133" s="876"/>
      <c r="AH133" s="876"/>
      <c r="AI133" s="876"/>
      <c r="AJ133" s="876"/>
      <c r="AK133" s="876"/>
      <c r="AL133" s="876"/>
      <c r="AM133" s="876"/>
      <c r="AN133" s="876"/>
      <c r="AO133" s="876"/>
      <c r="AP133" s="876"/>
      <c r="AQ133" s="876"/>
      <c r="AR133" s="876"/>
      <c r="AS133" s="876"/>
      <c r="AT133" s="876"/>
      <c r="AU133" s="876"/>
      <c r="AV133" s="876"/>
      <c r="AW133" s="876"/>
      <c r="AX133" s="876"/>
      <c r="AY133" s="876"/>
      <c r="AZ133" s="876"/>
      <c r="BA133" s="876"/>
      <c r="BB133" s="876"/>
      <c r="BC133" s="876"/>
      <c r="BD133" s="876"/>
      <c r="BE133" s="876"/>
      <c r="BF133" s="876"/>
      <c r="BG133" s="876"/>
      <c r="BH133" s="876"/>
      <c r="BI133" s="876"/>
      <c r="BJ133" s="876"/>
      <c r="BK133" s="876"/>
      <c r="BL133" s="876"/>
      <c r="BM133" s="876"/>
      <c r="BN133" s="876"/>
      <c r="BO133" s="876"/>
      <c r="BP133" s="876"/>
      <c r="BQ133" s="876"/>
      <c r="BR133" s="876"/>
      <c r="BS133" s="876"/>
      <c r="BT133" s="876"/>
      <c r="BU133" s="876"/>
    </row>
    <row r="134" spans="1:73">
      <c r="A134" s="876"/>
      <c r="B134" s="876"/>
      <c r="C134" s="899"/>
      <c r="D134" s="880"/>
      <c r="E134" s="892"/>
      <c r="F134" s="892"/>
      <c r="G134" s="892"/>
      <c r="H134" s="892"/>
      <c r="I134" s="892"/>
      <c r="J134" s="892"/>
      <c r="K134" s="892"/>
      <c r="L134" s="892"/>
      <c r="M134" s="892"/>
      <c r="N134" s="892"/>
      <c r="O134" s="892"/>
      <c r="P134" s="892"/>
      <c r="Q134" s="892"/>
      <c r="R134" s="892"/>
      <c r="S134" s="892"/>
      <c r="T134" s="876"/>
      <c r="U134" s="876"/>
      <c r="V134" s="876"/>
      <c r="W134" s="876"/>
      <c r="X134" s="876"/>
      <c r="Y134" s="876"/>
      <c r="Z134" s="876"/>
      <c r="AA134" s="876"/>
      <c r="AB134" s="876"/>
      <c r="AC134" s="876"/>
      <c r="AD134" s="876"/>
      <c r="AE134" s="876"/>
      <c r="AF134" s="876"/>
      <c r="AG134" s="876"/>
      <c r="AH134" s="876"/>
      <c r="AI134" s="876"/>
      <c r="AJ134" s="876"/>
      <c r="AK134" s="876"/>
      <c r="AL134" s="876"/>
      <c r="AM134" s="876"/>
      <c r="AN134" s="876"/>
      <c r="AO134" s="876"/>
      <c r="AP134" s="876"/>
      <c r="AQ134" s="876"/>
      <c r="AR134" s="876"/>
      <c r="AS134" s="876"/>
      <c r="AT134" s="876"/>
      <c r="AU134" s="876"/>
      <c r="AV134" s="876"/>
      <c r="AW134" s="876"/>
      <c r="AX134" s="876"/>
      <c r="AY134" s="876"/>
      <c r="AZ134" s="876"/>
      <c r="BA134" s="876"/>
      <c r="BB134" s="876"/>
      <c r="BC134" s="876"/>
      <c r="BD134" s="876"/>
      <c r="BE134" s="876"/>
      <c r="BF134" s="876"/>
      <c r="BG134" s="876"/>
      <c r="BH134" s="876"/>
      <c r="BI134" s="876"/>
      <c r="BJ134" s="876"/>
      <c r="BK134" s="876"/>
      <c r="BL134" s="876"/>
      <c r="BM134" s="876"/>
      <c r="BN134" s="876"/>
      <c r="BO134" s="876"/>
      <c r="BP134" s="876"/>
      <c r="BQ134" s="876"/>
      <c r="BR134" s="876"/>
      <c r="BS134" s="876"/>
      <c r="BT134" s="876"/>
      <c r="BU134" s="876"/>
    </row>
    <row r="135" spans="1:73">
      <c r="A135" s="876"/>
      <c r="B135" s="876"/>
      <c r="C135" s="899">
        <v>5</v>
      </c>
      <c r="D135" s="880" t="str">
        <f ca="1">OFFSET(D$76,MATCH($C135,$N$101:$N$107,0)*3-2,0)</f>
        <v>After-tax Real IRR = 8%</v>
      </c>
      <c r="E135" s="892">
        <f ca="1">OFFSET(E$76,MATCH($C135,$N$101:$N$107,0)*3-2,0)</f>
        <v>1.073118127311099</v>
      </c>
      <c r="F135" s="892">
        <f ca="1">OFFSET(F$76,MATCH($C135,$N$101:$N$107,0)*3-2,0)</f>
        <v>0</v>
      </c>
      <c r="G135" s="892">
        <f ca="1">OFFSET(G$76,MATCH($C135,$N$101:$N$107,0)*3-2,0)</f>
        <v>7.6639333496743387E-4</v>
      </c>
      <c r="H135" s="892"/>
      <c r="I135" s="892"/>
      <c r="J135" s="892"/>
      <c r="K135" s="892"/>
      <c r="L135" s="892"/>
      <c r="M135" s="892"/>
      <c r="N135" s="892"/>
      <c r="O135" s="892"/>
      <c r="P135" s="892"/>
      <c r="Q135" s="892"/>
      <c r="R135" s="892"/>
      <c r="S135" s="892"/>
      <c r="T135" s="876"/>
      <c r="U135" s="876"/>
      <c r="V135" s="876"/>
      <c r="W135" s="876"/>
      <c r="X135" s="876"/>
      <c r="Y135" s="876"/>
      <c r="Z135" s="876"/>
      <c r="AA135" s="876"/>
      <c r="AB135" s="876"/>
      <c r="AC135" s="876"/>
      <c r="AD135" s="876"/>
      <c r="AE135" s="876"/>
      <c r="AF135" s="876"/>
      <c r="AG135" s="876"/>
      <c r="AH135" s="876"/>
      <c r="AI135" s="876"/>
      <c r="AJ135" s="876"/>
      <c r="AK135" s="876"/>
      <c r="AL135" s="876"/>
      <c r="AM135" s="876"/>
      <c r="AN135" s="876"/>
      <c r="AO135" s="876"/>
      <c r="AP135" s="876"/>
      <c r="AQ135" s="876"/>
      <c r="AR135" s="876"/>
      <c r="AS135" s="876"/>
      <c r="AT135" s="876"/>
      <c r="AU135" s="876"/>
      <c r="AV135" s="876"/>
      <c r="AW135" s="876"/>
      <c r="AX135" s="876"/>
      <c r="AY135" s="876"/>
      <c r="AZ135" s="876"/>
      <c r="BA135" s="876"/>
      <c r="BB135" s="876"/>
      <c r="BC135" s="876"/>
      <c r="BD135" s="876"/>
      <c r="BE135" s="876"/>
      <c r="BF135" s="876"/>
      <c r="BG135" s="876"/>
      <c r="BH135" s="876"/>
      <c r="BI135" s="876"/>
      <c r="BJ135" s="876"/>
      <c r="BK135" s="876"/>
      <c r="BL135" s="876"/>
      <c r="BM135" s="876"/>
      <c r="BN135" s="876"/>
      <c r="BO135" s="876"/>
      <c r="BP135" s="876"/>
      <c r="BQ135" s="876"/>
      <c r="BR135" s="876"/>
      <c r="BS135" s="876"/>
      <c r="BT135" s="876"/>
      <c r="BU135" s="876"/>
    </row>
    <row r="136" spans="1:73">
      <c r="A136" s="876"/>
      <c r="B136" s="876"/>
      <c r="C136" s="899"/>
      <c r="D136" s="880"/>
      <c r="E136" s="892"/>
      <c r="F136" s="892"/>
      <c r="G136" s="892"/>
      <c r="H136" s="892">
        <f t="shared" ref="H136:S136" ca="1" si="41">OFFSET(H$76,MATCH($C135,$N$101:$N$107,0)*3-2,0)</f>
        <v>6.5347217266854871E-2</v>
      </c>
      <c r="I136" s="892">
        <f t="shared" ca="1" si="41"/>
        <v>8.7875394546114028E-3</v>
      </c>
      <c r="J136" s="892">
        <f t="shared" ca="1" si="41"/>
        <v>1.2239845216103992E-2</v>
      </c>
      <c r="K136" s="892">
        <f t="shared" ca="1" si="41"/>
        <v>2.8075030876053382E-3</v>
      </c>
      <c r="L136" s="892">
        <f t="shared" ca="1" si="41"/>
        <v>7.5344527069001722E-4</v>
      </c>
      <c r="M136" s="892">
        <f t="shared" ca="1" si="41"/>
        <v>8.5475901235362112E-2</v>
      </c>
      <c r="N136" s="892">
        <f t="shared" ca="1" si="41"/>
        <v>0.8199158449382844</v>
      </c>
      <c r="O136" s="892">
        <f t="shared" ca="1" si="41"/>
        <v>1.6910628865952376E-2</v>
      </c>
      <c r="P136" s="892">
        <f t="shared" ca="1" si="41"/>
        <v>1.0413134795616725E-2</v>
      </c>
      <c r="Q136" s="892">
        <f t="shared" ca="1" si="41"/>
        <v>4.0444999386701451E-2</v>
      </c>
      <c r="R136" s="892">
        <f t="shared" ca="1" si="41"/>
        <v>8.7378314746322829E-3</v>
      </c>
      <c r="S136" s="892">
        <f t="shared" ca="1" si="41"/>
        <v>2.0506296536514953E-3</v>
      </c>
      <c r="T136" s="876"/>
      <c r="U136" s="876"/>
      <c r="V136" s="876"/>
      <c r="W136" s="876"/>
      <c r="X136" s="876"/>
      <c r="Y136" s="876"/>
      <c r="Z136" s="876"/>
      <c r="AA136" s="876"/>
      <c r="AB136" s="876"/>
      <c r="AC136" s="876"/>
      <c r="AD136" s="876"/>
      <c r="AE136" s="876"/>
      <c r="AF136" s="876"/>
      <c r="AG136" s="876"/>
      <c r="AH136" s="876"/>
      <c r="AI136" s="876"/>
      <c r="AJ136" s="876"/>
      <c r="AK136" s="876"/>
      <c r="AL136" s="876"/>
      <c r="AM136" s="876"/>
      <c r="AN136" s="876"/>
      <c r="AO136" s="876"/>
      <c r="AP136" s="876"/>
      <c r="AQ136" s="876"/>
      <c r="AR136" s="876"/>
      <c r="AS136" s="876"/>
      <c r="AT136" s="876"/>
      <c r="AU136" s="876"/>
      <c r="AV136" s="876"/>
      <c r="AW136" s="876"/>
      <c r="AX136" s="876"/>
      <c r="AY136" s="876"/>
      <c r="AZ136" s="876"/>
      <c r="BA136" s="876"/>
      <c r="BB136" s="876"/>
      <c r="BC136" s="876"/>
      <c r="BD136" s="876"/>
      <c r="BE136" s="876"/>
      <c r="BF136" s="876"/>
      <c r="BG136" s="876"/>
      <c r="BH136" s="876"/>
      <c r="BI136" s="876"/>
      <c r="BJ136" s="876"/>
      <c r="BK136" s="876"/>
      <c r="BL136" s="876"/>
      <c r="BM136" s="876"/>
      <c r="BN136" s="876"/>
      <c r="BO136" s="876"/>
      <c r="BP136" s="876"/>
      <c r="BQ136" s="876"/>
      <c r="BR136" s="876"/>
      <c r="BS136" s="876"/>
      <c r="BT136" s="876"/>
      <c r="BU136" s="876"/>
    </row>
    <row r="137" spans="1:73">
      <c r="A137" s="876"/>
      <c r="B137" s="876"/>
      <c r="C137" s="899">
        <v>5</v>
      </c>
      <c r="D137" s="880" t="str">
        <f ca="1">OFFSET(D$76,MATCH($C137,$N$101:$N$107,0)*3,0)</f>
        <v>After-tax Real IRR = 8%</v>
      </c>
      <c r="E137" s="892">
        <f ca="1">OFFSET(E$76,MATCH($C137,$N$101:$N$107,0)*3,0)</f>
        <v>1.0760251572832065</v>
      </c>
      <c r="F137" s="892">
        <f ca="1">OFFSET(F$76,MATCH($C137,$N$101:$N$107,0)*3,0)</f>
        <v>0</v>
      </c>
      <c r="G137" s="892">
        <f ca="1">OFFSET(G$76,MATCH($C137,$N$101:$N$107,0)*3,0)</f>
        <v>6.2086894877999392E-4</v>
      </c>
      <c r="H137" s="892"/>
      <c r="I137" s="892"/>
      <c r="J137" s="892"/>
      <c r="K137" s="892"/>
      <c r="L137" s="892"/>
      <c r="M137" s="892"/>
      <c r="N137" s="892"/>
      <c r="O137" s="892"/>
      <c r="P137" s="892"/>
      <c r="Q137" s="892"/>
      <c r="R137" s="892"/>
      <c r="S137" s="892"/>
      <c r="T137" s="876"/>
      <c r="U137" s="876"/>
      <c r="V137" s="876"/>
      <c r="W137" s="876"/>
      <c r="X137" s="876"/>
      <c r="Y137" s="876"/>
      <c r="Z137" s="876"/>
      <c r="AA137" s="876"/>
      <c r="AB137" s="876"/>
      <c r="AC137" s="876"/>
      <c r="AD137" s="876"/>
      <c r="AE137" s="876"/>
      <c r="AF137" s="876"/>
      <c r="AG137" s="876"/>
      <c r="AH137" s="876"/>
      <c r="AI137" s="876"/>
      <c r="AJ137" s="876"/>
      <c r="AK137" s="876"/>
      <c r="AL137" s="876"/>
      <c r="AM137" s="876"/>
      <c r="AN137" s="876"/>
      <c r="AO137" s="876"/>
      <c r="AP137" s="876"/>
      <c r="AQ137" s="876"/>
      <c r="AR137" s="876"/>
      <c r="AS137" s="876"/>
      <c r="AT137" s="876"/>
      <c r="AU137" s="876"/>
      <c r="AV137" s="876"/>
      <c r="AW137" s="876"/>
      <c r="AX137" s="876"/>
      <c r="AY137" s="876"/>
      <c r="AZ137" s="876"/>
      <c r="BA137" s="876"/>
      <c r="BB137" s="876"/>
      <c r="BC137" s="876"/>
      <c r="BD137" s="876"/>
      <c r="BE137" s="876"/>
      <c r="BF137" s="876"/>
      <c r="BG137" s="876"/>
      <c r="BH137" s="876"/>
      <c r="BI137" s="876"/>
      <c r="BJ137" s="876"/>
      <c r="BK137" s="876"/>
      <c r="BL137" s="876"/>
      <c r="BM137" s="876"/>
      <c r="BN137" s="876"/>
      <c r="BO137" s="876"/>
      <c r="BP137" s="876"/>
      <c r="BQ137" s="876"/>
      <c r="BR137" s="876"/>
      <c r="BS137" s="876"/>
      <c r="BT137" s="876"/>
      <c r="BU137" s="876"/>
    </row>
    <row r="138" spans="1:73">
      <c r="A138" s="876"/>
      <c r="B138" s="876"/>
      <c r="C138" s="899"/>
      <c r="D138" s="880"/>
      <c r="E138" s="892"/>
      <c r="F138" s="892"/>
      <c r="G138" s="892"/>
      <c r="H138" s="892">
        <f t="shared" ref="H138:S138" ca="1" si="42">OFFSET(H$76,MATCH($C137,$N$101:$N$107,0)*3,0)</f>
        <v>7.2258638789935353E-2</v>
      </c>
      <c r="I138" s="892">
        <f t="shared" ca="1" si="42"/>
        <v>8.7875394546114149E-3</v>
      </c>
      <c r="J138" s="892">
        <f t="shared" ca="1" si="42"/>
        <v>1.307538439720039E-2</v>
      </c>
      <c r="K138" s="892">
        <f t="shared" ca="1" si="42"/>
        <v>3.1044374954861211E-3</v>
      </c>
      <c r="L138" s="892">
        <f t="shared" ca="1" si="42"/>
        <v>6.1037949031282569E-4</v>
      </c>
      <c r="M138" s="892">
        <f t="shared" ca="1" si="42"/>
        <v>8.5475901235362209E-2</v>
      </c>
      <c r="N138" s="892">
        <f t="shared" ca="1" si="42"/>
        <v>0.81184257920214997</v>
      </c>
      <c r="O138" s="892">
        <f t="shared" ca="1" si="42"/>
        <v>1.6910628865952404E-2</v>
      </c>
      <c r="P138" s="892">
        <f t="shared" ca="1" si="42"/>
        <v>1.0413134795616737E-2</v>
      </c>
      <c r="Q138" s="892">
        <f t="shared" ca="1" si="42"/>
        <v>4.1764074840630737E-2</v>
      </c>
      <c r="R138" s="892">
        <f t="shared" ca="1" si="42"/>
        <v>1.0742075903640532E-2</v>
      </c>
      <c r="S138" s="892">
        <f t="shared" ca="1" si="42"/>
        <v>1.6612517610866068E-3</v>
      </c>
      <c r="T138" s="876"/>
      <c r="U138" s="876"/>
      <c r="V138" s="876"/>
      <c r="W138" s="876"/>
      <c r="X138" s="876"/>
      <c r="Y138" s="876"/>
      <c r="Z138" s="876"/>
      <c r="AA138" s="876"/>
      <c r="AB138" s="876"/>
      <c r="AC138" s="876"/>
      <c r="AD138" s="876"/>
      <c r="AE138" s="876"/>
      <c r="AF138" s="876"/>
      <c r="AG138" s="876"/>
      <c r="AH138" s="876"/>
      <c r="AI138" s="876"/>
      <c r="AJ138" s="876"/>
      <c r="AK138" s="876"/>
      <c r="AL138" s="876"/>
      <c r="AM138" s="876"/>
      <c r="AN138" s="876"/>
      <c r="AO138" s="876"/>
      <c r="AP138" s="876"/>
      <c r="AQ138" s="876"/>
      <c r="AR138" s="876"/>
      <c r="AS138" s="876"/>
      <c r="AT138" s="876"/>
      <c r="AU138" s="876"/>
      <c r="AV138" s="876"/>
      <c r="AW138" s="876"/>
      <c r="AX138" s="876"/>
      <c r="AY138" s="876"/>
      <c r="AZ138" s="876"/>
      <c r="BA138" s="876"/>
      <c r="BB138" s="876"/>
      <c r="BC138" s="876"/>
      <c r="BD138" s="876"/>
      <c r="BE138" s="876"/>
      <c r="BF138" s="876"/>
      <c r="BG138" s="876"/>
      <c r="BH138" s="876"/>
      <c r="BI138" s="876"/>
      <c r="BJ138" s="876"/>
      <c r="BK138" s="876"/>
      <c r="BL138" s="876"/>
      <c r="BM138" s="876"/>
      <c r="BN138" s="876"/>
      <c r="BO138" s="876"/>
      <c r="BP138" s="876"/>
      <c r="BQ138" s="876"/>
      <c r="BR138" s="876"/>
      <c r="BS138" s="876"/>
      <c r="BT138" s="876"/>
      <c r="BU138" s="876"/>
    </row>
    <row r="139" spans="1:73">
      <c r="A139" s="876"/>
      <c r="B139" s="876"/>
      <c r="C139" s="899"/>
      <c r="D139" s="880"/>
      <c r="E139" s="892"/>
      <c r="F139" s="892"/>
      <c r="G139" s="892"/>
      <c r="H139" s="892"/>
      <c r="I139" s="892"/>
      <c r="J139" s="892"/>
      <c r="K139" s="892"/>
      <c r="L139" s="892"/>
      <c r="M139" s="892"/>
      <c r="N139" s="892"/>
      <c r="O139" s="892"/>
      <c r="P139" s="892"/>
      <c r="Q139" s="892"/>
      <c r="R139" s="892"/>
      <c r="S139" s="892"/>
      <c r="T139" s="876"/>
      <c r="U139" s="876"/>
      <c r="V139" s="876"/>
      <c r="W139" s="876"/>
      <c r="X139" s="876"/>
      <c r="Y139" s="876"/>
      <c r="Z139" s="876"/>
      <c r="AA139" s="876"/>
      <c r="AB139" s="876"/>
      <c r="AC139" s="876"/>
      <c r="AD139" s="876"/>
      <c r="AE139" s="876"/>
      <c r="AF139" s="876"/>
      <c r="AG139" s="876"/>
      <c r="AH139" s="876"/>
      <c r="AI139" s="876"/>
      <c r="AJ139" s="876"/>
      <c r="AK139" s="876"/>
      <c r="AL139" s="876"/>
      <c r="AM139" s="876"/>
      <c r="AN139" s="876"/>
      <c r="AO139" s="876"/>
      <c r="AP139" s="876"/>
      <c r="AQ139" s="876"/>
      <c r="AR139" s="876"/>
      <c r="AS139" s="876"/>
      <c r="AT139" s="876"/>
      <c r="AU139" s="876"/>
      <c r="AV139" s="876"/>
      <c r="AW139" s="876"/>
      <c r="AX139" s="876"/>
      <c r="AY139" s="876"/>
      <c r="AZ139" s="876"/>
      <c r="BA139" s="876"/>
      <c r="BB139" s="876"/>
      <c r="BC139" s="876"/>
      <c r="BD139" s="876"/>
      <c r="BE139" s="876"/>
      <c r="BF139" s="876"/>
      <c r="BG139" s="876"/>
      <c r="BH139" s="876"/>
      <c r="BI139" s="876"/>
      <c r="BJ139" s="876"/>
      <c r="BK139" s="876"/>
      <c r="BL139" s="876"/>
      <c r="BM139" s="876"/>
      <c r="BN139" s="876"/>
      <c r="BO139" s="876"/>
      <c r="BP139" s="876"/>
      <c r="BQ139" s="876"/>
      <c r="BR139" s="876"/>
      <c r="BS139" s="876"/>
      <c r="BT139" s="876"/>
      <c r="BU139" s="876"/>
    </row>
    <row r="140" spans="1:73">
      <c r="A140" s="876"/>
      <c r="B140" s="876"/>
      <c r="C140" s="899">
        <v>6</v>
      </c>
      <c r="D140" s="880" t="str">
        <f ca="1">OFFSET(D$76,MATCH($C140,$N$101:$N$107,0)*3-2,0)</f>
        <v>Feedstock Consumption (% of baseline) = 95%</v>
      </c>
      <c r="E140" s="892">
        <f ca="1">OFFSET(E$76,MATCH($C140,$N$101:$N$107,0)*3-2,0)</f>
        <v>1.0744589135139428</v>
      </c>
      <c r="F140" s="892">
        <f ca="1">OFFSET(F$76,MATCH($C140,$N$101:$N$107,0)*3-2,0)</f>
        <v>0</v>
      </c>
      <c r="G140" s="892">
        <f ca="1">OFFSET(G$76,MATCH($C140,$N$101:$N$107,0)*3-2,0)</f>
        <v>6.9008528456351935E-4</v>
      </c>
      <c r="H140" s="892"/>
      <c r="I140" s="892"/>
      <c r="J140" s="892"/>
      <c r="K140" s="892"/>
      <c r="L140" s="892"/>
      <c r="M140" s="892"/>
      <c r="N140" s="892"/>
      <c r="O140" s="892"/>
      <c r="P140" s="892"/>
      <c r="Q140" s="892"/>
      <c r="R140" s="892"/>
      <c r="S140" s="892"/>
      <c r="T140" s="876"/>
      <c r="U140" s="876"/>
      <c r="V140" s="876"/>
      <c r="W140" s="876"/>
      <c r="X140" s="876"/>
      <c r="Y140" s="876"/>
      <c r="Z140" s="876"/>
      <c r="AA140" s="876"/>
      <c r="AB140" s="876"/>
      <c r="AC140" s="876"/>
      <c r="AD140" s="876"/>
      <c r="AE140" s="876"/>
      <c r="AF140" s="876"/>
      <c r="AG140" s="876"/>
      <c r="AH140" s="876"/>
      <c r="AI140" s="876"/>
      <c r="AJ140" s="876"/>
      <c r="AK140" s="876"/>
      <c r="AL140" s="876"/>
      <c r="AM140" s="876"/>
      <c r="AN140" s="876"/>
      <c r="AO140" s="876"/>
      <c r="AP140" s="876"/>
      <c r="AQ140" s="876"/>
      <c r="AR140" s="876"/>
      <c r="AS140" s="876"/>
      <c r="AT140" s="876"/>
      <c r="AU140" s="876"/>
      <c r="AV140" s="876"/>
      <c r="AW140" s="876"/>
      <c r="AX140" s="876"/>
      <c r="AY140" s="876"/>
      <c r="AZ140" s="876"/>
      <c r="BA140" s="876"/>
      <c r="BB140" s="876"/>
      <c r="BC140" s="876"/>
      <c r="BD140" s="876"/>
      <c r="BE140" s="876"/>
      <c r="BF140" s="876"/>
      <c r="BG140" s="876"/>
      <c r="BH140" s="876"/>
      <c r="BI140" s="876"/>
      <c r="BJ140" s="876"/>
      <c r="BK140" s="876"/>
      <c r="BL140" s="876"/>
      <c r="BM140" s="876"/>
      <c r="BN140" s="876"/>
      <c r="BO140" s="876"/>
      <c r="BP140" s="876"/>
      <c r="BQ140" s="876"/>
      <c r="BR140" s="876"/>
      <c r="BS140" s="876"/>
      <c r="BT140" s="876"/>
      <c r="BU140" s="876"/>
    </row>
    <row r="141" spans="1:73">
      <c r="A141" s="876"/>
      <c r="B141" s="876"/>
      <c r="C141" s="899"/>
      <c r="D141" s="880"/>
      <c r="E141" s="892"/>
      <c r="F141" s="892"/>
      <c r="G141" s="892"/>
      <c r="H141" s="892">
        <f t="shared" ref="H141:S141" ca="1" si="43">OFFSET(H$76,MATCH($C140,$N$101:$N$107,0)*3-2,0)</f>
        <v>6.8763896877743688E-2</v>
      </c>
      <c r="I141" s="892">
        <f t="shared" ca="1" si="43"/>
        <v>8.787539454611408E-3</v>
      </c>
      <c r="J141" s="892">
        <f t="shared" ca="1" si="43"/>
        <v>1.2660876684470445E-2</v>
      </c>
      <c r="K141" s="892">
        <f t="shared" ca="1" si="43"/>
        <v>2.9542934018394833E-3</v>
      </c>
      <c r="L141" s="892">
        <f t="shared" ca="1" si="43"/>
        <v>6.784264297513133E-4</v>
      </c>
      <c r="M141" s="892">
        <f t="shared" ca="1" si="43"/>
        <v>8.5475901235362126E-2</v>
      </c>
      <c r="N141" s="892">
        <f t="shared" ca="1" si="43"/>
        <v>0.81583675894447782</v>
      </c>
      <c r="O141" s="892">
        <f t="shared" ca="1" si="43"/>
        <v>1.6910628865952383E-2</v>
      </c>
      <c r="P141" s="892">
        <f t="shared" ca="1" si="43"/>
        <v>1.0413134795616728E-2</v>
      </c>
      <c r="Q141" s="892">
        <f t="shared" ca="1" si="43"/>
        <v>4.1103279604089063E-2</v>
      </c>
      <c r="R141" s="892">
        <f t="shared" ca="1" si="43"/>
        <v>9.7178094060207474E-3</v>
      </c>
      <c r="S141" s="892">
        <f t="shared" ca="1" si="43"/>
        <v>1.8464530985706127E-3</v>
      </c>
      <c r="T141" s="876"/>
      <c r="U141" s="876"/>
      <c r="V141" s="876"/>
      <c r="W141" s="876"/>
      <c r="X141" s="876"/>
      <c r="Y141" s="876"/>
      <c r="Z141" s="876"/>
      <c r="AA141" s="876"/>
      <c r="AB141" s="876"/>
      <c r="AC141" s="876"/>
      <c r="AD141" s="876"/>
      <c r="AE141" s="876"/>
      <c r="AF141" s="876"/>
      <c r="AG141" s="876"/>
      <c r="AH141" s="876"/>
      <c r="AI141" s="876"/>
      <c r="AJ141" s="876"/>
      <c r="AK141" s="876"/>
      <c r="AL141" s="876"/>
      <c r="AM141" s="876"/>
      <c r="AN141" s="876"/>
      <c r="AO141" s="876"/>
      <c r="AP141" s="876"/>
      <c r="AQ141" s="876"/>
      <c r="AR141" s="876"/>
      <c r="AS141" s="876"/>
      <c r="AT141" s="876"/>
      <c r="AU141" s="876"/>
      <c r="AV141" s="876"/>
      <c r="AW141" s="876"/>
      <c r="AX141" s="876"/>
      <c r="AY141" s="876"/>
      <c r="AZ141" s="876"/>
      <c r="BA141" s="876"/>
      <c r="BB141" s="876"/>
      <c r="BC141" s="876"/>
      <c r="BD141" s="876"/>
      <c r="BE141" s="876"/>
      <c r="BF141" s="876"/>
      <c r="BG141" s="876"/>
      <c r="BH141" s="876"/>
      <c r="BI141" s="876"/>
      <c r="BJ141" s="876"/>
      <c r="BK141" s="876"/>
      <c r="BL141" s="876"/>
      <c r="BM141" s="876"/>
      <c r="BN141" s="876"/>
      <c r="BO141" s="876"/>
      <c r="BP141" s="876"/>
      <c r="BQ141" s="876"/>
      <c r="BR141" s="876"/>
      <c r="BS141" s="876"/>
      <c r="BT141" s="876"/>
      <c r="BU141" s="876"/>
    </row>
    <row r="142" spans="1:73">
      <c r="A142" s="876"/>
      <c r="B142" s="876"/>
      <c r="C142" s="899">
        <v>6</v>
      </c>
      <c r="D142" s="880" t="str">
        <f ca="1">OFFSET(D$76,MATCH($C142,$N$101:$N$107,0)*3,0)</f>
        <v>Feedstock Consumption (% of baseline) = 105%</v>
      </c>
      <c r="E142" s="892">
        <f ca="1">OFFSET(E$76,MATCH($C142,$N$101:$N$107,0)*3,0)</f>
        <v>1.0744589135139428</v>
      </c>
      <c r="F142" s="892">
        <f ca="1">OFFSET(F$76,MATCH($C142,$N$101:$N$107,0)*3,0)</f>
        <v>0</v>
      </c>
      <c r="G142" s="892">
        <f ca="1">OFFSET(G$76,MATCH($C142,$N$101:$N$107,0)*3,0)</f>
        <v>6.9008528456351935E-4</v>
      </c>
      <c r="H142" s="892"/>
      <c r="I142" s="892"/>
      <c r="J142" s="892"/>
      <c r="K142" s="892"/>
      <c r="L142" s="892"/>
      <c r="M142" s="892"/>
      <c r="N142" s="892"/>
      <c r="O142" s="892"/>
      <c r="P142" s="892"/>
      <c r="Q142" s="892"/>
      <c r="R142" s="892"/>
      <c r="S142" s="892"/>
      <c r="T142" s="876"/>
      <c r="U142" s="876"/>
      <c r="V142" s="876"/>
      <c r="W142" s="876"/>
      <c r="X142" s="876"/>
      <c r="Y142" s="876"/>
      <c r="Z142" s="876"/>
      <c r="AA142" s="876"/>
      <c r="AB142" s="876"/>
      <c r="AC142" s="876"/>
      <c r="AD142" s="876"/>
      <c r="AE142" s="876"/>
      <c r="AF142" s="876"/>
      <c r="AG142" s="876"/>
      <c r="AH142" s="876"/>
      <c r="AI142" s="876"/>
      <c r="AJ142" s="876"/>
      <c r="AK142" s="876"/>
      <c r="AL142" s="876"/>
      <c r="AM142" s="876"/>
      <c r="AN142" s="876"/>
      <c r="AO142" s="876"/>
      <c r="AP142" s="876"/>
      <c r="AQ142" s="876"/>
      <c r="AR142" s="876"/>
      <c r="AS142" s="876"/>
      <c r="AT142" s="876"/>
      <c r="AU142" s="876"/>
      <c r="AV142" s="876"/>
      <c r="AW142" s="876"/>
      <c r="AX142" s="876"/>
      <c r="AY142" s="876"/>
      <c r="AZ142" s="876"/>
      <c r="BA142" s="876"/>
      <c r="BB142" s="876"/>
      <c r="BC142" s="876"/>
      <c r="BD142" s="876"/>
      <c r="BE142" s="876"/>
      <c r="BF142" s="876"/>
      <c r="BG142" s="876"/>
      <c r="BH142" s="876"/>
      <c r="BI142" s="876"/>
      <c r="BJ142" s="876"/>
      <c r="BK142" s="876"/>
      <c r="BL142" s="876"/>
      <c r="BM142" s="876"/>
      <c r="BN142" s="876"/>
      <c r="BO142" s="876"/>
      <c r="BP142" s="876"/>
      <c r="BQ142" s="876"/>
      <c r="BR142" s="876"/>
      <c r="BS142" s="876"/>
      <c r="BT142" s="876"/>
      <c r="BU142" s="876"/>
    </row>
    <row r="143" spans="1:73">
      <c r="A143" s="876"/>
      <c r="B143" s="876"/>
      <c r="C143" s="899"/>
      <c r="D143" s="880"/>
      <c r="E143" s="892"/>
      <c r="F143" s="892"/>
      <c r="G143" s="892"/>
      <c r="H143" s="892">
        <f t="shared" ref="H143:S143" ca="1" si="44">OFFSET(H$76,MATCH($C142,$N$101:$N$107,0)*3,0)</f>
        <v>6.8763896877743688E-2</v>
      </c>
      <c r="I143" s="892">
        <f t="shared" ca="1" si="44"/>
        <v>8.787539454611408E-3</v>
      </c>
      <c r="J143" s="892">
        <f t="shared" ca="1" si="44"/>
        <v>1.2660876684470445E-2</v>
      </c>
      <c r="K143" s="892">
        <f t="shared" ca="1" si="44"/>
        <v>2.9542934018394833E-3</v>
      </c>
      <c r="L143" s="892">
        <f t="shared" ca="1" si="44"/>
        <v>6.784264297513133E-4</v>
      </c>
      <c r="M143" s="892">
        <f t="shared" ca="1" si="44"/>
        <v>8.5475901235362126E-2</v>
      </c>
      <c r="N143" s="892">
        <f t="shared" ca="1" si="44"/>
        <v>0.81583675894447782</v>
      </c>
      <c r="O143" s="892">
        <f t="shared" ca="1" si="44"/>
        <v>1.6910628865952383E-2</v>
      </c>
      <c r="P143" s="892">
        <f t="shared" ca="1" si="44"/>
        <v>1.0413134795616728E-2</v>
      </c>
      <c r="Q143" s="892">
        <f t="shared" ca="1" si="44"/>
        <v>4.1103279604089063E-2</v>
      </c>
      <c r="R143" s="892">
        <f t="shared" ca="1" si="44"/>
        <v>9.7178094060207474E-3</v>
      </c>
      <c r="S143" s="892">
        <f t="shared" ca="1" si="44"/>
        <v>1.8464530985706127E-3</v>
      </c>
      <c r="T143" s="876"/>
      <c r="U143" s="876"/>
      <c r="V143" s="876"/>
      <c r="W143" s="876"/>
      <c r="X143" s="876"/>
      <c r="Y143" s="876"/>
      <c r="Z143" s="876"/>
      <c r="AA143" s="876"/>
      <c r="AB143" s="876"/>
      <c r="AC143" s="876"/>
      <c r="AD143" s="876"/>
      <c r="AE143" s="876"/>
      <c r="AF143" s="876"/>
      <c r="AG143" s="876"/>
      <c r="AH143" s="876"/>
      <c r="AI143" s="876"/>
      <c r="AJ143" s="876"/>
      <c r="AK143" s="876"/>
      <c r="AL143" s="876"/>
      <c r="AM143" s="876"/>
      <c r="AN143" s="876"/>
      <c r="AO143" s="876"/>
      <c r="AP143" s="876"/>
      <c r="AQ143" s="876"/>
      <c r="AR143" s="876"/>
      <c r="AS143" s="876"/>
      <c r="AT143" s="876"/>
      <c r="AU143" s="876"/>
      <c r="AV143" s="876"/>
      <c r="AW143" s="876"/>
      <c r="AX143" s="876"/>
      <c r="AY143" s="876"/>
      <c r="AZ143" s="876"/>
      <c r="BA143" s="876"/>
      <c r="BB143" s="876"/>
      <c r="BC143" s="876"/>
      <c r="BD143" s="876"/>
      <c r="BE143" s="876"/>
      <c r="BF143" s="876"/>
      <c r="BG143" s="876"/>
      <c r="BH143" s="876"/>
      <c r="BI143" s="876"/>
      <c r="BJ143" s="876"/>
      <c r="BK143" s="876"/>
      <c r="BL143" s="876"/>
      <c r="BM143" s="876"/>
      <c r="BN143" s="876"/>
      <c r="BO143" s="876"/>
      <c r="BP143" s="876"/>
      <c r="BQ143" s="876"/>
      <c r="BR143" s="876"/>
      <c r="BS143" s="876"/>
      <c r="BT143" s="876"/>
      <c r="BU143" s="876"/>
    </row>
    <row r="144" spans="1:73">
      <c r="A144" s="876"/>
      <c r="B144" s="876"/>
      <c r="C144" s="899"/>
      <c r="D144" s="880"/>
      <c r="E144" s="892"/>
      <c r="F144" s="892"/>
      <c r="G144" s="892"/>
      <c r="H144" s="892"/>
      <c r="I144" s="892"/>
      <c r="J144" s="892"/>
      <c r="K144" s="892"/>
      <c r="L144" s="892"/>
      <c r="M144" s="892"/>
      <c r="N144" s="892"/>
      <c r="O144" s="892"/>
      <c r="P144" s="892"/>
      <c r="Q144" s="892"/>
      <c r="R144" s="892"/>
      <c r="S144" s="892"/>
      <c r="T144" s="876"/>
      <c r="U144" s="876"/>
      <c r="V144" s="876"/>
      <c r="W144" s="876"/>
      <c r="X144" s="876"/>
      <c r="Y144" s="876"/>
      <c r="Z144" s="876"/>
      <c r="AA144" s="876"/>
      <c r="AB144" s="876"/>
      <c r="AC144" s="876"/>
      <c r="AD144" s="876"/>
      <c r="AE144" s="876"/>
      <c r="AF144" s="876"/>
      <c r="AG144" s="876"/>
      <c r="AH144" s="876"/>
      <c r="AI144" s="876"/>
      <c r="AJ144" s="876"/>
      <c r="AK144" s="876"/>
      <c r="AL144" s="876"/>
      <c r="AM144" s="876"/>
      <c r="AN144" s="876"/>
      <c r="AO144" s="876"/>
      <c r="AP144" s="876"/>
      <c r="AQ144" s="876"/>
      <c r="AR144" s="876"/>
      <c r="AS144" s="876"/>
      <c r="AT144" s="876"/>
      <c r="AU144" s="876"/>
      <c r="AV144" s="876"/>
      <c r="AW144" s="876"/>
      <c r="AX144" s="876"/>
      <c r="AY144" s="876"/>
      <c r="AZ144" s="876"/>
      <c r="BA144" s="876"/>
      <c r="BB144" s="876"/>
      <c r="BC144" s="876"/>
      <c r="BD144" s="876"/>
      <c r="BE144" s="876"/>
      <c r="BF144" s="876"/>
      <c r="BG144" s="876"/>
      <c r="BH144" s="876"/>
      <c r="BI144" s="876"/>
      <c r="BJ144" s="876"/>
      <c r="BK144" s="876"/>
      <c r="BL144" s="876"/>
      <c r="BM144" s="876"/>
      <c r="BN144" s="876"/>
      <c r="BO144" s="876"/>
      <c r="BP144" s="876"/>
      <c r="BQ144" s="876"/>
      <c r="BR144" s="876"/>
      <c r="BS144" s="876"/>
      <c r="BT144" s="876"/>
      <c r="BU144" s="876"/>
    </row>
    <row r="145" spans="1:73">
      <c r="A145" s="876"/>
      <c r="B145" s="876"/>
      <c r="C145" s="899">
        <v>7</v>
      </c>
      <c r="D145" s="880" t="e">
        <f ca="1">OFFSET(D$76,MATCH($C145,$N$101:$N$107,0)*3-2,0)</f>
        <v>#N/A</v>
      </c>
      <c r="E145" s="892" t="e">
        <f ca="1">OFFSET(E$76,MATCH($C145,$N$101:$N$107,0)*3-2,0)</f>
        <v>#N/A</v>
      </c>
      <c r="F145" s="892" t="e">
        <f ca="1">OFFSET(F$76,MATCH($C145,$N$101:$N$107,0)*3-2,0)</f>
        <v>#N/A</v>
      </c>
      <c r="G145" s="892" t="e">
        <f ca="1">OFFSET(G$76,MATCH($C145,$N$101:$N$107,0)*3-2,0)</f>
        <v>#N/A</v>
      </c>
      <c r="H145" s="892"/>
      <c r="I145" s="892"/>
      <c r="J145" s="892"/>
      <c r="K145" s="892"/>
      <c r="L145" s="892"/>
      <c r="M145" s="892"/>
      <c r="N145" s="892"/>
      <c r="O145" s="892"/>
      <c r="P145" s="892"/>
      <c r="Q145" s="892"/>
      <c r="R145" s="892"/>
      <c r="S145" s="892"/>
      <c r="T145" s="876"/>
      <c r="U145" s="876"/>
      <c r="V145" s="876"/>
      <c r="W145" s="876"/>
      <c r="X145" s="876"/>
      <c r="Y145" s="876"/>
      <c r="Z145" s="876"/>
      <c r="AA145" s="876"/>
      <c r="AB145" s="876"/>
      <c r="AC145" s="876"/>
      <c r="AD145" s="876"/>
      <c r="AE145" s="876"/>
      <c r="AF145" s="876"/>
      <c r="AG145" s="876"/>
      <c r="AH145" s="876"/>
      <c r="AI145" s="876"/>
      <c r="AJ145" s="876"/>
      <c r="AK145" s="876"/>
      <c r="AL145" s="876"/>
      <c r="AM145" s="876"/>
      <c r="AN145" s="876"/>
      <c r="AO145" s="876"/>
      <c r="AP145" s="876"/>
      <c r="AQ145" s="876"/>
      <c r="AR145" s="876"/>
      <c r="AS145" s="876"/>
      <c r="AT145" s="876"/>
      <c r="AU145" s="876"/>
      <c r="AV145" s="876"/>
      <c r="AW145" s="876"/>
      <c r="AX145" s="876"/>
      <c r="AY145" s="876"/>
      <c r="AZ145" s="876"/>
      <c r="BA145" s="876"/>
      <c r="BB145" s="876"/>
      <c r="BC145" s="876"/>
      <c r="BD145" s="876"/>
      <c r="BE145" s="876"/>
      <c r="BF145" s="876"/>
      <c r="BG145" s="876"/>
      <c r="BH145" s="876"/>
      <c r="BI145" s="876"/>
      <c r="BJ145" s="876"/>
      <c r="BK145" s="876"/>
      <c r="BL145" s="876"/>
      <c r="BM145" s="876"/>
      <c r="BN145" s="876"/>
      <c r="BO145" s="876"/>
      <c r="BP145" s="876"/>
      <c r="BQ145" s="876"/>
      <c r="BR145" s="876"/>
      <c r="BS145" s="876"/>
      <c r="BT145" s="876"/>
      <c r="BU145" s="876"/>
    </row>
    <row r="146" spans="1:73">
      <c r="A146" s="876"/>
      <c r="B146" s="876"/>
      <c r="C146" s="899"/>
      <c r="D146" s="880"/>
      <c r="E146" s="892"/>
      <c r="F146" s="892"/>
      <c r="G146" s="892"/>
      <c r="H146" s="892" t="e">
        <f t="shared" ref="H146:S146" ca="1" si="45">OFFSET(H$76,MATCH($C145,$N$101:$N$107,0)*3-2,0)</f>
        <v>#N/A</v>
      </c>
      <c r="I146" s="892" t="e">
        <f t="shared" ca="1" si="45"/>
        <v>#N/A</v>
      </c>
      <c r="J146" s="892" t="e">
        <f t="shared" ca="1" si="45"/>
        <v>#N/A</v>
      </c>
      <c r="K146" s="892" t="e">
        <f t="shared" ca="1" si="45"/>
        <v>#N/A</v>
      </c>
      <c r="L146" s="892" t="e">
        <f t="shared" ca="1" si="45"/>
        <v>#N/A</v>
      </c>
      <c r="M146" s="892" t="e">
        <f t="shared" ca="1" si="45"/>
        <v>#N/A</v>
      </c>
      <c r="N146" s="892" t="e">
        <f t="shared" ca="1" si="45"/>
        <v>#N/A</v>
      </c>
      <c r="O146" s="892" t="e">
        <f t="shared" ca="1" si="45"/>
        <v>#N/A</v>
      </c>
      <c r="P146" s="892" t="e">
        <f t="shared" ca="1" si="45"/>
        <v>#N/A</v>
      </c>
      <c r="Q146" s="892" t="e">
        <f t="shared" ca="1" si="45"/>
        <v>#N/A</v>
      </c>
      <c r="R146" s="892" t="e">
        <f t="shared" ca="1" si="45"/>
        <v>#N/A</v>
      </c>
      <c r="S146" s="892" t="e">
        <f t="shared" ca="1" si="45"/>
        <v>#N/A</v>
      </c>
      <c r="T146" s="876"/>
      <c r="U146" s="876"/>
      <c r="V146" s="876"/>
      <c r="W146" s="876"/>
      <c r="X146" s="876"/>
      <c r="Y146" s="876"/>
      <c r="Z146" s="876"/>
      <c r="AA146" s="876"/>
      <c r="AB146" s="876"/>
      <c r="AC146" s="876"/>
      <c r="AD146" s="876"/>
      <c r="AE146" s="876"/>
      <c r="AF146" s="876"/>
      <c r="AG146" s="876"/>
      <c r="AH146" s="876"/>
      <c r="AI146" s="876"/>
      <c r="AJ146" s="876"/>
      <c r="AK146" s="876"/>
      <c r="AL146" s="876"/>
      <c r="AM146" s="876"/>
      <c r="AN146" s="876"/>
      <c r="AO146" s="876"/>
      <c r="AP146" s="876"/>
      <c r="AQ146" s="876"/>
      <c r="AR146" s="876"/>
      <c r="AS146" s="876"/>
      <c r="AT146" s="876"/>
      <c r="AU146" s="876"/>
      <c r="AV146" s="876"/>
      <c r="AW146" s="876"/>
      <c r="AX146" s="876"/>
      <c r="AY146" s="876"/>
      <c r="AZ146" s="876"/>
      <c r="BA146" s="876"/>
      <c r="BB146" s="876"/>
      <c r="BC146" s="876"/>
      <c r="BD146" s="876"/>
      <c r="BE146" s="876"/>
      <c r="BF146" s="876"/>
      <c r="BG146" s="876"/>
      <c r="BH146" s="876"/>
      <c r="BI146" s="876"/>
      <c r="BJ146" s="876"/>
      <c r="BK146" s="876"/>
      <c r="BL146" s="876"/>
      <c r="BM146" s="876"/>
      <c r="BN146" s="876"/>
      <c r="BO146" s="876"/>
      <c r="BP146" s="876"/>
      <c r="BQ146" s="876"/>
      <c r="BR146" s="876"/>
      <c r="BS146" s="876"/>
      <c r="BT146" s="876"/>
      <c r="BU146" s="876"/>
    </row>
    <row r="147" spans="1:73">
      <c r="A147" s="876"/>
      <c r="B147" s="876"/>
      <c r="C147" s="899">
        <v>7</v>
      </c>
      <c r="D147" s="880" t="e">
        <f ca="1">OFFSET(D$76,MATCH($C147,$N$101:$N$107,0)*3,0)</f>
        <v>#N/A</v>
      </c>
      <c r="E147" s="892" t="e">
        <f ca="1">OFFSET(E$76,MATCH($C147,$N$101:$N$107,0)*3,0)</f>
        <v>#N/A</v>
      </c>
      <c r="F147" s="892" t="e">
        <f ca="1">OFFSET(F$76,MATCH($C147,$N$101:$N$107,0)*3,0)</f>
        <v>#N/A</v>
      </c>
      <c r="G147" s="892" t="e">
        <f ca="1">OFFSET(G$76,MATCH($C147,$N$101:$N$107,0)*3,0)</f>
        <v>#N/A</v>
      </c>
      <c r="H147" s="892"/>
      <c r="I147" s="892"/>
      <c r="J147" s="892"/>
      <c r="K147" s="892"/>
      <c r="L147" s="892"/>
      <c r="M147" s="892"/>
      <c r="N147" s="892"/>
      <c r="O147" s="892"/>
      <c r="P147" s="892"/>
      <c r="Q147" s="892"/>
      <c r="R147" s="892"/>
      <c r="S147" s="892"/>
      <c r="T147" s="876"/>
      <c r="U147" s="876"/>
      <c r="V147" s="876"/>
      <c r="W147" s="876"/>
      <c r="X147" s="876"/>
      <c r="Y147" s="876"/>
      <c r="Z147" s="876"/>
      <c r="AA147" s="876"/>
      <c r="AB147" s="876"/>
      <c r="AC147" s="876"/>
      <c r="AD147" s="876"/>
      <c r="AE147" s="876"/>
      <c r="AF147" s="876"/>
      <c r="AG147" s="876"/>
      <c r="AH147" s="876"/>
      <c r="AI147" s="876"/>
      <c r="AJ147" s="876"/>
      <c r="AK147" s="876"/>
      <c r="AL147" s="876"/>
      <c r="AM147" s="876"/>
      <c r="AN147" s="876"/>
      <c r="AO147" s="876"/>
      <c r="AP147" s="876"/>
      <c r="AQ147" s="876"/>
      <c r="AR147" s="876"/>
      <c r="AS147" s="876"/>
      <c r="AT147" s="876"/>
      <c r="AU147" s="876"/>
      <c r="AV147" s="876"/>
      <c r="AW147" s="876"/>
      <c r="AX147" s="876"/>
      <c r="AY147" s="876"/>
      <c r="AZ147" s="876"/>
      <c r="BA147" s="876"/>
      <c r="BB147" s="876"/>
      <c r="BC147" s="876"/>
      <c r="BD147" s="876"/>
      <c r="BE147" s="876"/>
      <c r="BF147" s="876"/>
      <c r="BG147" s="876"/>
      <c r="BH147" s="876"/>
      <c r="BI147" s="876"/>
      <c r="BJ147" s="876"/>
      <c r="BK147" s="876"/>
      <c r="BL147" s="876"/>
      <c r="BM147" s="876"/>
      <c r="BN147" s="876"/>
      <c r="BO147" s="876"/>
      <c r="BP147" s="876"/>
      <c r="BQ147" s="876"/>
      <c r="BR147" s="876"/>
      <c r="BS147" s="876"/>
      <c r="BT147" s="876"/>
      <c r="BU147" s="876"/>
    </row>
    <row r="148" spans="1:73">
      <c r="A148" s="876"/>
      <c r="B148" s="876"/>
      <c r="C148" s="880"/>
      <c r="D148" s="880"/>
      <c r="E148" s="880"/>
      <c r="F148" s="880"/>
      <c r="G148" s="880"/>
      <c r="H148" s="892" t="e">
        <f t="shared" ref="H148:S148" ca="1" si="46">OFFSET(H$76,MATCH($C147,$N$101:$N$107,0)*3,0)</f>
        <v>#N/A</v>
      </c>
      <c r="I148" s="892" t="e">
        <f t="shared" ca="1" si="46"/>
        <v>#N/A</v>
      </c>
      <c r="J148" s="892" t="e">
        <f t="shared" ca="1" si="46"/>
        <v>#N/A</v>
      </c>
      <c r="K148" s="892" t="e">
        <f t="shared" ca="1" si="46"/>
        <v>#N/A</v>
      </c>
      <c r="L148" s="892" t="e">
        <f t="shared" ca="1" si="46"/>
        <v>#N/A</v>
      </c>
      <c r="M148" s="892" t="e">
        <f t="shared" ca="1" si="46"/>
        <v>#N/A</v>
      </c>
      <c r="N148" s="892" t="e">
        <f t="shared" ca="1" si="46"/>
        <v>#N/A</v>
      </c>
      <c r="O148" s="892" t="e">
        <f t="shared" ca="1" si="46"/>
        <v>#N/A</v>
      </c>
      <c r="P148" s="892" t="e">
        <f t="shared" ca="1" si="46"/>
        <v>#N/A</v>
      </c>
      <c r="Q148" s="892" t="e">
        <f t="shared" ca="1" si="46"/>
        <v>#N/A</v>
      </c>
      <c r="R148" s="892" t="e">
        <f t="shared" ca="1" si="46"/>
        <v>#N/A</v>
      </c>
      <c r="S148" s="892" t="e">
        <f t="shared" ca="1" si="46"/>
        <v>#N/A</v>
      </c>
      <c r="T148" s="876"/>
      <c r="U148" s="876"/>
      <c r="V148" s="876"/>
      <c r="W148" s="876"/>
      <c r="X148" s="876"/>
      <c r="Y148" s="876"/>
      <c r="Z148" s="876"/>
      <c r="AA148" s="876"/>
      <c r="AB148" s="876"/>
      <c r="AC148" s="876"/>
      <c r="AD148" s="876"/>
      <c r="AE148" s="876"/>
      <c r="AF148" s="876"/>
      <c r="AG148" s="876"/>
      <c r="AH148" s="876"/>
      <c r="AI148" s="876"/>
      <c r="AJ148" s="876"/>
      <c r="AK148" s="876"/>
      <c r="AL148" s="876"/>
      <c r="AM148" s="876"/>
      <c r="AN148" s="876"/>
      <c r="AO148" s="876"/>
      <c r="AP148" s="876"/>
      <c r="AQ148" s="876"/>
      <c r="AR148" s="876"/>
      <c r="AS148" s="876"/>
      <c r="AT148" s="876"/>
      <c r="AU148" s="876"/>
      <c r="AV148" s="876"/>
      <c r="AW148" s="876"/>
      <c r="AX148" s="876"/>
      <c r="AY148" s="876"/>
      <c r="AZ148" s="876"/>
      <c r="BA148" s="876"/>
      <c r="BB148" s="876"/>
      <c r="BC148" s="876"/>
      <c r="BD148" s="876"/>
      <c r="BE148" s="876"/>
      <c r="BF148" s="876"/>
      <c r="BG148" s="876"/>
      <c r="BH148" s="876"/>
      <c r="BI148" s="876"/>
      <c r="BJ148" s="876"/>
      <c r="BK148" s="876"/>
      <c r="BL148" s="876"/>
      <c r="BM148" s="876"/>
      <c r="BN148" s="876"/>
      <c r="BO148" s="876"/>
      <c r="BP148" s="876"/>
      <c r="BQ148" s="876"/>
      <c r="BR148" s="876"/>
      <c r="BS148" s="876"/>
      <c r="BT148" s="876"/>
      <c r="BU148" s="876"/>
    </row>
    <row r="149" spans="1:73">
      <c r="A149" s="876"/>
      <c r="B149" s="876"/>
      <c r="C149" s="876"/>
      <c r="D149" s="876"/>
      <c r="E149" s="876"/>
      <c r="F149" s="876"/>
      <c r="G149" s="876"/>
      <c r="H149" s="876"/>
      <c r="I149" s="876"/>
      <c r="J149" s="876"/>
      <c r="K149" s="876"/>
      <c r="L149" s="876"/>
      <c r="M149" s="876"/>
      <c r="N149" s="876"/>
      <c r="O149" s="876"/>
      <c r="P149" s="876"/>
      <c r="Q149" s="876"/>
      <c r="R149" s="876"/>
      <c r="S149" s="876"/>
      <c r="T149" s="876"/>
      <c r="U149" s="876"/>
      <c r="V149" s="876"/>
      <c r="W149" s="876"/>
      <c r="X149" s="876"/>
      <c r="Y149" s="876"/>
      <c r="Z149" s="876"/>
      <c r="AA149" s="876"/>
      <c r="AB149" s="876"/>
      <c r="AC149" s="876"/>
      <c r="AD149" s="876"/>
      <c r="AE149" s="876"/>
      <c r="AF149" s="876"/>
      <c r="AG149" s="876"/>
      <c r="AH149" s="876"/>
      <c r="AI149" s="876"/>
      <c r="AJ149" s="876"/>
      <c r="AK149" s="876"/>
      <c r="AL149" s="876"/>
      <c r="AM149" s="876"/>
      <c r="AN149" s="876"/>
      <c r="AO149" s="876"/>
      <c r="AP149" s="876"/>
      <c r="AQ149" s="876"/>
      <c r="AR149" s="876"/>
      <c r="AS149" s="876"/>
      <c r="AT149" s="876"/>
      <c r="AU149" s="876"/>
      <c r="AV149" s="876"/>
      <c r="AW149" s="876"/>
      <c r="AX149" s="876"/>
      <c r="AY149" s="876"/>
      <c r="AZ149" s="876"/>
      <c r="BA149" s="876"/>
      <c r="BB149" s="876"/>
      <c r="BC149" s="876"/>
      <c r="BD149" s="876"/>
      <c r="BE149" s="876"/>
      <c r="BF149" s="876"/>
      <c r="BG149" s="876"/>
      <c r="BH149" s="876"/>
      <c r="BI149" s="876"/>
      <c r="BJ149" s="876"/>
      <c r="BK149" s="876"/>
      <c r="BL149" s="876"/>
      <c r="BM149" s="876"/>
      <c r="BN149" s="876"/>
      <c r="BO149" s="876"/>
      <c r="BP149" s="876"/>
      <c r="BQ149" s="876"/>
      <c r="BR149" s="876"/>
      <c r="BS149" s="876"/>
      <c r="BT149" s="876"/>
      <c r="BU149" s="876"/>
    </row>
    <row r="150" spans="1:73">
      <c r="A150" s="876"/>
      <c r="B150" s="876"/>
      <c r="C150" s="876"/>
      <c r="D150" s="876"/>
      <c r="E150" s="876"/>
      <c r="F150" s="876"/>
      <c r="G150" s="876"/>
      <c r="H150" s="876"/>
      <c r="I150" s="876"/>
      <c r="J150" s="876"/>
      <c r="K150" s="876"/>
      <c r="L150" s="876"/>
      <c r="M150" s="876"/>
      <c r="N150" s="876"/>
      <c r="O150" s="876"/>
      <c r="P150" s="876"/>
      <c r="Q150" s="876"/>
      <c r="R150" s="876"/>
      <c r="S150" s="876"/>
      <c r="T150" s="876"/>
      <c r="U150" s="876"/>
      <c r="V150" s="876"/>
      <c r="W150" s="876"/>
      <c r="X150" s="876"/>
      <c r="Y150" s="876"/>
      <c r="Z150" s="876"/>
      <c r="AA150" s="876"/>
      <c r="AB150" s="876"/>
      <c r="AC150" s="876"/>
      <c r="AD150" s="876"/>
      <c r="AE150" s="876"/>
      <c r="AF150" s="876"/>
      <c r="AG150" s="876"/>
      <c r="AH150" s="876"/>
      <c r="AI150" s="876"/>
      <c r="AJ150" s="876"/>
      <c r="AK150" s="876"/>
      <c r="AL150" s="876"/>
      <c r="AM150" s="876"/>
      <c r="AN150" s="876"/>
      <c r="AO150" s="876"/>
      <c r="AP150" s="876"/>
      <c r="AQ150" s="876"/>
      <c r="AR150" s="876"/>
      <c r="AS150" s="876"/>
      <c r="AT150" s="876"/>
      <c r="AU150" s="876"/>
      <c r="AV150" s="876"/>
      <c r="AW150" s="876"/>
      <c r="AX150" s="876"/>
      <c r="AY150" s="876"/>
      <c r="AZ150" s="876"/>
      <c r="BA150" s="876"/>
      <c r="BB150" s="876"/>
      <c r="BC150" s="876"/>
      <c r="BD150" s="876"/>
      <c r="BE150" s="876"/>
      <c r="BF150" s="876"/>
      <c r="BG150" s="876"/>
      <c r="BH150" s="876"/>
      <c r="BI150" s="876"/>
      <c r="BJ150" s="876"/>
      <c r="BK150" s="876"/>
      <c r="BL150" s="876"/>
      <c r="BM150" s="876"/>
      <c r="BN150" s="876"/>
      <c r="BO150" s="876"/>
      <c r="BP150" s="876"/>
      <c r="BQ150" s="876"/>
      <c r="BR150" s="876"/>
      <c r="BS150" s="876"/>
      <c r="BT150" s="876"/>
      <c r="BU150" s="876"/>
    </row>
    <row r="151" spans="1:73">
      <c r="A151" s="876"/>
      <c r="B151" s="876"/>
      <c r="C151" s="876"/>
      <c r="D151" s="876"/>
      <c r="E151" s="876"/>
      <c r="F151" s="876"/>
      <c r="G151" s="876"/>
      <c r="H151" s="876"/>
      <c r="I151" s="876"/>
      <c r="J151" s="876"/>
      <c r="K151" s="876"/>
      <c r="L151" s="876"/>
      <c r="M151" s="876"/>
      <c r="N151" s="876"/>
      <c r="O151" s="876"/>
      <c r="P151" s="876"/>
      <c r="Q151" s="876"/>
      <c r="R151" s="876"/>
      <c r="S151" s="876"/>
      <c r="T151" s="876"/>
      <c r="U151" s="876"/>
      <c r="V151" s="876"/>
      <c r="W151" s="876"/>
      <c r="X151" s="876"/>
      <c r="Y151" s="876"/>
      <c r="Z151" s="876"/>
      <c r="AA151" s="876"/>
      <c r="AB151" s="876"/>
      <c r="AC151" s="876"/>
      <c r="AD151" s="876"/>
      <c r="AE151" s="876"/>
      <c r="AF151" s="876"/>
      <c r="AG151" s="876"/>
      <c r="AH151" s="876"/>
      <c r="AI151" s="876"/>
      <c r="AJ151" s="876"/>
      <c r="AK151" s="876"/>
      <c r="AL151" s="876"/>
      <c r="AM151" s="876"/>
      <c r="AN151" s="876"/>
      <c r="AO151" s="876"/>
      <c r="AP151" s="876"/>
      <c r="AQ151" s="876"/>
      <c r="AR151" s="876"/>
      <c r="AS151" s="876"/>
    </row>
    <row r="152" spans="1:73">
      <c r="A152" s="876"/>
      <c r="B152" s="878" t="s">
        <v>1158</v>
      </c>
      <c r="C152" s="876"/>
      <c r="D152" s="876"/>
      <c r="E152" s="876"/>
      <c r="F152" s="876"/>
      <c r="G152" s="876"/>
      <c r="H152" s="876"/>
      <c r="I152" s="876"/>
      <c r="J152" s="876"/>
      <c r="K152" s="876"/>
      <c r="L152" s="876"/>
      <c r="M152" s="876"/>
      <c r="N152" s="876"/>
      <c r="O152" s="876"/>
      <c r="P152" s="876"/>
      <c r="Q152" s="876"/>
      <c r="R152" s="876"/>
      <c r="S152" s="876"/>
      <c r="T152" s="876"/>
      <c r="U152" s="876"/>
      <c r="V152" s="876"/>
      <c r="W152" s="876"/>
      <c r="X152" s="876"/>
      <c r="Y152" s="876"/>
      <c r="Z152" s="876"/>
      <c r="AA152" s="876"/>
      <c r="AB152" s="876"/>
      <c r="AC152" s="876"/>
      <c r="AD152" s="876"/>
      <c r="AE152" s="876"/>
      <c r="AF152" s="876"/>
      <c r="AG152" s="876"/>
      <c r="AH152" s="876"/>
      <c r="AI152" s="876"/>
      <c r="AJ152" s="876"/>
      <c r="AK152" s="876"/>
      <c r="AL152" s="876"/>
      <c r="AM152" s="876"/>
      <c r="AN152" s="876"/>
      <c r="AO152" s="876"/>
      <c r="AP152" s="876"/>
      <c r="AQ152" s="876"/>
      <c r="AR152" s="876"/>
      <c r="AS152" s="876"/>
    </row>
    <row r="153" spans="1:73" ht="14">
      <c r="A153" s="876"/>
      <c r="B153" s="876"/>
      <c r="C153" s="876"/>
      <c r="D153" s="887" t="s">
        <v>1162</v>
      </c>
      <c r="E153" s="887"/>
      <c r="F153" s="887"/>
      <c r="G153" s="887"/>
      <c r="H153" s="887"/>
      <c r="I153" s="887"/>
      <c r="J153" s="876"/>
      <c r="K153" s="876"/>
      <c r="L153" s="876"/>
      <c r="M153" s="876"/>
      <c r="N153" s="876"/>
      <c r="O153" s="876"/>
      <c r="P153" s="876"/>
      <c r="Q153" s="876"/>
      <c r="R153" s="876"/>
      <c r="S153" s="876"/>
      <c r="T153" s="876"/>
      <c r="U153" s="876"/>
      <c r="V153" s="876"/>
      <c r="W153" s="876"/>
      <c r="X153" s="876"/>
      <c r="Y153" s="876"/>
      <c r="Z153" s="876"/>
      <c r="AA153" s="876"/>
      <c r="AB153" s="876"/>
      <c r="AC153" s="876"/>
      <c r="AD153" s="876"/>
      <c r="AE153" s="876"/>
      <c r="AF153" s="876"/>
      <c r="AG153" s="876"/>
      <c r="AH153" s="876"/>
      <c r="AI153" s="876"/>
      <c r="AJ153" s="876"/>
      <c r="AK153" s="876"/>
      <c r="AL153" s="876"/>
      <c r="AM153" s="876"/>
      <c r="AN153" s="876"/>
      <c r="AO153" s="876"/>
      <c r="AP153" s="876"/>
      <c r="AQ153" s="876"/>
      <c r="AR153" s="876"/>
      <c r="AS153" s="876"/>
    </row>
    <row r="154" spans="1:73" ht="28">
      <c r="A154" s="876"/>
      <c r="B154" s="878"/>
      <c r="C154" s="876"/>
      <c r="D154" s="887" t="s">
        <v>1161</v>
      </c>
      <c r="E154" s="887" t="s">
        <v>1167</v>
      </c>
      <c r="F154" s="887" t="s">
        <v>1163</v>
      </c>
      <c r="G154" s="887" t="s">
        <v>1164</v>
      </c>
      <c r="H154" s="887" t="s">
        <v>1165</v>
      </c>
      <c r="I154" s="887" t="s">
        <v>1166</v>
      </c>
      <c r="J154" s="876"/>
      <c r="K154" s="887" t="s">
        <v>1196</v>
      </c>
      <c r="L154" s="887" t="s">
        <v>1194</v>
      </c>
      <c r="M154" s="887" t="s">
        <v>1195</v>
      </c>
      <c r="N154" s="887" t="s">
        <v>1197</v>
      </c>
      <c r="O154" s="876"/>
      <c r="P154" s="876"/>
      <c r="Q154" s="876"/>
      <c r="R154" s="876"/>
      <c r="S154" s="876"/>
      <c r="T154" s="876"/>
      <c r="U154" s="876"/>
      <c r="V154" s="876"/>
      <c r="W154" s="876"/>
      <c r="X154" s="876"/>
      <c r="Y154" s="876"/>
      <c r="Z154" s="876"/>
      <c r="AA154" s="876"/>
      <c r="AB154" s="876"/>
      <c r="AC154" s="876"/>
      <c r="AD154" s="876"/>
      <c r="AE154" s="876"/>
      <c r="AF154" s="876"/>
      <c r="AG154" s="876"/>
      <c r="AH154" s="876"/>
      <c r="AI154" s="876"/>
      <c r="AJ154" s="876"/>
      <c r="AK154" s="876"/>
      <c r="AL154" s="876"/>
      <c r="AM154" s="876"/>
      <c r="AN154" s="876"/>
      <c r="AO154" s="876"/>
      <c r="AP154" s="876"/>
      <c r="AQ154" s="876"/>
      <c r="AR154" s="876"/>
      <c r="AS154" s="876"/>
    </row>
    <row r="155" spans="1:73">
      <c r="A155" s="876"/>
      <c r="B155" s="878" t="s">
        <v>1160</v>
      </c>
      <c r="C155" s="876">
        <v>1</v>
      </c>
      <c r="D155" s="879" t="s">
        <v>1175</v>
      </c>
      <c r="E155" s="892">
        <f ca="1">+K48+C155/10000000000</f>
        <v>1.0830381497636319</v>
      </c>
      <c r="F155" s="880">
        <f ca="1">+RANK(E155,$E$155:$E$157)</f>
        <v>1</v>
      </c>
      <c r="G155" s="885">
        <v>1</v>
      </c>
      <c r="H155" s="880" t="str">
        <f ca="1">OFFSET($D$154,MATCH($G155,$F$155:$F$157,0),0)</f>
        <v>Cost of Hydrogen</v>
      </c>
      <c r="I155" s="894">
        <f ca="1">OFFSET($E$154,MATCH($G155,$F$155:$F$157,0),0)-OFFSET($C$154,MATCH($G155,$F$155:$F$157,0),0)/10000000000</f>
        <v>1.0830381496636319</v>
      </c>
      <c r="J155" s="876"/>
      <c r="K155" s="880" t="str">
        <f ca="1">+H155</f>
        <v>Cost of Hydrogen</v>
      </c>
      <c r="L155" s="892">
        <f ca="1">+I155</f>
        <v>1.0830381496636319</v>
      </c>
      <c r="M155" s="880"/>
      <c r="N155" s="880" t="str">
        <f ca="1">+IF(L155&gt;0,K155,"")</f>
        <v>Cost of Hydrogen</v>
      </c>
      <c r="O155" s="876"/>
      <c r="P155" s="876"/>
      <c r="Q155" s="876"/>
      <c r="R155" s="876"/>
      <c r="S155" s="876"/>
      <c r="T155" s="876"/>
      <c r="U155" s="876"/>
      <c r="V155" s="876"/>
      <c r="W155" s="876"/>
      <c r="X155" s="876"/>
      <c r="Y155" s="876"/>
      <c r="Z155" s="876"/>
      <c r="AA155" s="876"/>
      <c r="AB155" s="876"/>
      <c r="AC155" s="876"/>
      <c r="AD155" s="876"/>
      <c r="AE155" s="876"/>
      <c r="AF155" s="876"/>
      <c r="AG155" s="876"/>
      <c r="AH155" s="876"/>
      <c r="AI155" s="876"/>
      <c r="AJ155" s="876"/>
    </row>
    <row r="156" spans="1:73">
      <c r="A156" s="876"/>
      <c r="B156" s="878"/>
      <c r="C156" s="876">
        <v>2</v>
      </c>
      <c r="D156" s="880" t="str">
        <f>+F110</f>
        <v>Byproduct Sales</v>
      </c>
      <c r="E156" s="892">
        <f ca="1">+L48+C156/10000000000</f>
        <v>2.0000000000000001E-10</v>
      </c>
      <c r="F156" s="880">
        <f ca="1">+RANK(E156,$E$155:$E$157)</f>
        <v>3</v>
      </c>
      <c r="G156" s="885">
        <v>2</v>
      </c>
      <c r="H156" s="880" t="str">
        <f ca="1">OFFSET($D$154,MATCH($G156,$F$155:$F$157,0),0)</f>
        <v>Salvage Value</v>
      </c>
      <c r="I156" s="894">
        <f ca="1">OFFSET($E$154,MATCH($G156,$F$155:$F$157,0),0)-OFFSET($C$154,MATCH($G156,$F$155:$F$157,0),0)/10000000000</f>
        <v>6.9008528456351935E-4</v>
      </c>
      <c r="J156" s="876"/>
      <c r="K156" s="880" t="str">
        <f t="shared" ref="K156:K170" ca="1" si="47">+H156</f>
        <v>Salvage Value</v>
      </c>
      <c r="L156" s="892">
        <f ca="1">+I156</f>
        <v>6.9008528456351935E-4</v>
      </c>
      <c r="M156" s="880"/>
      <c r="N156" s="880" t="str">
        <f ca="1">+IF(L156&gt;0,K156,"")</f>
        <v>Salvage Value</v>
      </c>
      <c r="O156" s="876"/>
      <c r="P156" s="876"/>
      <c r="Q156" s="876"/>
      <c r="R156" s="876"/>
      <c r="S156" s="876"/>
      <c r="T156" s="876"/>
      <c r="U156" s="876"/>
      <c r="V156" s="876"/>
      <c r="W156" s="876"/>
      <c r="X156" s="876"/>
      <c r="Y156" s="876"/>
      <c r="Z156" s="876"/>
      <c r="AA156" s="876"/>
      <c r="AB156" s="876"/>
      <c r="AC156" s="876"/>
      <c r="AD156" s="876"/>
      <c r="AE156" s="876"/>
      <c r="AF156" s="876"/>
      <c r="AG156" s="876"/>
      <c r="AH156" s="876"/>
      <c r="AI156" s="876"/>
      <c r="AJ156" s="876"/>
    </row>
    <row r="157" spans="1:73">
      <c r="A157" s="876"/>
      <c r="B157" s="878"/>
      <c r="C157" s="876">
        <v>3</v>
      </c>
      <c r="D157" s="880" t="str">
        <f>+G110</f>
        <v>Salvage Value</v>
      </c>
      <c r="E157" s="892">
        <f ca="1">+M48+C157/10000000000</f>
        <v>6.9008558456351934E-4</v>
      </c>
      <c r="F157" s="880">
        <f ca="1">+RANK(E157,$E$155:$E$157)</f>
        <v>2</v>
      </c>
      <c r="G157" s="885">
        <v>3</v>
      </c>
      <c r="H157" s="880" t="str">
        <f ca="1">OFFSET($D$154,MATCH($G157,$F$155:$F$157,0),0)</f>
        <v>Byproduct Sales</v>
      </c>
      <c r="I157" s="894">
        <f ca="1">OFFSET($E$154,MATCH($G157,$F$155:$F$157,0),0)-OFFSET($C$154,MATCH($G157,$F$155:$F$157,0),0)/10000000000</f>
        <v>0</v>
      </c>
      <c r="J157" s="876"/>
      <c r="K157" s="880" t="str">
        <f t="shared" ca="1" si="47"/>
        <v>Byproduct Sales</v>
      </c>
      <c r="L157" s="892">
        <f ca="1">+I157</f>
        <v>0</v>
      </c>
      <c r="M157" s="880"/>
      <c r="N157" s="880" t="str">
        <f ca="1">+IF(L157&gt;0,K157,"")</f>
        <v/>
      </c>
      <c r="O157" s="876"/>
      <c r="P157" s="876"/>
      <c r="Q157" s="876"/>
      <c r="R157" s="876"/>
      <c r="S157" s="876"/>
      <c r="T157" s="876"/>
      <c r="U157" s="876"/>
      <c r="V157" s="876"/>
      <c r="W157" s="876"/>
      <c r="X157" s="876"/>
      <c r="Y157" s="876"/>
      <c r="Z157" s="876"/>
      <c r="AA157" s="876"/>
      <c r="AB157" s="876"/>
      <c r="AC157" s="876"/>
      <c r="AD157" s="876"/>
      <c r="AE157" s="876"/>
      <c r="AF157" s="876"/>
      <c r="AG157" s="876"/>
      <c r="AH157" s="876"/>
      <c r="AI157" s="876"/>
      <c r="AJ157" s="876"/>
    </row>
    <row r="158" spans="1:73">
      <c r="A158" s="876"/>
      <c r="B158" s="878"/>
      <c r="C158" s="876"/>
      <c r="D158" s="878"/>
      <c r="E158" s="878"/>
      <c r="F158" s="878"/>
      <c r="G158" s="878"/>
      <c r="H158" s="878"/>
      <c r="I158" s="904"/>
      <c r="J158" s="876"/>
      <c r="K158" s="880"/>
      <c r="L158" s="880"/>
      <c r="M158" s="892"/>
      <c r="N158" s="880" t="str">
        <f>+IF(L158&gt;0.01,K158,"")</f>
        <v/>
      </c>
      <c r="O158" s="876"/>
      <c r="P158" s="876"/>
      <c r="Q158" s="876"/>
      <c r="R158" s="876"/>
      <c r="S158" s="876"/>
      <c r="T158" s="876"/>
      <c r="U158" s="876"/>
      <c r="V158" s="876"/>
      <c r="W158" s="876"/>
      <c r="X158" s="876"/>
      <c r="Y158" s="876"/>
      <c r="Z158" s="876"/>
      <c r="AA158" s="876"/>
      <c r="AB158" s="876"/>
      <c r="AC158" s="876"/>
      <c r="AD158" s="876"/>
      <c r="AE158" s="876"/>
      <c r="AF158" s="876"/>
      <c r="AG158" s="876"/>
      <c r="AH158" s="876"/>
      <c r="AI158" s="876"/>
      <c r="AJ158" s="876"/>
    </row>
    <row r="159" spans="1:73">
      <c r="A159" s="876"/>
      <c r="B159" s="878" t="s">
        <v>1159</v>
      </c>
      <c r="C159" s="876">
        <v>1</v>
      </c>
      <c r="D159" s="880" t="str">
        <f>+H110</f>
        <v>Initial Equity Depreciable Capital</v>
      </c>
      <c r="E159" s="892">
        <f ca="1">+N48+C159/10000000000</f>
        <v>6.8763896977743683E-2</v>
      </c>
      <c r="F159" s="880">
        <f t="shared" ref="F159:F170" ca="1" si="48">+RANK(E159,$E$159:$E$170)</f>
        <v>3</v>
      </c>
      <c r="G159" s="885">
        <v>1</v>
      </c>
      <c r="H159" s="880" t="str">
        <f t="shared" ref="H159:H170" ca="1" si="49">OFFSET($D$158,MATCH($G159,$F$159:$F$170,0),0)</f>
        <v>Feedstock Cost</v>
      </c>
      <c r="I159" s="894">
        <f t="shared" ref="I159:I170" ca="1" si="50">OFFSET($E$158,MATCH($G159,$F$159:$F$170,0),0)-OFFSET($C$158,MATCH($G159,$F$159:$F$170,0),0)/10000000000</f>
        <v>0.82426121735810753</v>
      </c>
      <c r="J159" s="876"/>
      <c r="K159" s="880" t="str">
        <f t="shared" ca="1" si="47"/>
        <v>Feedstock Cost</v>
      </c>
      <c r="L159" s="880"/>
      <c r="M159" s="892">
        <f ca="1">+I159</f>
        <v>0.82426121735810753</v>
      </c>
      <c r="N159" s="880" t="str">
        <f ca="1">+IF(M159&gt;0,K159,"")</f>
        <v>Feedstock Cost</v>
      </c>
      <c r="O159" s="876"/>
      <c r="P159" s="876"/>
      <c r="Q159" s="876"/>
      <c r="R159" s="876"/>
      <c r="S159" s="876"/>
      <c r="T159" s="876"/>
      <c r="U159" s="876"/>
      <c r="V159" s="876"/>
      <c r="W159" s="876"/>
      <c r="X159" s="876"/>
      <c r="Y159" s="876"/>
      <c r="Z159" s="876"/>
      <c r="AA159" s="876"/>
      <c r="AB159" s="876"/>
      <c r="AC159" s="876"/>
      <c r="AD159" s="876"/>
      <c r="AE159" s="876"/>
      <c r="AF159" s="876"/>
      <c r="AG159" s="876"/>
      <c r="AH159" s="876"/>
      <c r="AI159" s="876"/>
      <c r="AJ159" s="876"/>
    </row>
    <row r="160" spans="1:73">
      <c r="A160" s="876"/>
      <c r="B160" s="876"/>
      <c r="C160" s="876">
        <f>+C159+1</f>
        <v>2</v>
      </c>
      <c r="D160" s="880" t="str">
        <f>+I110</f>
        <v>Yearly Replacement Costs</v>
      </c>
      <c r="E160" s="892">
        <f ca="1">+O48+C160/10000000000</f>
        <v>8.7875396546114072E-3</v>
      </c>
      <c r="F160" s="880">
        <f t="shared" ca="1" si="48"/>
        <v>9</v>
      </c>
      <c r="G160" s="885">
        <v>2</v>
      </c>
      <c r="H160" s="880" t="str">
        <f t="shared" ca="1" si="49"/>
        <v>Fixed Operating Cost</v>
      </c>
      <c r="I160" s="894">
        <f t="shared" ca="1" si="50"/>
        <v>8.5475901235362126E-2</v>
      </c>
      <c r="J160" s="876"/>
      <c r="K160" s="880" t="str">
        <f t="shared" ca="1" si="47"/>
        <v>Fixed Operating Cost</v>
      </c>
      <c r="L160" s="880"/>
      <c r="M160" s="892">
        <f t="shared" ref="M160:M170" ca="1" si="51">+I160</f>
        <v>8.5475901235362126E-2</v>
      </c>
      <c r="N160" s="880" t="str">
        <f t="shared" ref="N160:N170" ca="1" si="52">+IF(M160&gt;0,K160,"")</f>
        <v>Fixed Operating Cost</v>
      </c>
      <c r="O160" s="876"/>
      <c r="P160" s="876"/>
      <c r="Q160" s="876"/>
      <c r="R160" s="876"/>
      <c r="S160" s="876"/>
      <c r="T160" s="876"/>
      <c r="U160" s="876"/>
      <c r="V160" s="876"/>
      <c r="W160" s="876"/>
      <c r="X160" s="876"/>
      <c r="Y160" s="876"/>
      <c r="Z160" s="876"/>
      <c r="AA160" s="876"/>
      <c r="AB160" s="876"/>
      <c r="AC160" s="876"/>
      <c r="AD160" s="876"/>
      <c r="AE160" s="876"/>
      <c r="AF160" s="876"/>
      <c r="AG160" s="876"/>
      <c r="AH160" s="876"/>
      <c r="AI160" s="876"/>
      <c r="AJ160" s="876"/>
    </row>
    <row r="161" spans="1:36">
      <c r="A161" s="876"/>
      <c r="B161" s="876"/>
      <c r="C161" s="876">
        <f t="shared" ref="C161:C170" si="53">+C160+1</f>
        <v>3</v>
      </c>
      <c r="D161" s="880" t="str">
        <f>+J110</f>
        <v>Cash for Working Capital Reserve</v>
      </c>
      <c r="E161" s="892">
        <f ca="1">+P48+C161/10000000000</f>
        <v>1.2775814931268212E-2</v>
      </c>
      <c r="F161" s="880">
        <f t="shared" ca="1" si="48"/>
        <v>6</v>
      </c>
      <c r="G161" s="885">
        <v>3</v>
      </c>
      <c r="H161" s="880" t="str">
        <f t="shared" ca="1" si="49"/>
        <v>Initial Equity Depreciable Capital</v>
      </c>
      <c r="I161" s="894">
        <f t="shared" ca="1" si="50"/>
        <v>6.8763896877743688E-2</v>
      </c>
      <c r="J161" s="876"/>
      <c r="K161" s="880" t="str">
        <f t="shared" ca="1" si="47"/>
        <v>Initial Equity Depreciable Capital</v>
      </c>
      <c r="L161" s="880"/>
      <c r="M161" s="892">
        <f t="shared" ca="1" si="51"/>
        <v>6.8763896877743688E-2</v>
      </c>
      <c r="N161" s="880" t="str">
        <f t="shared" ca="1" si="52"/>
        <v>Initial Equity Depreciable Capital</v>
      </c>
      <c r="O161" s="876"/>
      <c r="P161" s="876"/>
      <c r="Q161" s="876"/>
      <c r="R161" s="876"/>
      <c r="S161" s="876"/>
      <c r="T161" s="876"/>
      <c r="U161" s="876"/>
      <c r="V161" s="876"/>
      <c r="W161" s="876"/>
      <c r="X161" s="876"/>
      <c r="Y161" s="876"/>
      <c r="Z161" s="876"/>
      <c r="AA161" s="876"/>
      <c r="AB161" s="876"/>
      <c r="AC161" s="876"/>
      <c r="AD161" s="876"/>
      <c r="AE161" s="876"/>
      <c r="AF161" s="876"/>
      <c r="AG161" s="876"/>
      <c r="AH161" s="876"/>
      <c r="AI161" s="876"/>
      <c r="AJ161" s="876"/>
    </row>
    <row r="162" spans="1:36">
      <c r="A162" s="876"/>
      <c r="B162" s="876"/>
      <c r="C162" s="876">
        <f t="shared" si="53"/>
        <v>4</v>
      </c>
      <c r="D162" s="880" t="str">
        <f>+K110</f>
        <v>Other Non-Depreciable Capital Costs</v>
      </c>
      <c r="E162" s="892">
        <f ca="1">+Q48+C162/10000000000</f>
        <v>2.9542938018394835E-3</v>
      </c>
      <c r="F162" s="880">
        <f t="shared" ca="1" si="48"/>
        <v>10</v>
      </c>
      <c r="G162" s="885">
        <v>4</v>
      </c>
      <c r="H162" s="880" t="str">
        <f t="shared" ca="1" si="49"/>
        <v>Debt Interest</v>
      </c>
      <c r="I162" s="894">
        <f t="shared" ca="1" si="50"/>
        <v>4.1103279604089063E-2</v>
      </c>
      <c r="J162" s="876"/>
      <c r="K162" s="880" t="str">
        <f t="shared" ca="1" si="47"/>
        <v>Debt Interest</v>
      </c>
      <c r="L162" s="880"/>
      <c r="M162" s="892">
        <f t="shared" ca="1" si="51"/>
        <v>4.1103279604089063E-2</v>
      </c>
      <c r="N162" s="880" t="str">
        <f t="shared" ca="1" si="52"/>
        <v>Debt Interest</v>
      </c>
      <c r="O162" s="876"/>
      <c r="P162" s="876"/>
      <c r="Q162" s="876"/>
      <c r="R162" s="876"/>
      <c r="S162" s="876"/>
      <c r="T162" s="876"/>
      <c r="U162" s="876"/>
      <c r="V162" s="876"/>
      <c r="W162" s="876"/>
      <c r="X162" s="876"/>
      <c r="Y162" s="876"/>
      <c r="Z162" s="876"/>
      <c r="AA162" s="876"/>
      <c r="AB162" s="876"/>
      <c r="AC162" s="876"/>
      <c r="AD162" s="876"/>
      <c r="AE162" s="876"/>
      <c r="AF162" s="876"/>
      <c r="AG162" s="876"/>
      <c r="AH162" s="876"/>
      <c r="AI162" s="876"/>
      <c r="AJ162" s="876"/>
    </row>
    <row r="163" spans="1:36">
      <c r="A163" s="876"/>
      <c r="B163" s="876"/>
      <c r="C163" s="876">
        <f t="shared" si="53"/>
        <v>5</v>
      </c>
      <c r="D163" s="880" t="str">
        <f>+L110</f>
        <v>Decommissioning Costs</v>
      </c>
      <c r="E163" s="892">
        <f ca="1">+R48+C163/10000000000</f>
        <v>6.7842692975131325E-4</v>
      </c>
      <c r="F163" s="880">
        <f t="shared" ca="1" si="48"/>
        <v>12</v>
      </c>
      <c r="G163" s="885">
        <v>5</v>
      </c>
      <c r="H163" s="880" t="str">
        <f t="shared" ca="1" si="49"/>
        <v>Other Raw Material Cost</v>
      </c>
      <c r="I163" s="894">
        <f t="shared" ca="1" si="50"/>
        <v>1.6910628865952383E-2</v>
      </c>
      <c r="J163" s="876"/>
      <c r="K163" s="880" t="str">
        <f t="shared" ca="1" si="47"/>
        <v>Other Raw Material Cost</v>
      </c>
      <c r="L163" s="880"/>
      <c r="M163" s="892">
        <f t="shared" ca="1" si="51"/>
        <v>1.6910628865952383E-2</v>
      </c>
      <c r="N163" s="880" t="str">
        <f t="shared" ca="1" si="52"/>
        <v>Other Raw Material Cost</v>
      </c>
      <c r="O163" s="876"/>
      <c r="P163" s="876"/>
      <c r="Q163" s="876"/>
      <c r="R163" s="876"/>
      <c r="S163" s="876"/>
      <c r="T163" s="876"/>
      <c r="U163" s="876"/>
      <c r="V163" s="876"/>
      <c r="W163" s="876"/>
      <c r="X163" s="876"/>
      <c r="Y163" s="876"/>
      <c r="Z163" s="876"/>
      <c r="AA163" s="876"/>
      <c r="AB163" s="876"/>
      <c r="AC163" s="876"/>
      <c r="AD163" s="876"/>
      <c r="AE163" s="876"/>
      <c r="AF163" s="876"/>
      <c r="AG163" s="876"/>
      <c r="AH163" s="876"/>
      <c r="AI163" s="876"/>
      <c r="AJ163" s="876"/>
    </row>
    <row r="164" spans="1:36">
      <c r="A164" s="876"/>
      <c r="B164" s="876"/>
      <c r="C164" s="876">
        <f t="shared" si="53"/>
        <v>6</v>
      </c>
      <c r="D164" s="880" t="str">
        <f>+M110</f>
        <v>Fixed Operating Cost</v>
      </c>
      <c r="E164" s="892">
        <f ca="1">+S48+C164/10000000000</f>
        <v>8.547590183536212E-2</v>
      </c>
      <c r="F164" s="880">
        <f t="shared" ca="1" si="48"/>
        <v>2</v>
      </c>
      <c r="G164" s="885">
        <v>6</v>
      </c>
      <c r="H164" s="880" t="str">
        <f t="shared" ca="1" si="49"/>
        <v>Cash for Working Capital Reserve</v>
      </c>
      <c r="I164" s="894">
        <f t="shared" ca="1" si="50"/>
        <v>1.2775814631268211E-2</v>
      </c>
      <c r="J164" s="876"/>
      <c r="K164" s="880" t="str">
        <f t="shared" ca="1" si="47"/>
        <v>Cash for Working Capital Reserve</v>
      </c>
      <c r="L164" s="880"/>
      <c r="M164" s="892">
        <f t="shared" ca="1" si="51"/>
        <v>1.2775814631268211E-2</v>
      </c>
      <c r="N164" s="880" t="str">
        <f t="shared" ca="1" si="52"/>
        <v>Cash for Working Capital Reserve</v>
      </c>
      <c r="O164" s="876"/>
      <c r="P164" s="876"/>
      <c r="Q164" s="876"/>
      <c r="R164" s="876"/>
      <c r="S164" s="876"/>
      <c r="T164" s="876"/>
      <c r="U164" s="876"/>
      <c r="V164" s="876"/>
      <c r="W164" s="876"/>
      <c r="X164" s="876"/>
      <c r="Y164" s="876"/>
      <c r="Z164" s="876"/>
      <c r="AA164" s="876"/>
      <c r="AB164" s="876"/>
      <c r="AC164" s="876"/>
      <c r="AD164" s="876"/>
      <c r="AE164" s="876"/>
      <c r="AF164" s="876"/>
      <c r="AG164" s="876"/>
      <c r="AH164" s="876"/>
      <c r="AI164" s="876"/>
      <c r="AJ164" s="876"/>
    </row>
    <row r="165" spans="1:36">
      <c r="A165" s="876"/>
      <c r="B165" s="876"/>
      <c r="C165" s="876">
        <f t="shared" si="53"/>
        <v>7</v>
      </c>
      <c r="D165" s="880" t="str">
        <f>+N110</f>
        <v>Feedstock Cost</v>
      </c>
      <c r="E165" s="892">
        <f ca="1">+T48+C165/10000000000</f>
        <v>0.82426121805810748</v>
      </c>
      <c r="F165" s="880">
        <f t="shared" ca="1" si="48"/>
        <v>1</v>
      </c>
      <c r="G165" s="885">
        <v>7</v>
      </c>
      <c r="H165" s="880" t="str">
        <f t="shared" ca="1" si="49"/>
        <v>Other Variable Operating Costs</v>
      </c>
      <c r="I165" s="894">
        <f t="shared" ca="1" si="50"/>
        <v>1.0413134795616728E-2</v>
      </c>
      <c r="J165" s="876"/>
      <c r="K165" s="880" t="str">
        <f t="shared" ca="1" si="47"/>
        <v>Other Variable Operating Costs</v>
      </c>
      <c r="L165" s="880"/>
      <c r="M165" s="892">
        <f t="shared" ca="1" si="51"/>
        <v>1.0413134795616728E-2</v>
      </c>
      <c r="N165" s="880" t="str">
        <f t="shared" ca="1" si="52"/>
        <v>Other Variable Operating Costs</v>
      </c>
      <c r="O165" s="876"/>
      <c r="P165" s="876"/>
      <c r="Q165" s="876"/>
      <c r="R165" s="876"/>
      <c r="S165" s="876"/>
      <c r="T165" s="876"/>
      <c r="U165" s="876"/>
      <c r="V165" s="876"/>
      <c r="W165" s="876"/>
      <c r="X165" s="876"/>
      <c r="Y165" s="876"/>
      <c r="Z165" s="876"/>
      <c r="AA165" s="876"/>
      <c r="AB165" s="876"/>
      <c r="AC165" s="876"/>
      <c r="AD165" s="876"/>
      <c r="AE165" s="876"/>
      <c r="AF165" s="876"/>
      <c r="AG165" s="876"/>
      <c r="AH165" s="876"/>
      <c r="AI165" s="876"/>
      <c r="AJ165" s="876"/>
    </row>
    <row r="166" spans="1:36">
      <c r="A166" s="876"/>
      <c r="B166" s="876"/>
      <c r="C166" s="876">
        <f t="shared" si="53"/>
        <v>8</v>
      </c>
      <c r="D166" s="880" t="str">
        <f>+O110</f>
        <v>Other Raw Material Cost</v>
      </c>
      <c r="E166" s="892">
        <f ca="1">+U48+C166/10000000000</f>
        <v>1.6910629665952383E-2</v>
      </c>
      <c r="F166" s="880">
        <f t="shared" ca="1" si="48"/>
        <v>5</v>
      </c>
      <c r="G166" s="885">
        <v>8</v>
      </c>
      <c r="H166" s="880" t="str">
        <f t="shared" ca="1" si="49"/>
        <v>Taxes</v>
      </c>
      <c r="I166" s="894">
        <f t="shared" ca="1" si="50"/>
        <v>9.7576491952823911E-3</v>
      </c>
      <c r="J166" s="876"/>
      <c r="K166" s="880" t="str">
        <f t="shared" ca="1" si="47"/>
        <v>Taxes</v>
      </c>
      <c r="L166" s="880"/>
      <c r="M166" s="892">
        <f t="shared" ca="1" si="51"/>
        <v>9.7576491952823911E-3</v>
      </c>
      <c r="N166" s="880" t="str">
        <f t="shared" ca="1" si="52"/>
        <v>Taxes</v>
      </c>
      <c r="O166" s="876"/>
      <c r="P166" s="876"/>
      <c r="Q166" s="876"/>
      <c r="R166" s="876"/>
      <c r="S166" s="876"/>
      <c r="T166" s="876"/>
      <c r="U166" s="876"/>
      <c r="V166" s="876"/>
      <c r="W166" s="876"/>
      <c r="X166" s="876"/>
      <c r="Y166" s="876"/>
      <c r="Z166" s="876"/>
      <c r="AA166" s="876"/>
      <c r="AB166" s="876"/>
      <c r="AC166" s="876"/>
      <c r="AD166" s="876"/>
      <c r="AE166" s="876"/>
      <c r="AF166" s="876"/>
      <c r="AG166" s="876"/>
      <c r="AH166" s="876"/>
      <c r="AI166" s="876"/>
      <c r="AJ166" s="876"/>
    </row>
    <row r="167" spans="1:36">
      <c r="A167" s="876"/>
      <c r="B167" s="876"/>
      <c r="C167" s="876">
        <f t="shared" si="53"/>
        <v>9</v>
      </c>
      <c r="D167" s="880" t="str">
        <f>+P110</f>
        <v>Other Variable Operating Costs</v>
      </c>
      <c r="E167" s="892">
        <f ca="1">+V48+C167/10000000000</f>
        <v>1.0413135695616728E-2</v>
      </c>
      <c r="F167" s="880">
        <f t="shared" ca="1" si="48"/>
        <v>7</v>
      </c>
      <c r="G167" s="885">
        <v>9</v>
      </c>
      <c r="H167" s="880" t="str">
        <f t="shared" ca="1" si="49"/>
        <v>Yearly Replacement Costs</v>
      </c>
      <c r="I167" s="894">
        <f t="shared" ca="1" si="50"/>
        <v>8.787539454611408E-3</v>
      </c>
      <c r="J167" s="876"/>
      <c r="K167" s="880" t="str">
        <f t="shared" ca="1" si="47"/>
        <v>Yearly Replacement Costs</v>
      </c>
      <c r="L167" s="880"/>
      <c r="M167" s="892">
        <f t="shared" ca="1" si="51"/>
        <v>8.787539454611408E-3</v>
      </c>
      <c r="N167" s="880" t="str">
        <f t="shared" ca="1" si="52"/>
        <v>Yearly Replacement Costs</v>
      </c>
      <c r="O167" s="876"/>
      <c r="P167" s="876"/>
      <c r="Q167" s="876"/>
      <c r="R167" s="876"/>
      <c r="S167" s="876"/>
      <c r="T167" s="876"/>
      <c r="U167" s="876"/>
      <c r="V167" s="876"/>
      <c r="W167" s="876"/>
      <c r="X167" s="876"/>
      <c r="Y167" s="876"/>
      <c r="Z167" s="876"/>
      <c r="AA167" s="876"/>
      <c r="AB167" s="876"/>
      <c r="AC167" s="876"/>
      <c r="AD167" s="876"/>
      <c r="AE167" s="876"/>
      <c r="AF167" s="876"/>
      <c r="AG167" s="876"/>
      <c r="AH167" s="876"/>
      <c r="AI167" s="876"/>
      <c r="AJ167" s="876"/>
    </row>
    <row r="168" spans="1:36">
      <c r="A168" s="876"/>
      <c r="B168" s="876"/>
      <c r="C168" s="876">
        <f t="shared" si="53"/>
        <v>10</v>
      </c>
      <c r="D168" s="880" t="str">
        <f>+Q110</f>
        <v>Debt Interest</v>
      </c>
      <c r="E168" s="892">
        <f ca="1">+W48+C168/10000000000</f>
        <v>4.1103280604089062E-2</v>
      </c>
      <c r="F168" s="880">
        <f t="shared" ca="1" si="48"/>
        <v>4</v>
      </c>
      <c r="G168" s="885">
        <v>10</v>
      </c>
      <c r="H168" s="880" t="str">
        <f t="shared" ca="1" si="49"/>
        <v>Other Non-Depreciable Capital Costs</v>
      </c>
      <c r="I168" s="894">
        <f t="shared" ca="1" si="50"/>
        <v>2.9542934018394833E-3</v>
      </c>
      <c r="J168" s="876"/>
      <c r="K168" s="880" t="str">
        <f t="shared" ca="1" si="47"/>
        <v>Other Non-Depreciable Capital Costs</v>
      </c>
      <c r="L168" s="880"/>
      <c r="M168" s="892">
        <f t="shared" ca="1" si="51"/>
        <v>2.9542934018394833E-3</v>
      </c>
      <c r="N168" s="880" t="str">
        <f t="shared" ca="1" si="52"/>
        <v>Other Non-Depreciable Capital Costs</v>
      </c>
      <c r="O168" s="876"/>
      <c r="P168" s="876"/>
      <c r="Q168" s="876"/>
      <c r="R168" s="876"/>
      <c r="S168" s="876"/>
      <c r="T168" s="876"/>
      <c r="U168" s="876"/>
      <c r="V168" s="876"/>
      <c r="W168" s="876"/>
      <c r="X168" s="876"/>
      <c r="Y168" s="876"/>
      <c r="Z168" s="876"/>
      <c r="AA168" s="876"/>
      <c r="AB168" s="876"/>
      <c r="AC168" s="876"/>
      <c r="AD168" s="876"/>
      <c r="AE168" s="876"/>
      <c r="AF168" s="876"/>
      <c r="AG168" s="876"/>
      <c r="AH168" s="876"/>
      <c r="AI168" s="876"/>
      <c r="AJ168" s="876"/>
    </row>
    <row r="169" spans="1:36">
      <c r="A169" s="876"/>
      <c r="B169" s="876"/>
      <c r="C169" s="876">
        <f t="shared" si="53"/>
        <v>11</v>
      </c>
      <c r="D169" s="880" t="str">
        <f>+R110</f>
        <v>Taxes</v>
      </c>
      <c r="E169" s="892">
        <f ca="1">+X48+C169/10000000000</f>
        <v>9.7576502952823919E-3</v>
      </c>
      <c r="F169" s="880">
        <f t="shared" ca="1" si="48"/>
        <v>8</v>
      </c>
      <c r="G169" s="885">
        <v>11</v>
      </c>
      <c r="H169" s="880" t="str">
        <f t="shared" ca="1" si="49"/>
        <v>Principal Payment</v>
      </c>
      <c r="I169" s="894">
        <f t="shared" ca="1" si="50"/>
        <v>1.8464530985706127E-3</v>
      </c>
      <c r="J169" s="876"/>
      <c r="K169" s="880" t="str">
        <f t="shared" ca="1" si="47"/>
        <v>Principal Payment</v>
      </c>
      <c r="L169" s="880"/>
      <c r="M169" s="892">
        <f t="shared" ca="1" si="51"/>
        <v>1.8464530985706127E-3</v>
      </c>
      <c r="N169" s="880" t="str">
        <f t="shared" ca="1" si="52"/>
        <v>Principal Payment</v>
      </c>
      <c r="O169" s="876"/>
      <c r="P169" s="876"/>
      <c r="Q169" s="876"/>
      <c r="R169" s="876"/>
      <c r="S169" s="876"/>
      <c r="T169" s="876"/>
      <c r="U169" s="876"/>
      <c r="V169" s="876"/>
      <c r="W169" s="876"/>
      <c r="X169" s="876"/>
      <c r="Y169" s="876"/>
      <c r="Z169" s="876"/>
      <c r="AA169" s="876"/>
      <c r="AB169" s="876"/>
      <c r="AC169" s="876"/>
      <c r="AD169" s="876"/>
      <c r="AE169" s="876"/>
      <c r="AF169" s="876"/>
      <c r="AG169" s="876"/>
      <c r="AH169" s="876"/>
      <c r="AI169" s="876"/>
      <c r="AJ169" s="876"/>
    </row>
    <row r="170" spans="1:36">
      <c r="A170" s="876"/>
      <c r="B170" s="876"/>
      <c r="C170" s="876">
        <f t="shared" si="53"/>
        <v>12</v>
      </c>
      <c r="D170" s="880" t="str">
        <f>+S110</f>
        <v>Principal Payment</v>
      </c>
      <c r="E170" s="892">
        <f ca="1">+Y48+C170/10000000000</f>
        <v>1.8464542985706127E-3</v>
      </c>
      <c r="F170" s="880">
        <f t="shared" ca="1" si="48"/>
        <v>11</v>
      </c>
      <c r="G170" s="885">
        <v>12</v>
      </c>
      <c r="H170" s="880" t="str">
        <f t="shared" ca="1" si="49"/>
        <v>Decommissioning Costs</v>
      </c>
      <c r="I170" s="894">
        <f t="shared" ca="1" si="50"/>
        <v>6.784264297513133E-4</v>
      </c>
      <c r="J170" s="876"/>
      <c r="K170" s="880" t="str">
        <f t="shared" ca="1" si="47"/>
        <v>Decommissioning Costs</v>
      </c>
      <c r="L170" s="880"/>
      <c r="M170" s="892">
        <f t="shared" ca="1" si="51"/>
        <v>6.784264297513133E-4</v>
      </c>
      <c r="N170" s="880" t="str">
        <f t="shared" ca="1" si="52"/>
        <v>Decommissioning Costs</v>
      </c>
      <c r="O170" s="876"/>
      <c r="P170" s="876"/>
      <c r="Q170" s="876"/>
      <c r="R170" s="876"/>
      <c r="S170" s="876"/>
      <c r="T170" s="876"/>
      <c r="U170" s="876"/>
      <c r="V170" s="876"/>
      <c r="W170" s="876"/>
      <c r="X170" s="876"/>
      <c r="Y170" s="876"/>
      <c r="Z170" s="876"/>
      <c r="AA170" s="876"/>
      <c r="AB170" s="876"/>
      <c r="AC170" s="876"/>
      <c r="AD170" s="876"/>
      <c r="AE170" s="876"/>
      <c r="AF170" s="876"/>
      <c r="AG170" s="876"/>
      <c r="AH170" s="876"/>
      <c r="AI170" s="876"/>
      <c r="AJ170" s="876"/>
    </row>
    <row r="171" spans="1:36">
      <c r="A171" s="876"/>
      <c r="B171" s="876"/>
      <c r="C171" s="876"/>
      <c r="D171" s="876"/>
      <c r="E171" s="876"/>
      <c r="F171" s="876"/>
      <c r="G171" s="876"/>
      <c r="H171" s="878"/>
      <c r="I171" s="876"/>
      <c r="J171" s="876"/>
      <c r="K171" s="879" t="s">
        <v>58</v>
      </c>
      <c r="L171" s="892">
        <f ca="1">+SUM(L155:L170)</f>
        <v>1.0837282349481954</v>
      </c>
      <c r="M171" s="892">
        <f ca="1">+SUM(M155:M170)</f>
        <v>1.0837282349481947</v>
      </c>
      <c r="N171" s="880" t="str">
        <f ca="1">+IF(M171&lt;0.01,K171,"")</f>
        <v/>
      </c>
      <c r="O171" s="876"/>
      <c r="P171" s="876"/>
      <c r="Q171" s="876"/>
      <c r="R171" s="876"/>
      <c r="S171" s="876"/>
      <c r="T171" s="876"/>
      <c r="U171" s="876"/>
      <c r="V171" s="876"/>
      <c r="W171" s="876"/>
      <c r="X171" s="876"/>
      <c r="Y171" s="876"/>
      <c r="Z171" s="876"/>
      <c r="AA171" s="876"/>
      <c r="AB171" s="876"/>
      <c r="AC171" s="876"/>
      <c r="AD171" s="876"/>
      <c r="AE171" s="876"/>
      <c r="AF171" s="876"/>
      <c r="AG171" s="876"/>
      <c r="AH171" s="876"/>
      <c r="AI171" s="876"/>
      <c r="AJ171" s="876"/>
    </row>
    <row r="172" spans="1:36">
      <c r="A172" s="876"/>
      <c r="B172" s="876"/>
      <c r="C172" s="876"/>
      <c r="E172" s="876"/>
      <c r="F172" s="876"/>
      <c r="G172" s="876"/>
      <c r="H172" s="876"/>
      <c r="I172" s="876"/>
      <c r="J172" s="876"/>
      <c r="K172" s="876"/>
      <c r="L172" s="876"/>
      <c r="M172" s="876"/>
      <c r="N172" s="876"/>
      <c r="O172" s="876"/>
      <c r="P172" s="876"/>
      <c r="Q172" s="876"/>
      <c r="R172" s="876"/>
      <c r="S172" s="876"/>
      <c r="T172" s="876"/>
      <c r="U172" s="876"/>
      <c r="V172" s="876"/>
      <c r="W172" s="876"/>
      <c r="X172" s="876"/>
      <c r="Y172" s="876"/>
      <c r="Z172" s="876"/>
      <c r="AA172" s="876"/>
      <c r="AB172" s="876"/>
      <c r="AC172" s="876"/>
      <c r="AD172" s="876"/>
      <c r="AE172" s="876"/>
      <c r="AF172" s="876"/>
      <c r="AG172" s="876"/>
      <c r="AH172" s="876"/>
      <c r="AI172" s="876"/>
      <c r="AJ172" s="876"/>
    </row>
    <row r="173" spans="1:36">
      <c r="A173" s="876"/>
      <c r="B173" s="876"/>
      <c r="C173" s="876"/>
      <c r="D173" s="876"/>
      <c r="E173" s="876"/>
      <c r="F173" s="876"/>
      <c r="G173" s="876"/>
      <c r="H173" s="876"/>
      <c r="I173" s="876"/>
      <c r="J173" s="876"/>
      <c r="K173" s="876"/>
      <c r="L173" s="876"/>
      <c r="M173" s="876"/>
      <c r="N173" s="876"/>
      <c r="O173" s="876"/>
      <c r="P173" s="876"/>
      <c r="Q173" s="876"/>
      <c r="R173" s="876"/>
      <c r="S173" s="876"/>
      <c r="T173" s="876"/>
      <c r="U173" s="876"/>
      <c r="V173" s="876"/>
      <c r="W173" s="876"/>
      <c r="X173" s="876"/>
      <c r="Y173" s="876"/>
      <c r="Z173" s="876"/>
      <c r="AA173" s="876"/>
      <c r="AB173" s="876"/>
      <c r="AC173" s="876"/>
      <c r="AD173" s="876"/>
      <c r="AE173" s="876"/>
      <c r="AF173" s="876"/>
      <c r="AG173" s="876"/>
      <c r="AH173" s="876"/>
      <c r="AI173" s="876"/>
      <c r="AJ173" s="876"/>
    </row>
    <row r="174" spans="1:36">
      <c r="A174" s="876"/>
      <c r="B174" s="878" t="s">
        <v>1180</v>
      </c>
      <c r="C174" s="876"/>
      <c r="D174" s="877" t="s">
        <v>1192</v>
      </c>
      <c r="E174" s="877" t="s">
        <v>1190</v>
      </c>
      <c r="F174" s="877" t="s">
        <v>1193</v>
      </c>
      <c r="G174" s="877" t="s">
        <v>1191</v>
      </c>
      <c r="H174" s="876"/>
      <c r="I174" s="876"/>
      <c r="J174" s="876"/>
      <c r="K174" s="876"/>
      <c r="L174" s="876"/>
      <c r="M174" s="877"/>
      <c r="N174" s="877"/>
      <c r="O174" s="876"/>
      <c r="P174" s="876"/>
      <c r="Q174" s="876"/>
      <c r="R174" s="876"/>
      <c r="S174" s="876"/>
      <c r="T174" s="876"/>
      <c r="U174" s="876"/>
      <c r="V174" s="876"/>
      <c r="W174" s="876"/>
      <c r="X174" s="876"/>
      <c r="Y174" s="876"/>
      <c r="Z174" s="876"/>
      <c r="AA174" s="876"/>
      <c r="AB174" s="876"/>
      <c r="AC174" s="876"/>
      <c r="AD174" s="876"/>
      <c r="AE174" s="876"/>
      <c r="AF174" s="876"/>
      <c r="AG174" s="876"/>
      <c r="AH174" s="876"/>
      <c r="AI174" s="876"/>
      <c r="AJ174" s="876"/>
    </row>
    <row r="175" spans="1:36">
      <c r="A175" s="876"/>
      <c r="B175">
        <v>0</v>
      </c>
      <c r="C175" s="879" t="s">
        <v>1181</v>
      </c>
      <c r="D175" s="892">
        <f>+K51</f>
        <v>1.0744589135139428</v>
      </c>
      <c r="E175" s="892">
        <f>+D175</f>
        <v>1.0744589135139428</v>
      </c>
      <c r="F175" s="892"/>
      <c r="G175" s="892"/>
      <c r="H175" s="876"/>
      <c r="I175" s="876"/>
      <c r="J175" s="876"/>
      <c r="K175" s="876"/>
      <c r="L175" s="876"/>
      <c r="M175" s="1004"/>
      <c r="N175" s="1004"/>
      <c r="O175" s="876"/>
      <c r="P175" s="876"/>
      <c r="Q175" s="876"/>
      <c r="R175" s="876"/>
      <c r="S175" s="876"/>
      <c r="T175" s="876"/>
      <c r="U175" s="876"/>
      <c r="V175" s="876"/>
      <c r="W175" s="876"/>
      <c r="X175" s="876"/>
      <c r="Y175" s="876"/>
      <c r="Z175" s="876"/>
      <c r="AA175" s="876"/>
      <c r="AB175" s="876"/>
      <c r="AC175" s="876"/>
      <c r="AD175" s="876"/>
      <c r="AE175" s="876"/>
      <c r="AF175" s="876"/>
      <c r="AG175" s="876"/>
      <c r="AH175" s="876"/>
      <c r="AI175" s="876"/>
      <c r="AJ175" s="876"/>
    </row>
    <row r="176" spans="1:36">
      <c r="A176" s="876"/>
      <c r="B176" s="876">
        <v>1</v>
      </c>
      <c r="C176" s="880" t="str">
        <f ca="1">OFFSET($B$50,0,MATCH($B176,$C$72:$I$72,0))&amp;
IF(OFFSET($F$2,MATCH($B176,$C$72:$I$72,0),0)&lt;1,
"
= "&amp;OFFSET($F$2,MATCH($B176,$C$72:$I$72,0),0)*100-100,
"
= +"&amp;OFFSET($F$2,MATCH($B176,$C$72:$I$72,0),0)*100-100)
&amp;"%"</f>
        <v>Operating capacity factor
= +5%</v>
      </c>
      <c r="D176" s="892">
        <f>+K66</f>
        <v>1.0633569922594281</v>
      </c>
      <c r="E176" s="892">
        <f t="shared" ref="E176:E181" si="54">+E175+G175-F176</f>
        <v>1.0633569922594281</v>
      </c>
      <c r="F176" s="892">
        <f>+MAX(D175-D176,0)</f>
        <v>1.1101921254514702E-2</v>
      </c>
      <c r="G176" s="892">
        <f>+MAX(D176-D175,0)</f>
        <v>0</v>
      </c>
      <c r="H176" s="876"/>
      <c r="I176" s="876"/>
      <c r="J176" s="876"/>
      <c r="K176" s="876"/>
      <c r="L176" s="876"/>
      <c r="M176" s="1004"/>
      <c r="N176" s="1004"/>
      <c r="O176" s="876"/>
      <c r="P176" s="876"/>
      <c r="Q176" s="876"/>
      <c r="R176" s="876"/>
      <c r="S176" s="876"/>
      <c r="T176" s="876"/>
      <c r="U176" s="876"/>
      <c r="V176" s="876"/>
      <c r="W176" s="876"/>
      <c r="X176" s="876"/>
      <c r="Y176" s="876"/>
      <c r="Z176" s="876"/>
      <c r="AA176" s="876"/>
      <c r="AB176" s="876"/>
      <c r="AC176" s="876"/>
      <c r="AD176" s="876"/>
      <c r="AE176" s="876"/>
      <c r="AF176" s="876"/>
      <c r="AG176" s="876"/>
      <c r="AH176" s="876"/>
      <c r="AI176" s="876"/>
      <c r="AJ176" s="876"/>
    </row>
    <row r="177" spans="1:36">
      <c r="A177" s="876"/>
      <c r="B177" s="876">
        <v>2</v>
      </c>
      <c r="C177" s="880" t="str">
        <f ca="1">OFFSET($B$50,0,MATCH($B177,$C$72:$I$72,0))&amp;
IF(OFFSET($F$2,MATCH($B177,$C$72:$I$72,0),0)&lt;1,
"
= "&amp;OFFSET($F$2,MATCH($B177,$C$72:$I$72,0),0)*100-100,
"
= +"&amp;OFFSET($F$2,MATCH($B177,$C$72:$I$72,0),0)*100-100)
&amp;"%"</f>
        <v>Total capital investment ($)
= -5%</v>
      </c>
      <c r="D177" s="892">
        <f>+K67</f>
        <v>1.0560773051943011</v>
      </c>
      <c r="E177" s="892">
        <f t="shared" si="54"/>
        <v>1.0560773051943011</v>
      </c>
      <c r="F177" s="892">
        <f>+MAX(D176-D177,0)</f>
        <v>7.2796870651270496E-3</v>
      </c>
      <c r="G177" s="892">
        <f>+MAX(D177-D176,0)</f>
        <v>0</v>
      </c>
      <c r="H177" s="876"/>
      <c r="I177" s="876"/>
      <c r="J177" s="876"/>
      <c r="K177" s="876"/>
      <c r="L177" s="876"/>
      <c r="M177" s="1004"/>
      <c r="N177" s="1004"/>
      <c r="O177" s="876"/>
      <c r="P177" s="876"/>
      <c r="Q177" s="876"/>
      <c r="R177" s="876"/>
      <c r="S177" s="876"/>
      <c r="T177" s="876"/>
      <c r="U177" s="876"/>
      <c r="V177" s="876"/>
      <c r="W177" s="876"/>
      <c r="X177" s="876"/>
      <c r="Y177" s="876"/>
      <c r="Z177" s="876"/>
      <c r="AA177" s="876"/>
      <c r="AB177" s="876"/>
      <c r="AC177" s="876"/>
      <c r="AD177" s="876"/>
      <c r="AE177" s="876"/>
      <c r="AF177" s="876"/>
      <c r="AG177" s="876"/>
      <c r="AH177" s="876"/>
      <c r="AI177" s="876"/>
      <c r="AJ177" s="876"/>
    </row>
    <row r="178" spans="1:36">
      <c r="A178" s="876"/>
      <c r="B178" s="876">
        <v>3</v>
      </c>
      <c r="C178" s="880" t="str">
        <f ca="1">OFFSET($B$50,0,MATCH($B178,$C$72:$I$72,0))&amp;
IF(OFFSET($F$2,MATCH($B178,$C$72:$I$72,0),0)&lt;1,
"
= "&amp;OFFSET($F$2,MATCH($B178,$C$72:$I$72,0),0)*100-100,
"
= +"&amp;OFFSET($F$2,MATCH($B178,$C$72:$I$72,0),0)*100-100)
&amp;"%"</f>
        <v>Total fixed operating cost ($/year)
= -5%</v>
      </c>
      <c r="D178" s="892">
        <f>+K68</f>
        <v>1.0520189119739964</v>
      </c>
      <c r="E178" s="892">
        <f t="shared" si="54"/>
        <v>1.0520189119739964</v>
      </c>
      <c r="F178" s="892">
        <f>+MAX(D177-D178,0)</f>
        <v>4.0583932203046569E-3</v>
      </c>
      <c r="G178" s="892">
        <f>+MAX(D178-D177,0)</f>
        <v>0</v>
      </c>
      <c r="H178" s="876"/>
      <c r="I178" s="876"/>
      <c r="J178" s="876"/>
      <c r="K178" s="876"/>
      <c r="L178" s="876"/>
      <c r="M178" s="1004"/>
      <c r="N178" s="1004"/>
      <c r="O178" s="876"/>
      <c r="P178" s="876"/>
      <c r="Q178" s="876"/>
      <c r="R178" s="876"/>
      <c r="S178" s="876"/>
      <c r="T178" s="876"/>
      <c r="U178" s="876"/>
      <c r="V178" s="876"/>
      <c r="W178" s="876"/>
      <c r="X178" s="876"/>
      <c r="Y178" s="876"/>
      <c r="Z178" s="876"/>
      <c r="AA178" s="876"/>
      <c r="AB178" s="876"/>
      <c r="AC178" s="876"/>
      <c r="AD178" s="876"/>
      <c r="AE178" s="876"/>
      <c r="AF178" s="876"/>
      <c r="AG178" s="876"/>
      <c r="AH178" s="876"/>
      <c r="AI178" s="876"/>
      <c r="AJ178" s="876"/>
    </row>
    <row r="179" spans="1:36">
      <c r="A179" s="876"/>
      <c r="B179" s="876">
        <v>4</v>
      </c>
      <c r="C179" s="880" t="e">
        <f ca="1">OFFSET($B$50,0,MATCH($B179,$C$72:$I$72,0))&amp;
IF(OFFSET($F$2,MATCH($B179,$C$72:$I$72,0),0)&lt;1,
"
= "&amp;OFFSET($F$2,MATCH($B179,$C$72:$I$72,0),0)*100-100,
"
= +"&amp;OFFSET($F$2,MATCH($B179,$C$72:$I$72,0),0)*100-100)
&amp;"%"</f>
        <v>#N/A</v>
      </c>
      <c r="D179" s="892">
        <f>+K69</f>
        <v>1.0520189119739964</v>
      </c>
      <c r="E179" s="892">
        <f t="shared" si="54"/>
        <v>1.0520189119739964</v>
      </c>
      <c r="F179" s="892">
        <f>+MAX(D178-D179,0)</f>
        <v>0</v>
      </c>
      <c r="G179" s="892">
        <f>+MAX(D179-D178,0)</f>
        <v>0</v>
      </c>
      <c r="H179" s="876"/>
      <c r="I179" s="876"/>
      <c r="J179" s="876"/>
      <c r="K179" s="876"/>
      <c r="L179" s="876"/>
      <c r="M179" s="1004"/>
      <c r="N179" s="1004"/>
      <c r="O179" s="876"/>
      <c r="P179" s="876"/>
      <c r="Q179" s="876"/>
      <c r="R179" s="876"/>
      <c r="S179" s="876"/>
      <c r="T179" s="876"/>
      <c r="U179" s="876"/>
      <c r="V179" s="876"/>
      <c r="W179" s="876"/>
      <c r="X179" s="876"/>
      <c r="Y179" s="876"/>
      <c r="Z179" s="876"/>
      <c r="AA179" s="876"/>
      <c r="AB179" s="876"/>
      <c r="AC179" s="876"/>
      <c r="AD179" s="876"/>
      <c r="AE179" s="876"/>
      <c r="AF179" s="876"/>
      <c r="AG179" s="876"/>
      <c r="AH179" s="876"/>
      <c r="AI179" s="876"/>
      <c r="AJ179" s="876"/>
    </row>
    <row r="180" spans="1:36">
      <c r="A180" s="876"/>
      <c r="B180" s="876">
        <v>5</v>
      </c>
      <c r="C180" s="880" t="str">
        <f ca="1">OFFSET($B$50,0,MATCH($B180,$C$72:$I$72,0))&amp;
IF(OFFSET($F$2,MATCH($B180,$C$72:$I$72,0),0)&lt;1,
"
= "&amp;OFFSET($F$2,MATCH($B180,$C$72:$I$72,0),0)*100-100,
"
= +"&amp;OFFSET($F$2,MATCH($B180,$C$72:$I$72,0),0)*100-100)
&amp;"%"</f>
        <v>Feedstock consumption (% of most likely value)
= -5%</v>
      </c>
      <c r="D180" s="892">
        <f>+K70</f>
        <v>1.0520189119739964</v>
      </c>
      <c r="E180" s="892">
        <f t="shared" si="54"/>
        <v>1.0520189119739964</v>
      </c>
      <c r="F180" s="892">
        <f>+MAX(D179-D180,0)</f>
        <v>0</v>
      </c>
      <c r="G180" s="892">
        <f>+MAX(D180-D179,0)</f>
        <v>0</v>
      </c>
      <c r="H180" s="876"/>
      <c r="I180" s="876"/>
      <c r="J180" s="876"/>
      <c r="K180" s="876"/>
      <c r="L180" s="876"/>
      <c r="M180" s="1004"/>
      <c r="N180" s="1004"/>
      <c r="O180" s="876"/>
      <c r="P180" s="876"/>
      <c r="Q180" s="876"/>
      <c r="R180" s="876"/>
      <c r="S180" s="876"/>
      <c r="T180" s="876"/>
      <c r="U180" s="876"/>
      <c r="V180" s="876"/>
      <c r="W180" s="876"/>
      <c r="X180" s="876"/>
      <c r="Y180" s="876"/>
      <c r="Z180" s="876"/>
      <c r="AA180" s="876"/>
      <c r="AB180" s="876"/>
      <c r="AC180" s="876"/>
      <c r="AD180" s="876"/>
      <c r="AE180" s="876"/>
      <c r="AF180" s="876"/>
      <c r="AG180" s="876"/>
      <c r="AH180" s="876"/>
      <c r="AI180" s="876"/>
      <c r="AJ180" s="876"/>
    </row>
    <row r="181" spans="1:36">
      <c r="A181" s="876"/>
      <c r="B181" s="876">
        <v>6</v>
      </c>
      <c r="C181" s="879" t="s">
        <v>1188</v>
      </c>
      <c r="D181" s="892">
        <f>+K70</f>
        <v>1.0520189119739964</v>
      </c>
      <c r="E181" s="892">
        <f t="shared" si="54"/>
        <v>1.0520189119739964</v>
      </c>
      <c r="F181" s="892"/>
      <c r="G181" s="892"/>
      <c r="H181" s="876"/>
      <c r="I181" s="876"/>
      <c r="J181" s="876"/>
      <c r="K181" s="876"/>
      <c r="L181" s="876"/>
      <c r="M181" s="1004"/>
      <c r="N181" s="1004"/>
      <c r="O181" s="876"/>
      <c r="P181" s="876"/>
      <c r="Q181" s="876"/>
      <c r="R181" s="876"/>
      <c r="S181" s="876"/>
      <c r="T181" s="876"/>
      <c r="U181" s="876"/>
      <c r="V181" s="876"/>
      <c r="W181" s="876"/>
      <c r="X181" s="876"/>
      <c r="Y181" s="876"/>
      <c r="Z181" s="876"/>
      <c r="AA181" s="876"/>
      <c r="AB181" s="876"/>
      <c r="AC181" s="876"/>
      <c r="AD181" s="876"/>
      <c r="AE181" s="876"/>
      <c r="AF181" s="876"/>
      <c r="AG181" s="876"/>
      <c r="AH181" s="876"/>
      <c r="AI181" s="876"/>
      <c r="AJ181" s="876"/>
    </row>
    <row r="182" spans="1:36">
      <c r="A182" s="876"/>
      <c r="B182" s="876"/>
      <c r="C182" s="876"/>
      <c r="D182" s="876"/>
      <c r="E182" s="876"/>
      <c r="F182" s="876"/>
      <c r="G182" s="876"/>
      <c r="H182" s="876"/>
      <c r="I182" s="876"/>
      <c r="J182" s="876"/>
      <c r="K182" s="876"/>
      <c r="L182" s="876"/>
      <c r="M182" s="876"/>
      <c r="N182" s="876"/>
      <c r="O182" s="876"/>
      <c r="P182" s="876"/>
      <c r="Q182" s="876"/>
      <c r="R182" s="876"/>
      <c r="S182" s="876"/>
      <c r="T182" s="876"/>
      <c r="U182" s="876"/>
      <c r="V182" s="876"/>
      <c r="W182" s="876"/>
      <c r="X182" s="876"/>
      <c r="Y182" s="876"/>
      <c r="Z182" s="876"/>
      <c r="AA182" s="876"/>
      <c r="AB182" s="876"/>
      <c r="AC182" s="876"/>
      <c r="AD182" s="876"/>
      <c r="AE182" s="876"/>
      <c r="AF182" s="876"/>
      <c r="AG182" s="876"/>
      <c r="AH182" s="876"/>
      <c r="AI182" s="876"/>
      <c r="AJ182" s="876"/>
    </row>
    <row r="183" spans="1:36">
      <c r="A183" s="876"/>
      <c r="B183" s="876"/>
      <c r="C183" s="876"/>
      <c r="D183" s="876"/>
      <c r="E183" s="876"/>
      <c r="F183" s="876"/>
      <c r="G183" s="876"/>
      <c r="H183" s="876"/>
      <c r="I183" s="876"/>
      <c r="J183" s="876"/>
      <c r="K183" s="876"/>
      <c r="L183" s="876"/>
      <c r="M183" s="876"/>
      <c r="N183" s="876"/>
      <c r="O183" s="876"/>
      <c r="P183" s="876"/>
      <c r="Q183" s="876"/>
      <c r="R183" s="876"/>
      <c r="S183" s="876"/>
      <c r="T183" s="876"/>
      <c r="U183" s="876"/>
      <c r="V183" s="876"/>
      <c r="W183" s="876"/>
      <c r="X183" s="876"/>
      <c r="Y183" s="876"/>
      <c r="Z183" s="876"/>
      <c r="AA183" s="876"/>
      <c r="AB183" s="876"/>
      <c r="AC183" s="876"/>
      <c r="AD183" s="876"/>
      <c r="AE183" s="876"/>
      <c r="AF183" s="876"/>
      <c r="AG183" s="876"/>
      <c r="AH183" s="876"/>
      <c r="AI183" s="876"/>
      <c r="AJ183" s="876"/>
    </row>
    <row r="184" spans="1:36">
      <c r="A184" s="876"/>
      <c r="B184" s="876"/>
      <c r="C184" s="876"/>
      <c r="D184" s="876"/>
      <c r="E184" s="876"/>
      <c r="F184" s="876"/>
      <c r="G184" s="876"/>
      <c r="H184" s="876"/>
      <c r="I184" s="876"/>
      <c r="J184" s="876"/>
      <c r="K184" s="876"/>
      <c r="L184" s="876"/>
      <c r="M184" s="876"/>
      <c r="N184" s="876"/>
      <c r="O184" s="876"/>
      <c r="P184" s="876"/>
      <c r="Q184" s="876"/>
      <c r="R184" s="876"/>
      <c r="S184" s="876"/>
      <c r="T184" s="876"/>
      <c r="U184" s="876"/>
      <c r="V184" s="876"/>
      <c r="W184" s="876"/>
      <c r="X184" s="876"/>
      <c r="Y184" s="876"/>
      <c r="Z184" s="876"/>
      <c r="AA184" s="876"/>
      <c r="AB184" s="876"/>
      <c r="AC184" s="876"/>
      <c r="AD184" s="876"/>
      <c r="AE184" s="876"/>
      <c r="AF184" s="876"/>
      <c r="AG184" s="876"/>
      <c r="AH184" s="876"/>
      <c r="AI184" s="876"/>
      <c r="AJ184" s="876"/>
    </row>
    <row r="185" spans="1:36">
      <c r="A185" s="876"/>
      <c r="B185" s="876"/>
      <c r="C185" s="876"/>
      <c r="D185" s="876"/>
      <c r="E185" s="876"/>
      <c r="F185" s="876"/>
      <c r="G185" s="876"/>
      <c r="H185" s="876"/>
      <c r="I185" s="876"/>
      <c r="J185" s="876"/>
      <c r="K185" s="876"/>
      <c r="L185" s="876"/>
      <c r="M185" s="876"/>
      <c r="N185" s="876"/>
      <c r="O185" s="876"/>
      <c r="P185" s="876"/>
      <c r="Q185" s="876"/>
      <c r="R185" s="876"/>
      <c r="S185" s="876"/>
      <c r="T185" s="876"/>
      <c r="U185" s="876"/>
      <c r="V185" s="876"/>
      <c r="W185" s="876"/>
      <c r="X185" s="876"/>
      <c r="Y185" s="876"/>
      <c r="Z185" s="876"/>
      <c r="AA185" s="876"/>
      <c r="AB185" s="876"/>
      <c r="AC185" s="876"/>
      <c r="AD185" s="876"/>
      <c r="AE185" s="876"/>
      <c r="AF185" s="876"/>
      <c r="AG185" s="876"/>
      <c r="AH185" s="876"/>
      <c r="AI185" s="876"/>
      <c r="AJ185" s="876"/>
    </row>
    <row r="186" spans="1:36">
      <c r="A186" s="876"/>
      <c r="B186" s="876"/>
      <c r="C186" s="876"/>
      <c r="D186" s="876"/>
      <c r="E186" s="876"/>
      <c r="F186" s="876"/>
      <c r="G186" s="876"/>
      <c r="H186" s="876"/>
      <c r="I186" s="876"/>
      <c r="J186" s="876"/>
      <c r="K186" s="876"/>
      <c r="L186" s="876"/>
      <c r="M186" s="876"/>
      <c r="N186" s="876"/>
      <c r="O186" s="876"/>
      <c r="P186" s="876"/>
      <c r="Q186" s="876"/>
      <c r="R186" s="876"/>
      <c r="S186" s="876"/>
      <c r="T186" s="876"/>
      <c r="U186" s="876"/>
      <c r="V186" s="876"/>
      <c r="W186" s="876"/>
      <c r="X186" s="876"/>
      <c r="Y186" s="876"/>
      <c r="Z186" s="876"/>
      <c r="AA186" s="876"/>
      <c r="AB186" s="876"/>
      <c r="AC186" s="876"/>
      <c r="AD186" s="876"/>
      <c r="AE186" s="876"/>
      <c r="AF186" s="876"/>
      <c r="AG186" s="876"/>
      <c r="AH186" s="876"/>
      <c r="AI186" s="876"/>
      <c r="AJ186" s="876"/>
    </row>
    <row r="187" spans="1:36">
      <c r="A187" s="876"/>
      <c r="B187" s="876"/>
      <c r="C187" s="876"/>
      <c r="D187" s="876"/>
      <c r="E187" s="876"/>
      <c r="F187" s="876"/>
      <c r="G187" s="876"/>
      <c r="H187" s="876"/>
      <c r="I187" s="876"/>
      <c r="J187" s="876"/>
      <c r="K187" s="876"/>
      <c r="L187" s="876"/>
      <c r="M187" s="876"/>
      <c r="N187" s="876"/>
      <c r="O187" s="876"/>
      <c r="P187" s="876"/>
      <c r="Q187" s="876"/>
      <c r="R187" s="876"/>
      <c r="S187" s="876"/>
      <c r="T187" s="876"/>
      <c r="U187" s="876"/>
      <c r="V187" s="876"/>
      <c r="W187" s="876"/>
      <c r="X187" s="876"/>
      <c r="Y187" s="876"/>
      <c r="Z187" s="876"/>
      <c r="AA187" s="876"/>
      <c r="AB187" s="876"/>
      <c r="AC187" s="876"/>
      <c r="AD187" s="876"/>
      <c r="AE187" s="876"/>
      <c r="AF187" s="876"/>
      <c r="AG187" s="876"/>
      <c r="AH187" s="876"/>
      <c r="AI187" s="876"/>
      <c r="AJ187" s="876"/>
    </row>
    <row r="188" spans="1:36">
      <c r="A188" s="876"/>
      <c r="B188" s="876"/>
      <c r="C188" s="876"/>
      <c r="D188" s="876"/>
      <c r="E188" s="876"/>
      <c r="F188" s="876"/>
      <c r="G188" s="876"/>
      <c r="H188" s="876"/>
      <c r="I188" s="876"/>
      <c r="J188" s="876"/>
      <c r="K188" s="876"/>
      <c r="L188" s="876"/>
      <c r="M188" s="876"/>
      <c r="N188" s="876"/>
      <c r="O188" s="876"/>
      <c r="P188" s="876"/>
      <c r="Q188" s="876"/>
      <c r="R188" s="876"/>
      <c r="S188" s="876"/>
      <c r="T188" s="876"/>
      <c r="U188" s="876"/>
      <c r="V188" s="876"/>
      <c r="W188" s="876"/>
      <c r="X188" s="876"/>
      <c r="Y188" s="876"/>
      <c r="Z188" s="876"/>
      <c r="AA188" s="876"/>
      <c r="AB188" s="876"/>
      <c r="AC188" s="876"/>
      <c r="AD188" s="876"/>
      <c r="AE188" s="876"/>
      <c r="AF188" s="876"/>
      <c r="AG188" s="876"/>
      <c r="AH188" s="876"/>
      <c r="AI188" s="876"/>
      <c r="AJ188" s="876"/>
    </row>
    <row r="189" spans="1:36">
      <c r="A189" s="876"/>
      <c r="B189" s="1198" t="s">
        <v>1297</v>
      </c>
      <c r="C189" s="1199">
        <f>+MIN(F3:G3)</f>
        <v>0.95</v>
      </c>
      <c r="D189" s="1199">
        <f>+MIN(F4:G4)</f>
        <v>0.95</v>
      </c>
      <c r="E189" s="1199">
        <f>+MIN(F5:G5)</f>
        <v>0.95</v>
      </c>
      <c r="F189" s="1199">
        <f>+MIN(F6:G6)</f>
        <v>0.95</v>
      </c>
      <c r="G189" s="1199">
        <f>+MIN(F7:G7)</f>
        <v>0.95</v>
      </c>
      <c r="H189" s="1199">
        <f>+MIN(F8:G8)</f>
        <v>0.95</v>
      </c>
      <c r="I189" s="1199">
        <f>+MIN(F9:G9)</f>
        <v>0.95</v>
      </c>
      <c r="J189" s="876"/>
      <c r="K189" s="876"/>
      <c r="L189" s="876"/>
      <c r="M189" s="876"/>
      <c r="N189" s="876"/>
      <c r="O189" s="876"/>
      <c r="P189" s="876"/>
      <c r="Q189" s="876"/>
      <c r="R189" s="876"/>
      <c r="S189" s="876"/>
      <c r="T189" s="876"/>
      <c r="U189" s="876"/>
      <c r="V189" s="876"/>
      <c r="W189" s="876"/>
      <c r="X189" s="876"/>
      <c r="Y189" s="876"/>
      <c r="Z189" s="876"/>
      <c r="AA189" s="876"/>
      <c r="AB189" s="876"/>
      <c r="AC189" s="876"/>
      <c r="AD189" s="876"/>
      <c r="AE189" s="876"/>
      <c r="AF189" s="876"/>
      <c r="AG189" s="876"/>
      <c r="AH189" s="876"/>
      <c r="AI189" s="876"/>
      <c r="AJ189" s="876"/>
    </row>
    <row r="190" spans="1:36">
      <c r="A190" s="876"/>
      <c r="B190" s="1198" t="s">
        <v>1299</v>
      </c>
      <c r="C190" s="1200">
        <v>1</v>
      </c>
      <c r="D190" s="1200">
        <v>1</v>
      </c>
      <c r="E190" s="1200">
        <v>1</v>
      </c>
      <c r="F190" s="1200">
        <v>1</v>
      </c>
      <c r="G190" s="1200">
        <v>1</v>
      </c>
      <c r="H190" s="1200">
        <v>1</v>
      </c>
      <c r="I190" s="1200">
        <v>1</v>
      </c>
      <c r="J190" s="876"/>
      <c r="K190" s="876"/>
      <c r="L190" s="876"/>
      <c r="M190" s="876"/>
      <c r="N190" s="876"/>
      <c r="O190" s="876"/>
      <c r="P190" s="876"/>
      <c r="Q190" s="876"/>
      <c r="R190" s="876"/>
      <c r="S190" s="876"/>
      <c r="T190" s="876"/>
      <c r="U190" s="876"/>
      <c r="V190" s="876"/>
      <c r="W190" s="876"/>
      <c r="X190" s="876"/>
      <c r="Y190" s="876"/>
      <c r="Z190" s="876"/>
      <c r="AA190" s="876"/>
      <c r="AB190" s="876"/>
      <c r="AC190" s="876"/>
      <c r="AD190" s="876"/>
      <c r="AE190" s="876"/>
      <c r="AF190" s="876"/>
      <c r="AG190" s="876"/>
      <c r="AH190" s="876"/>
      <c r="AI190" s="876"/>
      <c r="AJ190" s="876"/>
    </row>
    <row r="191" spans="1:36">
      <c r="A191" s="876"/>
      <c r="B191" s="1198" t="s">
        <v>1298</v>
      </c>
      <c r="C191" s="1199">
        <f>+MAX(F3:G3)</f>
        <v>1.05</v>
      </c>
      <c r="D191" s="1199">
        <f>+MAX(F4:G4)</f>
        <v>1.05</v>
      </c>
      <c r="E191" s="1199">
        <f>+MAX(F5:G5)</f>
        <v>1.05</v>
      </c>
      <c r="F191" s="1199">
        <f>+MAX(F6:G6)</f>
        <v>1.05</v>
      </c>
      <c r="G191" s="1199">
        <f>+MAX(F7:G7)</f>
        <v>1.05</v>
      </c>
      <c r="H191" s="1199">
        <f>+MAX(F8:G8)</f>
        <v>1.05</v>
      </c>
      <c r="I191" s="1199">
        <f>+MAX(F9:G9)</f>
        <v>1.05</v>
      </c>
      <c r="J191" s="876"/>
      <c r="K191" s="876"/>
      <c r="L191" s="876"/>
      <c r="M191" s="876"/>
      <c r="N191" s="876"/>
      <c r="O191" s="876"/>
      <c r="P191" s="876"/>
      <c r="Q191" s="876"/>
      <c r="R191" s="876"/>
      <c r="S191" s="876"/>
      <c r="T191" s="876"/>
      <c r="U191" s="876"/>
      <c r="V191" s="876"/>
      <c r="W191" s="876"/>
      <c r="X191" s="876"/>
      <c r="Y191" s="876"/>
      <c r="Z191" s="876"/>
      <c r="AA191" s="876"/>
      <c r="AB191" s="876"/>
      <c r="AC191" s="876"/>
      <c r="AD191" s="876"/>
      <c r="AE191" s="876"/>
      <c r="AF191" s="876"/>
      <c r="AG191" s="876"/>
      <c r="AH191" s="876"/>
      <c r="AI191" s="876"/>
      <c r="AJ191" s="876"/>
    </row>
    <row r="192" spans="1:36">
      <c r="A192" s="876"/>
      <c r="B192" s="876"/>
      <c r="C192" s="876"/>
      <c r="D192" s="876"/>
      <c r="E192" s="876"/>
      <c r="F192" s="876"/>
      <c r="G192" s="876"/>
      <c r="H192" s="876"/>
      <c r="I192" s="876"/>
      <c r="J192" s="876"/>
      <c r="K192" s="876"/>
      <c r="L192" s="876"/>
      <c r="M192" s="876"/>
      <c r="N192" s="876"/>
      <c r="O192" s="876"/>
      <c r="P192" s="876"/>
      <c r="Q192" s="876"/>
      <c r="R192" s="876"/>
      <c r="S192" s="876"/>
      <c r="T192" s="876"/>
      <c r="U192" s="876"/>
      <c r="V192" s="876"/>
      <c r="W192" s="876"/>
      <c r="X192" s="876"/>
      <c r="Y192" s="876"/>
      <c r="Z192" s="876"/>
      <c r="AA192" s="876"/>
      <c r="AB192" s="876"/>
      <c r="AC192" s="876"/>
      <c r="AD192" s="876"/>
      <c r="AE192" s="876"/>
      <c r="AF192" s="876"/>
      <c r="AG192" s="876"/>
      <c r="AH192" s="876"/>
      <c r="AI192" s="876"/>
      <c r="AJ192" s="876"/>
    </row>
    <row r="193" spans="1:36">
      <c r="A193" s="876"/>
      <c r="B193" s="876"/>
      <c r="C193" s="876"/>
      <c r="D193" s="876"/>
      <c r="E193" s="876"/>
      <c r="F193" s="876"/>
      <c r="G193" s="876"/>
      <c r="H193" s="876"/>
      <c r="I193" s="876"/>
      <c r="J193" s="876"/>
      <c r="K193" s="876"/>
      <c r="L193" s="876"/>
      <c r="M193" s="876"/>
      <c r="N193" s="876"/>
      <c r="O193" s="876"/>
      <c r="P193" s="876"/>
      <c r="Q193" s="876"/>
      <c r="R193" s="876"/>
      <c r="S193" s="876"/>
      <c r="T193" s="876"/>
      <c r="U193" s="876"/>
      <c r="V193" s="876"/>
      <c r="W193" s="876"/>
      <c r="X193" s="876"/>
      <c r="Y193" s="876"/>
      <c r="Z193" s="876"/>
      <c r="AA193" s="876"/>
      <c r="AB193" s="876"/>
      <c r="AC193" s="876"/>
      <c r="AD193" s="876"/>
      <c r="AE193" s="876"/>
      <c r="AF193" s="876"/>
      <c r="AG193" s="876"/>
      <c r="AH193" s="876"/>
      <c r="AI193" s="876"/>
      <c r="AJ193" s="876"/>
    </row>
    <row r="194" spans="1:36">
      <c r="A194" s="876"/>
      <c r="B194" s="877" t="s">
        <v>1305</v>
      </c>
      <c r="C194" s="876">
        <f>+MATCH(R12,C50:Y50,0)</f>
        <v>9</v>
      </c>
      <c r="D194" s="876"/>
      <c r="E194" s="876"/>
      <c r="F194" s="876"/>
      <c r="G194" s="876"/>
      <c r="H194" s="876"/>
      <c r="I194" s="876"/>
      <c r="J194" s="876"/>
      <c r="K194" s="876"/>
      <c r="L194" s="876"/>
      <c r="M194" s="876"/>
      <c r="N194" s="876"/>
      <c r="O194" s="876"/>
      <c r="P194" s="876"/>
      <c r="Q194" s="876"/>
      <c r="R194" s="876"/>
      <c r="S194" s="876"/>
      <c r="T194" s="876"/>
      <c r="U194" s="876"/>
      <c r="V194" s="876"/>
      <c r="W194" s="876"/>
      <c r="X194" s="876"/>
      <c r="Y194" s="876"/>
      <c r="Z194" s="876"/>
      <c r="AA194" s="876"/>
      <c r="AB194" s="876"/>
      <c r="AC194" s="876"/>
      <c r="AD194" s="876"/>
      <c r="AE194" s="876"/>
      <c r="AF194" s="876"/>
      <c r="AG194" s="876"/>
      <c r="AH194" s="876"/>
      <c r="AI194" s="876"/>
      <c r="AJ194" s="876"/>
    </row>
    <row r="195" spans="1:36">
      <c r="A195" s="876"/>
      <c r="B195" s="877" t="s">
        <v>1301</v>
      </c>
      <c r="C195" s="876">
        <f ca="1">+MIN(OFFSET($B$251:$B$2250,0,C194))</f>
        <v>1.0539429465430465</v>
      </c>
      <c r="D195" s="876"/>
      <c r="E195" s="876"/>
      <c r="F195" s="876"/>
      <c r="G195" s="876"/>
      <c r="H195" s="876"/>
      <c r="I195" s="876"/>
      <c r="J195" s="876"/>
      <c r="K195" s="876"/>
      <c r="L195" s="876"/>
      <c r="M195" s="876"/>
      <c r="N195" s="876"/>
      <c r="O195" s="876"/>
      <c r="P195" s="876"/>
      <c r="Q195" s="876"/>
      <c r="R195" s="876"/>
      <c r="S195" s="876"/>
      <c r="T195" s="876"/>
      <c r="U195" s="876"/>
      <c r="V195" s="876"/>
      <c r="W195" s="876"/>
      <c r="X195" s="876"/>
      <c r="Y195" s="876"/>
      <c r="Z195" s="876"/>
      <c r="AA195" s="876"/>
      <c r="AB195" s="876"/>
      <c r="AC195" s="876"/>
      <c r="AD195" s="876"/>
      <c r="AE195" s="876"/>
      <c r="AF195" s="876"/>
      <c r="AG195" s="876"/>
      <c r="AH195" s="876"/>
      <c r="AI195" s="876"/>
      <c r="AJ195" s="876"/>
    </row>
    <row r="196" spans="1:36">
      <c r="A196" s="876"/>
      <c r="B196" s="877" t="s">
        <v>1306</v>
      </c>
      <c r="C196" s="876">
        <f ca="1">+MAX(OFFSET($B$251:$B$2250,0,C194))</f>
        <v>1.0958760867431463</v>
      </c>
      <c r="D196" s="876"/>
      <c r="E196" s="876"/>
      <c r="F196" s="876"/>
      <c r="G196" s="876"/>
      <c r="H196" s="876"/>
      <c r="I196" s="876"/>
      <c r="J196" s="876"/>
      <c r="K196" s="876"/>
      <c r="L196" s="876"/>
      <c r="M196" s="876"/>
      <c r="N196" s="876"/>
      <c r="O196" s="876"/>
      <c r="P196" s="876"/>
      <c r="Q196" s="876"/>
      <c r="R196" s="876"/>
      <c r="S196" s="876"/>
      <c r="T196" s="876"/>
      <c r="U196" s="876"/>
      <c r="V196" s="876"/>
      <c r="W196" s="876"/>
      <c r="X196" s="876"/>
      <c r="Y196" s="876"/>
      <c r="Z196" s="876"/>
      <c r="AA196" s="876"/>
      <c r="AB196" s="876"/>
      <c r="AC196" s="876"/>
      <c r="AD196" s="876"/>
      <c r="AE196" s="876"/>
      <c r="AF196" s="876"/>
      <c r="AG196" s="876"/>
      <c r="AH196" s="876"/>
      <c r="AI196" s="876"/>
      <c r="AJ196" s="876"/>
    </row>
    <row r="197" spans="1:36">
      <c r="A197" s="876"/>
      <c r="B197" s="877" t="s">
        <v>1308</v>
      </c>
      <c r="C197" s="876">
        <f ca="1">+C196-C195</f>
        <v>4.193314020009975E-2</v>
      </c>
      <c r="D197" s="876"/>
      <c r="E197" s="876"/>
      <c r="F197" s="876"/>
      <c r="G197" s="876"/>
      <c r="H197" s="876"/>
      <c r="I197" s="876"/>
      <c r="J197" s="876"/>
      <c r="K197" s="876"/>
      <c r="L197" s="876"/>
      <c r="M197" s="876"/>
      <c r="N197" s="876"/>
      <c r="O197" s="876"/>
      <c r="P197" s="876"/>
      <c r="Q197" s="876"/>
      <c r="R197" s="876"/>
      <c r="S197" s="876"/>
      <c r="T197" s="876"/>
      <c r="U197" s="876"/>
      <c r="V197" s="876"/>
      <c r="W197" s="876"/>
      <c r="X197" s="876"/>
      <c r="Y197" s="876"/>
      <c r="Z197" s="876"/>
      <c r="AA197" s="876"/>
      <c r="AB197" s="876"/>
      <c r="AC197" s="876"/>
      <c r="AD197" s="876"/>
      <c r="AE197" s="876"/>
      <c r="AF197" s="876"/>
      <c r="AG197" s="876"/>
      <c r="AH197" s="876"/>
      <c r="AI197" s="876"/>
      <c r="AJ197" s="876"/>
    </row>
    <row r="198" spans="1:36">
      <c r="A198" s="876"/>
      <c r="B198" s="877" t="s">
        <v>1307</v>
      </c>
      <c r="C198" s="876">
        <f ca="1">+OFFSET(B199,0,C194)</f>
        <v>1</v>
      </c>
      <c r="D198" s="876"/>
      <c r="E198" s="876"/>
      <c r="F198" s="876"/>
      <c r="G198" s="876"/>
      <c r="H198" s="876"/>
      <c r="I198" s="876"/>
      <c r="J198" s="876"/>
      <c r="K198" s="876"/>
      <c r="L198" s="876"/>
      <c r="M198" s="876"/>
      <c r="N198" s="876"/>
      <c r="O198" s="876"/>
      <c r="P198" s="876"/>
      <c r="Q198" s="876"/>
      <c r="R198" s="876"/>
      <c r="S198" s="876"/>
      <c r="T198" s="876"/>
      <c r="U198" s="876"/>
      <c r="V198" s="876"/>
      <c r="W198" s="876"/>
      <c r="X198" s="876"/>
      <c r="Y198" s="876"/>
      <c r="Z198" s="876"/>
      <c r="AA198" s="876"/>
      <c r="AB198" s="876"/>
      <c r="AC198" s="876"/>
      <c r="AD198" s="876"/>
      <c r="AE198" s="876"/>
      <c r="AF198" s="876"/>
      <c r="AG198" s="876"/>
      <c r="AH198" s="876"/>
      <c r="AI198" s="876"/>
      <c r="AJ198" s="876"/>
    </row>
    <row r="199" spans="1:36">
      <c r="A199" s="876"/>
      <c r="B199" s="877" t="s">
        <v>1307</v>
      </c>
      <c r="C199" s="1196">
        <f ca="1">+C3</f>
        <v>0.9</v>
      </c>
      <c r="D199" s="1203">
        <f ca="1">+C4</f>
        <v>483024</v>
      </c>
      <c r="E199" s="1196">
        <f ca="1">+C5</f>
        <v>0.08</v>
      </c>
      <c r="F199" s="1196">
        <f>+C6</f>
        <v>1</v>
      </c>
      <c r="G199" s="1196">
        <f>+C7</f>
        <v>1</v>
      </c>
      <c r="H199" s="1203">
        <f ca="1">+C8</f>
        <v>283662140.38892555</v>
      </c>
      <c r="I199" s="1203">
        <f ca="1">+C9</f>
        <v>13562750.499464674</v>
      </c>
      <c r="J199" s="876"/>
      <c r="K199" s="876">
        <v>1</v>
      </c>
      <c r="L199" s="876">
        <v>1</v>
      </c>
      <c r="M199" s="876">
        <v>1</v>
      </c>
      <c r="N199" s="876">
        <v>1</v>
      </c>
      <c r="O199" s="876">
        <v>1</v>
      </c>
      <c r="P199" s="876">
        <v>1</v>
      </c>
      <c r="Q199" s="876">
        <v>1</v>
      </c>
      <c r="R199" s="876">
        <v>1</v>
      </c>
      <c r="S199" s="876">
        <v>1</v>
      </c>
      <c r="T199" s="876">
        <v>1</v>
      </c>
      <c r="U199" s="876">
        <v>1</v>
      </c>
      <c r="V199" s="876">
        <v>1</v>
      </c>
      <c r="W199" s="876">
        <v>1</v>
      </c>
      <c r="X199" s="876">
        <v>1</v>
      </c>
      <c r="Y199" s="876"/>
      <c r="Z199" s="876"/>
      <c r="AA199" s="876"/>
      <c r="AB199" s="876"/>
      <c r="AC199" s="876"/>
      <c r="AD199" s="876"/>
      <c r="AE199" s="876"/>
      <c r="AF199" s="876"/>
      <c r="AG199" s="876"/>
      <c r="AH199" s="876"/>
      <c r="AI199" s="876"/>
      <c r="AJ199" s="876"/>
    </row>
    <row r="200" spans="1:36">
      <c r="A200" s="876"/>
      <c r="B200" s="877" t="s">
        <v>1304</v>
      </c>
      <c r="C200" s="876"/>
      <c r="D200" s="876"/>
      <c r="E200" s="876"/>
      <c r="F200" s="876"/>
      <c r="G200" s="876"/>
      <c r="H200" s="876"/>
      <c r="I200" s="876"/>
      <c r="J200" s="876"/>
      <c r="K200" s="876"/>
      <c r="L200" s="876"/>
      <c r="M200" s="876"/>
      <c r="N200" s="876"/>
      <c r="O200" s="876"/>
      <c r="P200" s="876"/>
      <c r="Q200" s="876"/>
      <c r="R200" s="876"/>
      <c r="S200" s="876"/>
      <c r="T200" s="876"/>
      <c r="U200" s="876"/>
      <c r="V200" s="876"/>
      <c r="W200" s="876"/>
      <c r="X200" s="876"/>
      <c r="Y200" s="876"/>
      <c r="Z200" s="876"/>
      <c r="AA200" s="876"/>
      <c r="AB200" s="876"/>
      <c r="AC200" s="876"/>
      <c r="AD200" s="876"/>
      <c r="AE200" s="876"/>
      <c r="AF200" s="876"/>
      <c r="AG200" s="876"/>
      <c r="AH200" s="876"/>
      <c r="AI200" s="876"/>
      <c r="AJ200" s="876"/>
    </row>
    <row r="201" spans="1:36">
      <c r="A201" s="876"/>
      <c r="B201" s="877" t="s">
        <v>1301</v>
      </c>
      <c r="C201" s="877" t="s">
        <v>1302</v>
      </c>
      <c r="D201" s="876"/>
      <c r="E201" s="877" t="s">
        <v>1309</v>
      </c>
      <c r="F201" s="877" t="s">
        <v>1310</v>
      </c>
      <c r="G201" s="877" t="s">
        <v>1311</v>
      </c>
      <c r="H201" s="877" t="s">
        <v>1312</v>
      </c>
      <c r="I201" s="877" t="s">
        <v>1313</v>
      </c>
      <c r="J201" s="876"/>
      <c r="K201" s="876"/>
      <c r="L201" s="876"/>
      <c r="M201" s="876"/>
      <c r="N201" s="876"/>
      <c r="O201" s="876"/>
      <c r="P201" s="876"/>
      <c r="Q201" s="876"/>
      <c r="R201" s="876"/>
      <c r="S201" s="876"/>
      <c r="T201" s="876"/>
      <c r="U201" s="876"/>
      <c r="V201" s="876"/>
      <c r="W201" s="876"/>
      <c r="X201" s="876"/>
      <c r="Y201" s="876"/>
      <c r="Z201" s="876"/>
      <c r="AA201" s="876"/>
      <c r="AB201" s="876"/>
      <c r="AC201" s="876"/>
      <c r="AD201" s="876"/>
      <c r="AE201" s="876"/>
      <c r="AF201" s="876"/>
      <c r="AG201" s="876"/>
      <c r="AH201" s="876"/>
      <c r="AI201" s="876"/>
      <c r="AJ201" s="876"/>
    </row>
    <row r="202" spans="1:36">
      <c r="A202" s="876"/>
      <c r="B202" s="881">
        <f ca="1">+C195</f>
        <v>1.0539429465430465</v>
      </c>
      <c r="C202" s="1201">
        <f ca="1">+B202+($C$197/20)</f>
        <v>1.0560396035530515</v>
      </c>
      <c r="D202" s="876">
        <f t="shared" ref="D202:D221" ca="1" si="55">+COUNTIFS(OFFSET(B$251:B$2250,0,$C$194),"&gt;="&amp;$B202,
OFFSET(B$251:B$2250,0,$C$194),"&lt;="&amp;$C202)</f>
        <v>2</v>
      </c>
      <c r="E202" s="1204">
        <f ca="1">+B202*$C$198</f>
        <v>1.0539429465430465</v>
      </c>
      <c r="F202" s="1204">
        <f ca="1">+C202*$C$198</f>
        <v>1.0560396035530515</v>
      </c>
      <c r="G202" s="1203">
        <f ca="1">+AVERAGE(E202:F202)</f>
        <v>1.054991275048049</v>
      </c>
      <c r="H202" s="876">
        <f ca="1">+D202/$D$223</f>
        <v>1E-3</v>
      </c>
      <c r="I202" s="876">
        <f ca="1">+H202</f>
        <v>1E-3</v>
      </c>
      <c r="J202" s="876"/>
      <c r="K202" s="876"/>
      <c r="L202" s="876"/>
      <c r="M202" s="876"/>
      <c r="N202" s="876"/>
      <c r="O202" s="876"/>
      <c r="P202" s="876"/>
      <c r="Q202" s="876"/>
      <c r="R202" s="876"/>
      <c r="S202" s="876"/>
      <c r="T202" s="876"/>
      <c r="U202" s="876"/>
      <c r="V202" s="876"/>
      <c r="W202" s="876"/>
      <c r="X202" s="876"/>
      <c r="Y202" s="876"/>
      <c r="Z202" s="876"/>
      <c r="AA202" s="876"/>
      <c r="AB202" s="876"/>
      <c r="AC202" s="876"/>
      <c r="AD202" s="876"/>
      <c r="AE202" s="876"/>
      <c r="AF202" s="876"/>
      <c r="AG202" s="876"/>
      <c r="AH202" s="876"/>
      <c r="AI202" s="876"/>
      <c r="AJ202" s="876"/>
    </row>
    <row r="203" spans="1:36">
      <c r="A203" s="876"/>
      <c r="B203" s="881">
        <f ca="1">+C202</f>
        <v>1.0560396035530515</v>
      </c>
      <c r="C203" s="1201">
        <f t="shared" ref="C203:C220" ca="1" si="56">+B203+($C$197/20)</f>
        <v>1.0581362605630564</v>
      </c>
      <c r="D203" s="876">
        <f t="shared" ca="1" si="55"/>
        <v>4</v>
      </c>
      <c r="E203" s="1204">
        <f t="shared" ref="E203:E221" ca="1" si="57">+B203*$C$198</f>
        <v>1.0560396035530515</v>
      </c>
      <c r="F203" s="1204">
        <f t="shared" ref="F203:F222" ca="1" si="58">+C203*$C$198</f>
        <v>1.0581362605630564</v>
      </c>
      <c r="G203" s="1203">
        <f t="shared" ref="G203:G222" ca="1" si="59">+AVERAGE(E203:F203)</f>
        <v>1.057087932058054</v>
      </c>
      <c r="H203" s="876">
        <f t="shared" ref="H203:H221" ca="1" si="60">+D203/$D$223</f>
        <v>2E-3</v>
      </c>
      <c r="I203" s="876">
        <f ca="1">+I202+H203</f>
        <v>3.0000000000000001E-3</v>
      </c>
      <c r="J203" s="876"/>
      <c r="K203" s="876"/>
      <c r="L203" s="876"/>
      <c r="M203" s="876"/>
      <c r="N203" s="876"/>
      <c r="O203" s="876"/>
      <c r="P203" s="876"/>
      <c r="Q203" s="876"/>
      <c r="R203" s="876"/>
      <c r="S203" s="876"/>
      <c r="T203" s="876"/>
      <c r="U203" s="876"/>
      <c r="V203" s="876"/>
      <c r="W203" s="876"/>
      <c r="X203" s="876"/>
      <c r="Y203" s="876"/>
      <c r="Z203" s="876"/>
      <c r="AA203" s="876"/>
      <c r="AB203" s="876"/>
      <c r="AC203" s="876"/>
      <c r="AD203" s="876"/>
      <c r="AE203" s="876"/>
      <c r="AF203" s="876"/>
      <c r="AG203" s="876"/>
      <c r="AH203" s="876"/>
      <c r="AI203" s="876"/>
      <c r="AJ203" s="876"/>
    </row>
    <row r="204" spans="1:36">
      <c r="A204" s="876"/>
      <c r="B204" s="881">
        <f t="shared" ref="B204:B221" ca="1" si="61">+C203</f>
        <v>1.0581362605630564</v>
      </c>
      <c r="C204" s="1201">
        <f t="shared" ca="1" si="56"/>
        <v>1.0602329175730614</v>
      </c>
      <c r="D204" s="876">
        <f t="shared" ca="1" si="55"/>
        <v>17</v>
      </c>
      <c r="E204" s="1204">
        <f t="shared" ca="1" si="57"/>
        <v>1.0581362605630564</v>
      </c>
      <c r="F204" s="1204">
        <f t="shared" ca="1" si="58"/>
        <v>1.0602329175730614</v>
      </c>
      <c r="G204" s="1203">
        <f t="shared" ca="1" si="59"/>
        <v>1.0591845890680589</v>
      </c>
      <c r="H204" s="876">
        <f t="shared" ca="1" si="60"/>
        <v>8.5000000000000006E-3</v>
      </c>
      <c r="I204" s="876">
        <f t="shared" ref="I204:I221" ca="1" si="62">+I203+H204</f>
        <v>1.15E-2</v>
      </c>
      <c r="J204" s="876"/>
      <c r="K204" s="876"/>
      <c r="L204" s="876"/>
      <c r="M204" s="876"/>
      <c r="N204" s="876"/>
      <c r="O204" s="876"/>
      <c r="P204" s="876"/>
      <c r="Q204" s="876"/>
      <c r="R204" s="876"/>
      <c r="S204" s="876"/>
      <c r="T204" s="876"/>
      <c r="U204" s="876"/>
      <c r="V204" s="876"/>
      <c r="W204" s="876"/>
      <c r="X204" s="876"/>
      <c r="Y204" s="876"/>
      <c r="Z204" s="876"/>
      <c r="AA204" s="876"/>
      <c r="AB204" s="876"/>
      <c r="AC204" s="876"/>
      <c r="AD204" s="876"/>
      <c r="AE204" s="876"/>
      <c r="AF204" s="876"/>
      <c r="AG204" s="876"/>
      <c r="AH204" s="876"/>
      <c r="AI204" s="876"/>
      <c r="AJ204" s="876"/>
    </row>
    <row r="205" spans="1:36">
      <c r="A205" s="876"/>
      <c r="B205" s="881">
        <f t="shared" ca="1" si="61"/>
        <v>1.0602329175730614</v>
      </c>
      <c r="C205" s="1201">
        <f t="shared" ca="1" si="56"/>
        <v>1.0623295745830663</v>
      </c>
      <c r="D205" s="876">
        <f t="shared" ca="1" si="55"/>
        <v>34</v>
      </c>
      <c r="E205" s="1204">
        <f t="shared" ca="1" si="57"/>
        <v>1.0602329175730614</v>
      </c>
      <c r="F205" s="1204">
        <f t="shared" ca="1" si="58"/>
        <v>1.0623295745830663</v>
      </c>
      <c r="G205" s="1203">
        <f t="shared" ca="1" si="59"/>
        <v>1.0612812460780638</v>
      </c>
      <c r="H205" s="876">
        <f t="shared" ca="1" si="60"/>
        <v>1.7000000000000001E-2</v>
      </c>
      <c r="I205" s="876">
        <f t="shared" ca="1" si="62"/>
        <v>2.8500000000000001E-2</v>
      </c>
      <c r="J205" s="876"/>
      <c r="K205" s="876"/>
      <c r="L205" s="876"/>
      <c r="M205" s="876"/>
      <c r="N205" s="876"/>
      <c r="O205" s="876"/>
      <c r="P205" s="876"/>
      <c r="Q205" s="876"/>
      <c r="R205" s="876"/>
      <c r="S205" s="876"/>
      <c r="T205" s="876"/>
      <c r="U205" s="876"/>
      <c r="V205" s="876"/>
      <c r="W205" s="876"/>
      <c r="X205" s="876"/>
      <c r="Y205" s="876"/>
      <c r="Z205" s="876"/>
      <c r="AA205" s="876"/>
      <c r="AB205" s="876"/>
      <c r="AC205" s="876"/>
      <c r="AD205" s="876"/>
      <c r="AE205" s="876"/>
      <c r="AF205" s="876"/>
      <c r="AG205" s="876"/>
      <c r="AH205" s="876"/>
      <c r="AI205" s="876"/>
      <c r="AJ205" s="876"/>
    </row>
    <row r="206" spans="1:36">
      <c r="A206" s="876"/>
      <c r="B206" s="881">
        <f t="shared" ca="1" si="61"/>
        <v>1.0623295745830663</v>
      </c>
      <c r="C206" s="1201">
        <f t="shared" ca="1" si="56"/>
        <v>1.0644262315930713</v>
      </c>
      <c r="D206" s="876">
        <f t="shared" ca="1" si="55"/>
        <v>58</v>
      </c>
      <c r="E206" s="1204">
        <f t="shared" ca="1" si="57"/>
        <v>1.0623295745830663</v>
      </c>
      <c r="F206" s="1204">
        <f t="shared" ca="1" si="58"/>
        <v>1.0644262315930713</v>
      </c>
      <c r="G206" s="1203">
        <f t="shared" ca="1" si="59"/>
        <v>1.0633779030880688</v>
      </c>
      <c r="H206" s="876">
        <f t="shared" ca="1" si="60"/>
        <v>2.9000000000000001E-2</v>
      </c>
      <c r="I206" s="876">
        <f t="shared" ca="1" si="62"/>
        <v>5.7500000000000002E-2</v>
      </c>
      <c r="J206" s="876"/>
      <c r="K206" s="876"/>
      <c r="L206" s="876"/>
      <c r="M206" s="876"/>
      <c r="N206" s="876"/>
      <c r="O206" s="876"/>
      <c r="P206" s="876"/>
      <c r="Q206" s="876"/>
      <c r="R206" s="876"/>
      <c r="S206" s="876"/>
      <c r="T206" s="876"/>
      <c r="U206" s="876"/>
      <c r="V206" s="876"/>
      <c r="W206" s="876"/>
      <c r="X206" s="876"/>
      <c r="Y206" s="876"/>
      <c r="Z206" s="876"/>
      <c r="AA206" s="876"/>
      <c r="AB206" s="876"/>
      <c r="AC206" s="876"/>
      <c r="AD206" s="876"/>
      <c r="AE206" s="876"/>
      <c r="AF206" s="876"/>
      <c r="AG206" s="876"/>
      <c r="AH206" s="876"/>
      <c r="AI206" s="876"/>
      <c r="AJ206" s="876"/>
    </row>
    <row r="207" spans="1:36">
      <c r="A207" s="876"/>
      <c r="B207" s="881">
        <f t="shared" ca="1" si="61"/>
        <v>1.0644262315930713</v>
      </c>
      <c r="C207" s="1201">
        <f t="shared" ca="1" si="56"/>
        <v>1.0665228886030762</v>
      </c>
      <c r="D207" s="876">
        <f t="shared" ca="1" si="55"/>
        <v>105</v>
      </c>
      <c r="E207" s="1204">
        <f t="shared" ca="1" si="57"/>
        <v>1.0644262315930713</v>
      </c>
      <c r="F207" s="1204">
        <f t="shared" ca="1" si="58"/>
        <v>1.0665228886030762</v>
      </c>
      <c r="G207" s="1203">
        <f t="shared" ca="1" si="59"/>
        <v>1.0654745600980737</v>
      </c>
      <c r="H207" s="876">
        <f t="shared" ca="1" si="60"/>
        <v>5.2499999999999998E-2</v>
      </c>
      <c r="I207" s="876">
        <f t="shared" ca="1" si="62"/>
        <v>0.11</v>
      </c>
      <c r="J207" s="876"/>
      <c r="K207" s="876"/>
      <c r="L207" s="876"/>
      <c r="M207" s="876"/>
      <c r="N207" s="876"/>
      <c r="O207" s="876"/>
      <c r="P207" s="876"/>
      <c r="Q207" s="876"/>
      <c r="R207" s="876"/>
      <c r="S207" s="876"/>
      <c r="T207" s="876"/>
      <c r="U207" s="876"/>
      <c r="V207" s="876"/>
      <c r="W207" s="876"/>
      <c r="X207" s="876"/>
      <c r="Y207" s="876"/>
      <c r="Z207" s="876"/>
      <c r="AA207" s="876"/>
      <c r="AB207" s="876"/>
      <c r="AC207" s="876"/>
      <c r="AD207" s="876"/>
      <c r="AE207" s="876"/>
      <c r="AF207" s="876"/>
      <c r="AG207" s="876"/>
      <c r="AH207" s="876"/>
      <c r="AI207" s="876"/>
      <c r="AJ207" s="876"/>
    </row>
    <row r="208" spans="1:36">
      <c r="A208" s="876"/>
      <c r="B208" s="881">
        <f t="shared" ca="1" si="61"/>
        <v>1.0665228886030762</v>
      </c>
      <c r="C208" s="1201">
        <f t="shared" ca="1" si="56"/>
        <v>1.0686195456130811</v>
      </c>
      <c r="D208" s="876">
        <f t="shared" ca="1" si="55"/>
        <v>138</v>
      </c>
      <c r="E208" s="1204">
        <f t="shared" ca="1" si="57"/>
        <v>1.0665228886030762</v>
      </c>
      <c r="F208" s="1204">
        <f t="shared" ca="1" si="58"/>
        <v>1.0686195456130811</v>
      </c>
      <c r="G208" s="1203">
        <f t="shared" ca="1" si="59"/>
        <v>1.0675712171080787</v>
      </c>
      <c r="H208" s="876">
        <f t="shared" ca="1" si="60"/>
        <v>6.9000000000000006E-2</v>
      </c>
      <c r="I208" s="876">
        <f t="shared" ca="1" si="62"/>
        <v>0.17899999999999999</v>
      </c>
      <c r="J208" s="876"/>
      <c r="K208" s="876"/>
      <c r="L208" s="876"/>
      <c r="M208" s="876"/>
      <c r="N208" s="876"/>
      <c r="O208" s="876"/>
      <c r="P208" s="876"/>
      <c r="Q208" s="876"/>
      <c r="R208" s="876"/>
      <c r="S208" s="876"/>
      <c r="T208" s="876"/>
      <c r="U208" s="876"/>
      <c r="V208" s="876"/>
      <c r="W208" s="876"/>
      <c r="X208" s="876"/>
      <c r="Y208" s="876"/>
      <c r="Z208" s="876"/>
      <c r="AA208" s="876"/>
      <c r="AB208" s="876"/>
      <c r="AC208" s="876"/>
      <c r="AD208" s="876"/>
      <c r="AE208" s="876"/>
      <c r="AF208" s="876"/>
      <c r="AG208" s="876"/>
      <c r="AH208" s="876"/>
      <c r="AI208" s="876"/>
      <c r="AJ208" s="876"/>
    </row>
    <row r="209" spans="1:36">
      <c r="A209" s="876"/>
      <c r="B209" s="881">
        <f t="shared" ca="1" si="61"/>
        <v>1.0686195456130811</v>
      </c>
      <c r="C209" s="1201">
        <f t="shared" ca="1" si="56"/>
        <v>1.0707162026230861</v>
      </c>
      <c r="D209" s="876">
        <f t="shared" ca="1" si="55"/>
        <v>189</v>
      </c>
      <c r="E209" s="1204">
        <f t="shared" ca="1" si="57"/>
        <v>1.0686195456130811</v>
      </c>
      <c r="F209" s="1204">
        <f t="shared" ca="1" si="58"/>
        <v>1.0707162026230861</v>
      </c>
      <c r="G209" s="1203">
        <f t="shared" ca="1" si="59"/>
        <v>1.0696678741180836</v>
      </c>
      <c r="H209" s="876">
        <f t="shared" ca="1" si="60"/>
        <v>9.4500000000000001E-2</v>
      </c>
      <c r="I209" s="876">
        <f t="shared" ca="1" si="62"/>
        <v>0.27349999999999997</v>
      </c>
      <c r="J209" s="876"/>
      <c r="K209" s="876"/>
      <c r="L209" s="876"/>
      <c r="M209" s="876"/>
      <c r="N209" s="876"/>
      <c r="O209" s="876"/>
      <c r="P209" s="876"/>
      <c r="Q209" s="876"/>
      <c r="R209" s="876"/>
      <c r="S209" s="876"/>
      <c r="T209" s="876"/>
      <c r="U209" s="876"/>
      <c r="V209" s="876"/>
      <c r="W209" s="876"/>
      <c r="X209" s="876"/>
      <c r="Y209" s="876"/>
      <c r="Z209" s="876"/>
      <c r="AA209" s="876"/>
      <c r="AB209" s="876"/>
      <c r="AC209" s="876"/>
      <c r="AD209" s="876"/>
      <c r="AE209" s="876"/>
      <c r="AF209" s="876"/>
      <c r="AG209" s="876"/>
      <c r="AH209" s="876"/>
      <c r="AI209" s="876"/>
      <c r="AJ209" s="876"/>
    </row>
    <row r="210" spans="1:36">
      <c r="A210" s="876"/>
      <c r="B210" s="881">
        <f t="shared" ca="1" si="61"/>
        <v>1.0707162026230861</v>
      </c>
      <c r="C210" s="1201">
        <f t="shared" ca="1" si="56"/>
        <v>1.072812859633091</v>
      </c>
      <c r="D210" s="876">
        <f t="shared" ca="1" si="55"/>
        <v>219</v>
      </c>
      <c r="E210" s="1204">
        <f t="shared" ca="1" si="57"/>
        <v>1.0707162026230861</v>
      </c>
      <c r="F210" s="1204">
        <f t="shared" ca="1" si="58"/>
        <v>1.072812859633091</v>
      </c>
      <c r="G210" s="1203">
        <f t="shared" ca="1" si="59"/>
        <v>1.0717645311280886</v>
      </c>
      <c r="H210" s="876">
        <f t="shared" ca="1" si="60"/>
        <v>0.1095</v>
      </c>
      <c r="I210" s="876">
        <f t="shared" ca="1" si="62"/>
        <v>0.38299999999999995</v>
      </c>
      <c r="J210" s="876"/>
      <c r="K210" s="876"/>
      <c r="L210" s="876"/>
      <c r="M210" s="876"/>
      <c r="N210" s="876"/>
      <c r="O210" s="876"/>
      <c r="P210" s="876"/>
      <c r="Q210" s="876"/>
      <c r="R210" s="876"/>
      <c r="S210" s="876"/>
      <c r="T210" s="876"/>
      <c r="U210" s="876"/>
      <c r="V210" s="876"/>
      <c r="W210" s="876"/>
      <c r="X210" s="876"/>
      <c r="Y210" s="876"/>
      <c r="Z210" s="876"/>
      <c r="AA210" s="876"/>
      <c r="AB210" s="876"/>
      <c r="AC210" s="876"/>
      <c r="AD210" s="876"/>
      <c r="AE210" s="876"/>
      <c r="AF210" s="876"/>
      <c r="AG210" s="876"/>
      <c r="AH210" s="876"/>
      <c r="AI210" s="876"/>
      <c r="AJ210" s="876"/>
    </row>
    <row r="211" spans="1:36">
      <c r="A211" s="876"/>
      <c r="B211" s="881">
        <f t="shared" ca="1" si="61"/>
        <v>1.072812859633091</v>
      </c>
      <c r="C211" s="1201">
        <f t="shared" ca="1" si="56"/>
        <v>1.074909516643096</v>
      </c>
      <c r="D211" s="876">
        <f t="shared" ca="1" si="55"/>
        <v>281</v>
      </c>
      <c r="E211" s="1204">
        <f t="shared" ca="1" si="57"/>
        <v>1.072812859633091</v>
      </c>
      <c r="F211" s="1204">
        <f t="shared" ca="1" si="58"/>
        <v>1.074909516643096</v>
      </c>
      <c r="G211" s="1203">
        <f t="shared" ca="1" si="59"/>
        <v>1.0738611881380935</v>
      </c>
      <c r="H211" s="876">
        <f t="shared" ca="1" si="60"/>
        <v>0.14050000000000001</v>
      </c>
      <c r="I211" s="876">
        <f t="shared" ca="1" si="62"/>
        <v>0.52349999999999997</v>
      </c>
      <c r="J211" s="876"/>
      <c r="K211" s="876"/>
      <c r="L211" s="876"/>
      <c r="M211" s="876"/>
      <c r="N211" s="876"/>
      <c r="O211" s="876"/>
      <c r="P211" s="876"/>
      <c r="Q211" s="876"/>
      <c r="R211" s="876"/>
      <c r="S211" s="876"/>
      <c r="T211" s="876"/>
      <c r="U211" s="876"/>
      <c r="V211" s="876"/>
      <c r="W211" s="876"/>
      <c r="X211" s="876"/>
      <c r="Y211" s="876"/>
      <c r="Z211" s="876"/>
      <c r="AA211" s="876"/>
      <c r="AB211" s="876"/>
      <c r="AC211" s="876"/>
      <c r="AD211" s="876"/>
      <c r="AE211" s="876"/>
      <c r="AF211" s="876"/>
      <c r="AG211" s="876"/>
      <c r="AH211" s="876"/>
      <c r="AI211" s="876"/>
      <c r="AJ211" s="876"/>
    </row>
    <row r="212" spans="1:36">
      <c r="A212" s="876"/>
      <c r="B212" s="881">
        <f t="shared" ca="1" si="61"/>
        <v>1.074909516643096</v>
      </c>
      <c r="C212" s="1201">
        <f t="shared" ca="1" si="56"/>
        <v>1.0770061736531009</v>
      </c>
      <c r="D212" s="876">
        <f t="shared" ca="1" si="55"/>
        <v>249</v>
      </c>
      <c r="E212" s="1204">
        <f t="shared" ca="1" si="57"/>
        <v>1.074909516643096</v>
      </c>
      <c r="F212" s="1204">
        <f t="shared" ca="1" si="58"/>
        <v>1.0770061736531009</v>
      </c>
      <c r="G212" s="1203">
        <f t="shared" ca="1" si="59"/>
        <v>1.0759578451480984</v>
      </c>
      <c r="H212" s="876">
        <f t="shared" ca="1" si="60"/>
        <v>0.1245</v>
      </c>
      <c r="I212" s="876">
        <f t="shared" ca="1" si="62"/>
        <v>0.64799999999999991</v>
      </c>
      <c r="J212" s="876"/>
      <c r="K212" s="876"/>
      <c r="L212" s="876"/>
      <c r="M212" s="876"/>
      <c r="N212" s="876"/>
      <c r="O212" s="876"/>
      <c r="P212" s="876"/>
      <c r="Q212" s="876"/>
      <c r="R212" s="876"/>
      <c r="S212" s="876"/>
      <c r="T212" s="876"/>
      <c r="U212" s="876"/>
      <c r="V212" s="876"/>
      <c r="W212" s="876"/>
      <c r="X212" s="876"/>
      <c r="Y212" s="876"/>
      <c r="Z212" s="876"/>
      <c r="AA212" s="876"/>
      <c r="AB212" s="876"/>
      <c r="AC212" s="876"/>
      <c r="AD212" s="876"/>
      <c r="AE212" s="876"/>
      <c r="AF212" s="876"/>
      <c r="AG212" s="876"/>
      <c r="AH212" s="876"/>
      <c r="AI212" s="876"/>
      <c r="AJ212" s="876"/>
    </row>
    <row r="213" spans="1:36">
      <c r="A213" s="876"/>
      <c r="B213" s="881">
        <f t="shared" ca="1" si="61"/>
        <v>1.0770061736531009</v>
      </c>
      <c r="C213" s="1201">
        <f t="shared" ca="1" si="56"/>
        <v>1.0791028306631059</v>
      </c>
      <c r="D213" s="876">
        <f t="shared" ca="1" si="55"/>
        <v>208</v>
      </c>
      <c r="E213" s="1204">
        <f t="shared" ca="1" si="57"/>
        <v>1.0770061736531009</v>
      </c>
      <c r="F213" s="1204">
        <f t="shared" ca="1" si="58"/>
        <v>1.0791028306631059</v>
      </c>
      <c r="G213" s="1203">
        <f t="shared" ca="1" si="59"/>
        <v>1.0780545021581034</v>
      </c>
      <c r="H213" s="876">
        <f t="shared" ca="1" si="60"/>
        <v>0.104</v>
      </c>
      <c r="I213" s="876">
        <f t="shared" ca="1" si="62"/>
        <v>0.75199999999999989</v>
      </c>
      <c r="J213" s="876"/>
      <c r="K213" s="876"/>
      <c r="L213" s="876"/>
      <c r="M213" s="876"/>
      <c r="N213" s="876"/>
      <c r="O213" s="876"/>
      <c r="P213" s="876"/>
      <c r="Q213" s="876"/>
      <c r="R213" s="876"/>
      <c r="S213" s="876"/>
      <c r="T213" s="876"/>
      <c r="U213" s="876"/>
      <c r="V213" s="876"/>
      <c r="W213" s="876"/>
      <c r="X213" s="876"/>
      <c r="Y213" s="876"/>
      <c r="Z213" s="876"/>
      <c r="AA213" s="876"/>
      <c r="AB213" s="876"/>
      <c r="AC213" s="876"/>
      <c r="AD213" s="876"/>
      <c r="AE213" s="876"/>
      <c r="AF213" s="876"/>
      <c r="AG213" s="876"/>
      <c r="AH213" s="876"/>
      <c r="AI213" s="876"/>
      <c r="AJ213" s="876"/>
    </row>
    <row r="214" spans="1:36">
      <c r="A214" s="876"/>
      <c r="B214" s="881">
        <f t="shared" ca="1" si="61"/>
        <v>1.0791028306631059</v>
      </c>
      <c r="C214" s="1201">
        <f t="shared" ca="1" si="56"/>
        <v>1.0811994876731108</v>
      </c>
      <c r="D214" s="876">
        <f t="shared" ca="1" si="55"/>
        <v>171</v>
      </c>
      <c r="E214" s="1204">
        <f t="shared" ca="1" si="57"/>
        <v>1.0791028306631059</v>
      </c>
      <c r="F214" s="1204">
        <f t="shared" ca="1" si="58"/>
        <v>1.0811994876731108</v>
      </c>
      <c r="G214" s="1203">
        <f t="shared" ca="1" si="59"/>
        <v>1.0801511591681083</v>
      </c>
      <c r="H214" s="876">
        <f t="shared" ca="1" si="60"/>
        <v>8.5500000000000007E-2</v>
      </c>
      <c r="I214" s="876">
        <f t="shared" ca="1" si="62"/>
        <v>0.83749999999999991</v>
      </c>
      <c r="J214" s="876"/>
      <c r="K214" s="876"/>
      <c r="L214" s="876"/>
      <c r="M214" s="876"/>
      <c r="N214" s="876"/>
      <c r="O214" s="876"/>
      <c r="P214" s="876"/>
      <c r="Q214" s="876"/>
      <c r="R214" s="876"/>
      <c r="S214" s="876"/>
      <c r="T214" s="876"/>
      <c r="U214" s="876"/>
      <c r="V214" s="876"/>
      <c r="W214" s="876"/>
      <c r="X214" s="876"/>
      <c r="Y214" s="876"/>
      <c r="Z214" s="876"/>
      <c r="AA214" s="876"/>
      <c r="AB214" s="876"/>
      <c r="AC214" s="876"/>
      <c r="AD214" s="876"/>
      <c r="AE214" s="876"/>
      <c r="AF214" s="876"/>
      <c r="AG214" s="876"/>
      <c r="AH214" s="876"/>
      <c r="AI214" s="876"/>
      <c r="AJ214" s="876"/>
    </row>
    <row r="215" spans="1:36">
      <c r="A215" s="876"/>
      <c r="B215" s="881">
        <f t="shared" ca="1" si="61"/>
        <v>1.0811994876731108</v>
      </c>
      <c r="C215" s="1201">
        <f t="shared" ca="1" si="56"/>
        <v>1.0832961446831157</v>
      </c>
      <c r="D215" s="876">
        <f t="shared" ca="1" si="55"/>
        <v>136</v>
      </c>
      <c r="E215" s="1204">
        <f t="shared" ca="1" si="57"/>
        <v>1.0811994876731108</v>
      </c>
      <c r="F215" s="1204">
        <f t="shared" ca="1" si="58"/>
        <v>1.0832961446831157</v>
      </c>
      <c r="G215" s="1203">
        <f t="shared" ca="1" si="59"/>
        <v>1.0822478161781133</v>
      </c>
      <c r="H215" s="876">
        <f t="shared" ca="1" si="60"/>
        <v>6.8000000000000005E-2</v>
      </c>
      <c r="I215" s="876">
        <f t="shared" ca="1" si="62"/>
        <v>0.90549999999999997</v>
      </c>
      <c r="J215" s="876"/>
      <c r="K215" s="876"/>
      <c r="L215" s="876"/>
      <c r="M215" s="876"/>
      <c r="N215" s="876"/>
      <c r="O215" s="876"/>
      <c r="P215" s="876"/>
      <c r="Q215" s="876"/>
      <c r="R215" s="876"/>
      <c r="S215" s="876"/>
      <c r="T215" s="876"/>
      <c r="U215" s="876"/>
      <c r="V215" s="876"/>
      <c r="W215" s="876"/>
      <c r="X215" s="876"/>
      <c r="Y215" s="876"/>
      <c r="Z215" s="876"/>
      <c r="AA215" s="876"/>
      <c r="AB215" s="876"/>
      <c r="AC215" s="876"/>
      <c r="AD215" s="876"/>
      <c r="AE215" s="876"/>
      <c r="AF215" s="876"/>
      <c r="AG215" s="876"/>
      <c r="AH215" s="876"/>
      <c r="AI215" s="876"/>
      <c r="AJ215" s="876"/>
    </row>
    <row r="216" spans="1:36">
      <c r="A216" s="876"/>
      <c r="B216" s="881">
        <f t="shared" ca="1" si="61"/>
        <v>1.0832961446831157</v>
      </c>
      <c r="C216" s="1201">
        <f t="shared" ca="1" si="56"/>
        <v>1.0853928016931207</v>
      </c>
      <c r="D216" s="876">
        <f t="shared" ca="1" si="55"/>
        <v>88</v>
      </c>
      <c r="E216" s="1204">
        <f t="shared" ca="1" si="57"/>
        <v>1.0832961446831157</v>
      </c>
      <c r="F216" s="1204">
        <f t="shared" ca="1" si="58"/>
        <v>1.0853928016931207</v>
      </c>
      <c r="G216" s="1203">
        <f t="shared" ca="1" si="59"/>
        <v>1.0843444731881182</v>
      </c>
      <c r="H216" s="876">
        <f t="shared" ca="1" si="60"/>
        <v>4.3999999999999997E-2</v>
      </c>
      <c r="I216" s="876">
        <f t="shared" ca="1" si="62"/>
        <v>0.94950000000000001</v>
      </c>
      <c r="J216" s="876"/>
      <c r="K216" s="876"/>
      <c r="L216" s="876"/>
      <c r="M216" s="876"/>
      <c r="N216" s="876"/>
      <c r="O216" s="876"/>
      <c r="P216" s="876"/>
      <c r="Q216" s="876"/>
      <c r="R216" s="876"/>
      <c r="S216" s="876"/>
      <c r="T216" s="876"/>
      <c r="U216" s="876"/>
      <c r="V216" s="876"/>
      <c r="W216" s="876"/>
      <c r="X216" s="876"/>
      <c r="Y216" s="876"/>
      <c r="Z216" s="876"/>
      <c r="AA216" s="876"/>
      <c r="AB216" s="876"/>
      <c r="AC216" s="876"/>
      <c r="AD216" s="876"/>
      <c r="AE216" s="876"/>
      <c r="AF216" s="876"/>
      <c r="AG216" s="876"/>
      <c r="AH216" s="876"/>
      <c r="AI216" s="876"/>
      <c r="AJ216" s="876"/>
    </row>
    <row r="217" spans="1:36">
      <c r="A217" s="876"/>
      <c r="B217" s="881">
        <f t="shared" ca="1" si="61"/>
        <v>1.0853928016931207</v>
      </c>
      <c r="C217" s="1201">
        <f t="shared" ca="1" si="56"/>
        <v>1.0874894587031256</v>
      </c>
      <c r="D217" s="876">
        <f t="shared" ca="1" si="55"/>
        <v>52</v>
      </c>
      <c r="E217" s="1204">
        <f t="shared" ca="1" si="57"/>
        <v>1.0853928016931207</v>
      </c>
      <c r="F217" s="1204">
        <f t="shared" ca="1" si="58"/>
        <v>1.0874894587031256</v>
      </c>
      <c r="G217" s="1203">
        <f t="shared" ca="1" si="59"/>
        <v>1.0864411301981232</v>
      </c>
      <c r="H217" s="876">
        <f t="shared" ca="1" si="60"/>
        <v>2.5999999999999999E-2</v>
      </c>
      <c r="I217" s="876">
        <f t="shared" ca="1" si="62"/>
        <v>0.97550000000000003</v>
      </c>
      <c r="J217" s="876"/>
      <c r="K217" s="876"/>
      <c r="L217" s="876"/>
      <c r="M217" s="876"/>
      <c r="N217" s="876"/>
      <c r="O217" s="876"/>
      <c r="P217" s="876"/>
      <c r="Q217" s="876"/>
      <c r="R217" s="876"/>
      <c r="S217" s="876"/>
      <c r="T217" s="876"/>
      <c r="U217" s="876"/>
      <c r="V217" s="876"/>
      <c r="W217" s="876"/>
      <c r="X217" s="876"/>
      <c r="Y217" s="876"/>
      <c r="Z217" s="876"/>
      <c r="AA217" s="876"/>
      <c r="AB217" s="876"/>
      <c r="AC217" s="876"/>
      <c r="AD217" s="876"/>
      <c r="AE217" s="876"/>
      <c r="AF217" s="876"/>
      <c r="AG217" s="876"/>
      <c r="AH217" s="876"/>
      <c r="AI217" s="876"/>
      <c r="AJ217" s="876"/>
    </row>
    <row r="218" spans="1:36">
      <c r="A218" s="876"/>
      <c r="B218" s="881">
        <f t="shared" ca="1" si="61"/>
        <v>1.0874894587031256</v>
      </c>
      <c r="C218" s="1201">
        <f t="shared" ca="1" si="56"/>
        <v>1.0895861157131306</v>
      </c>
      <c r="D218" s="876">
        <f t="shared" ca="1" si="55"/>
        <v>24</v>
      </c>
      <c r="E218" s="1204">
        <f t="shared" ca="1" si="57"/>
        <v>1.0874894587031256</v>
      </c>
      <c r="F218" s="1204">
        <f t="shared" ca="1" si="58"/>
        <v>1.0895861157131306</v>
      </c>
      <c r="G218" s="1203">
        <f t="shared" ca="1" si="59"/>
        <v>1.0885377872081281</v>
      </c>
      <c r="H218" s="876">
        <f t="shared" ca="1" si="60"/>
        <v>1.2E-2</v>
      </c>
      <c r="I218" s="876">
        <f t="shared" ca="1" si="62"/>
        <v>0.98750000000000004</v>
      </c>
      <c r="J218" s="876"/>
      <c r="K218" s="876"/>
      <c r="L218" s="876"/>
      <c r="M218" s="876"/>
      <c r="N218" s="876"/>
      <c r="O218" s="876"/>
      <c r="P218" s="876"/>
      <c r="Q218" s="876"/>
      <c r="R218" s="876"/>
      <c r="S218" s="876"/>
      <c r="T218" s="876"/>
      <c r="U218" s="876"/>
      <c r="V218" s="876"/>
      <c r="W218" s="876"/>
      <c r="X218" s="876"/>
      <c r="Y218" s="876"/>
      <c r="Z218" s="876"/>
      <c r="AA218" s="876"/>
      <c r="AB218" s="876"/>
      <c r="AC218" s="876"/>
      <c r="AD218" s="876"/>
      <c r="AE218" s="876"/>
      <c r="AF218" s="876"/>
      <c r="AG218" s="876"/>
      <c r="AH218" s="876"/>
      <c r="AI218" s="876"/>
      <c r="AJ218" s="876"/>
    </row>
    <row r="219" spans="1:36">
      <c r="A219" s="876"/>
      <c r="B219" s="881">
        <f t="shared" ca="1" si="61"/>
        <v>1.0895861157131306</v>
      </c>
      <c r="C219" s="1201">
        <f t="shared" ca="1" si="56"/>
        <v>1.0916827727231355</v>
      </c>
      <c r="D219" s="876">
        <f t="shared" ca="1" si="55"/>
        <v>20</v>
      </c>
      <c r="E219" s="1204">
        <f t="shared" ca="1" si="57"/>
        <v>1.0895861157131306</v>
      </c>
      <c r="F219" s="1204">
        <f t="shared" ca="1" si="58"/>
        <v>1.0916827727231355</v>
      </c>
      <c r="G219" s="1203">
        <f t="shared" ca="1" si="59"/>
        <v>1.090634444218133</v>
      </c>
      <c r="H219" s="876">
        <f t="shared" ca="1" si="60"/>
        <v>0.01</v>
      </c>
      <c r="I219" s="876">
        <f t="shared" ca="1" si="62"/>
        <v>0.99750000000000005</v>
      </c>
      <c r="J219" s="876"/>
      <c r="K219" s="876"/>
      <c r="L219" s="876"/>
      <c r="M219" s="876"/>
      <c r="N219" s="876"/>
      <c r="O219" s="876"/>
      <c r="P219" s="876"/>
      <c r="Q219" s="876"/>
      <c r="R219" s="876"/>
      <c r="S219" s="876"/>
      <c r="T219" s="876"/>
      <c r="U219" s="876"/>
      <c r="V219" s="876"/>
      <c r="W219" s="876"/>
      <c r="X219" s="876"/>
      <c r="Y219" s="876"/>
      <c r="Z219" s="876"/>
      <c r="AA219" s="876"/>
      <c r="AB219" s="876"/>
      <c r="AC219" s="876"/>
      <c r="AD219" s="876"/>
      <c r="AE219" s="876"/>
      <c r="AF219" s="876"/>
      <c r="AG219" s="876"/>
      <c r="AH219" s="876"/>
      <c r="AI219" s="876"/>
      <c r="AJ219" s="876"/>
    </row>
    <row r="220" spans="1:36">
      <c r="A220" s="876"/>
      <c r="B220" s="881">
        <f t="shared" ca="1" si="61"/>
        <v>1.0916827727231355</v>
      </c>
      <c r="C220" s="1201">
        <f t="shared" ca="1" si="56"/>
        <v>1.0937794297331405</v>
      </c>
      <c r="D220" s="876">
        <f t="shared" ca="1" si="55"/>
        <v>3</v>
      </c>
      <c r="E220" s="1204">
        <f t="shared" ca="1" si="57"/>
        <v>1.0916827727231355</v>
      </c>
      <c r="F220" s="1204">
        <f t="shared" ca="1" si="58"/>
        <v>1.0937794297331405</v>
      </c>
      <c r="G220" s="1203">
        <f t="shared" ca="1" si="59"/>
        <v>1.092731101228138</v>
      </c>
      <c r="H220" s="876">
        <f t="shared" ca="1" si="60"/>
        <v>1.5E-3</v>
      </c>
      <c r="I220" s="876">
        <f t="shared" ca="1" si="62"/>
        <v>0.999</v>
      </c>
      <c r="J220" s="876"/>
      <c r="K220" s="876"/>
      <c r="L220" s="876"/>
      <c r="M220" s="876"/>
      <c r="N220" s="876"/>
      <c r="O220" s="876"/>
      <c r="P220" s="876"/>
      <c r="Q220" s="876"/>
      <c r="R220" s="876"/>
      <c r="S220" s="876"/>
      <c r="T220" s="876"/>
      <c r="U220" s="876"/>
      <c r="V220" s="876"/>
      <c r="W220" s="876"/>
      <c r="X220" s="876"/>
      <c r="Y220" s="876"/>
      <c r="Z220" s="876"/>
      <c r="AA220" s="876"/>
      <c r="AB220" s="876"/>
      <c r="AC220" s="876"/>
      <c r="AD220" s="876"/>
      <c r="AE220" s="876"/>
      <c r="AF220" s="876"/>
      <c r="AG220" s="876"/>
      <c r="AH220" s="876"/>
      <c r="AI220" s="876"/>
      <c r="AJ220" s="876"/>
    </row>
    <row r="221" spans="1:36">
      <c r="A221" s="876"/>
      <c r="B221" s="881">
        <f t="shared" ca="1" si="61"/>
        <v>1.0937794297331405</v>
      </c>
      <c r="C221" s="1201">
        <f ca="1">+B221+($C$197/20)+0.000001</f>
        <v>1.0958770867431453</v>
      </c>
      <c r="D221" s="876">
        <f t="shared" ca="1" si="55"/>
        <v>2</v>
      </c>
      <c r="E221" s="1204">
        <f t="shared" ca="1" si="57"/>
        <v>1.0937794297331405</v>
      </c>
      <c r="F221" s="1204">
        <f t="shared" ca="1" si="58"/>
        <v>1.0958770867431453</v>
      </c>
      <c r="G221" s="1203">
        <f t="shared" ca="1" si="59"/>
        <v>1.094828258238143</v>
      </c>
      <c r="H221" s="876">
        <f t="shared" ca="1" si="60"/>
        <v>1E-3</v>
      </c>
      <c r="I221" s="876">
        <f t="shared" ca="1" si="62"/>
        <v>1</v>
      </c>
      <c r="J221" s="876"/>
      <c r="K221" s="876"/>
      <c r="L221" s="876"/>
      <c r="M221" s="876"/>
      <c r="N221" s="876"/>
      <c r="O221" s="876"/>
      <c r="P221" s="876"/>
      <c r="Q221" s="876"/>
      <c r="R221" s="876"/>
      <c r="S221" s="876"/>
      <c r="T221" s="876"/>
      <c r="U221" s="876"/>
      <c r="V221" s="876"/>
      <c r="W221" s="876"/>
      <c r="X221" s="876"/>
      <c r="Y221" s="876"/>
      <c r="Z221" s="876"/>
      <c r="AA221" s="876"/>
      <c r="AB221" s="876"/>
      <c r="AC221" s="876"/>
      <c r="AD221" s="876"/>
      <c r="AE221" s="876"/>
      <c r="AF221" s="876"/>
      <c r="AG221" s="876"/>
      <c r="AH221" s="876"/>
      <c r="AI221" s="876"/>
      <c r="AJ221" s="876"/>
    </row>
    <row r="222" spans="1:36">
      <c r="A222" s="876"/>
      <c r="B222" s="877"/>
      <c r="C222" s="1205"/>
      <c r="D222" s="876"/>
      <c r="E222" s="876"/>
      <c r="F222" s="876">
        <f t="shared" ca="1" si="58"/>
        <v>0</v>
      </c>
      <c r="G222" s="1203">
        <f t="shared" ca="1" si="59"/>
        <v>0</v>
      </c>
      <c r="H222" s="876"/>
      <c r="I222" s="876"/>
      <c r="J222" s="876"/>
      <c r="K222" s="876"/>
      <c r="L222" s="876"/>
      <c r="M222" s="876"/>
      <c r="N222" s="876"/>
      <c r="O222" s="876"/>
      <c r="P222" s="876"/>
      <c r="Q222" s="876"/>
      <c r="R222" s="876"/>
      <c r="S222" s="876"/>
      <c r="T222" s="876"/>
      <c r="U222" s="876"/>
      <c r="V222" s="876"/>
      <c r="W222" s="876"/>
      <c r="X222" s="876"/>
      <c r="Y222" s="876"/>
      <c r="Z222" s="876"/>
      <c r="AA222" s="876"/>
      <c r="AB222" s="876"/>
      <c r="AC222" s="876"/>
      <c r="AD222" s="876"/>
      <c r="AE222" s="876"/>
      <c r="AF222" s="876"/>
      <c r="AG222" s="876"/>
      <c r="AH222" s="876"/>
      <c r="AI222" s="876"/>
      <c r="AJ222" s="876"/>
    </row>
    <row r="223" spans="1:36">
      <c r="A223" s="876"/>
      <c r="B223" s="877" t="s">
        <v>1303</v>
      </c>
      <c r="C223" s="876"/>
      <c r="D223" s="876">
        <f ca="1">+SUM(D202:D221)</f>
        <v>2000</v>
      </c>
      <c r="E223" s="876"/>
      <c r="F223" s="876"/>
      <c r="G223" s="876"/>
      <c r="H223" s="876"/>
      <c r="I223" s="876"/>
      <c r="J223" s="876"/>
      <c r="K223" s="876"/>
      <c r="L223" s="876"/>
      <c r="M223" s="876"/>
      <c r="N223" s="876"/>
      <c r="O223" s="876"/>
      <c r="P223" s="876"/>
      <c r="Q223" s="876"/>
      <c r="R223" s="876"/>
      <c r="S223" s="876"/>
      <c r="T223" s="876"/>
      <c r="U223" s="876"/>
      <c r="V223" s="876"/>
      <c r="W223" s="876"/>
      <c r="X223" s="876"/>
      <c r="Y223" s="876"/>
      <c r="Z223" s="876"/>
      <c r="AA223" s="876"/>
      <c r="AB223" s="876"/>
      <c r="AC223" s="876"/>
      <c r="AD223" s="876"/>
      <c r="AE223" s="876"/>
      <c r="AF223" s="876"/>
      <c r="AG223" s="876"/>
      <c r="AH223" s="876"/>
      <c r="AI223" s="876"/>
      <c r="AJ223" s="876"/>
    </row>
    <row r="224" spans="1:36">
      <c r="A224" s="876"/>
      <c r="B224" s="876" t="str">
        <f t="array" ref="B224:B238">+TRANSPOSE(Sensitivity_output)</f>
        <v>Cost of hydrogen ($/kg)</v>
      </c>
      <c r="C224" s="876"/>
      <c r="D224" s="876"/>
      <c r="E224" s="876"/>
      <c r="F224" s="876"/>
      <c r="G224" s="876"/>
      <c r="H224" s="876"/>
      <c r="I224" s="876"/>
      <c r="J224" s="876"/>
      <c r="K224" s="876"/>
      <c r="L224" s="876"/>
      <c r="M224" s="876"/>
      <c r="N224" s="876"/>
      <c r="O224" s="876"/>
      <c r="P224" s="876"/>
      <c r="Q224" s="876"/>
      <c r="R224" s="876"/>
      <c r="S224" s="876"/>
      <c r="T224" s="876"/>
      <c r="U224" s="876"/>
      <c r="V224" s="876"/>
      <c r="W224" s="876"/>
      <c r="X224" s="876"/>
      <c r="Y224" s="876"/>
      <c r="Z224" s="876"/>
      <c r="AA224" s="876"/>
      <c r="AB224" s="876"/>
      <c r="AC224" s="876"/>
      <c r="AD224" s="876"/>
      <c r="AE224" s="876"/>
      <c r="AF224" s="876"/>
      <c r="AG224" s="876"/>
      <c r="AH224" s="876"/>
      <c r="AI224" s="876"/>
      <c r="AJ224" s="876"/>
    </row>
    <row r="225" spans="1:36">
      <c r="A225" s="876"/>
      <c r="B225" s="876" t="str">
        <v>Revenue from byproduct sales ($/kg)</v>
      </c>
      <c r="C225" s="876"/>
      <c r="D225" s="876"/>
      <c r="E225" s="876"/>
      <c r="F225" s="876"/>
      <c r="G225" s="876"/>
      <c r="H225" s="876"/>
      <c r="I225" s="876"/>
      <c r="J225" s="876"/>
      <c r="K225" s="876"/>
      <c r="L225" s="876"/>
      <c r="M225" s="876"/>
      <c r="N225" s="876"/>
      <c r="O225" s="876"/>
      <c r="P225" s="876"/>
      <c r="Q225" s="876"/>
      <c r="R225" s="876"/>
      <c r="S225" s="876"/>
      <c r="T225" s="876"/>
      <c r="U225" s="876"/>
      <c r="V225" s="876"/>
      <c r="W225" s="876"/>
      <c r="X225" s="876"/>
      <c r="Y225" s="876"/>
      <c r="Z225" s="876"/>
      <c r="AA225" s="876"/>
      <c r="AB225" s="876"/>
      <c r="AC225" s="876"/>
      <c r="AD225" s="876"/>
      <c r="AE225" s="876"/>
      <c r="AF225" s="876"/>
      <c r="AG225" s="876"/>
      <c r="AH225" s="876"/>
      <c r="AI225" s="876"/>
      <c r="AJ225" s="876"/>
    </row>
    <row r="226" spans="1:36">
      <c r="A226" s="876"/>
      <c r="B226" s="876" t="str">
        <v>Salvage value ($/kg)</v>
      </c>
      <c r="C226" s="876"/>
      <c r="D226" s="876"/>
      <c r="E226" s="876"/>
      <c r="F226" s="876"/>
      <c r="G226" s="876"/>
      <c r="H226" s="876"/>
      <c r="I226" s="876"/>
      <c r="J226" s="876"/>
      <c r="K226" s="876"/>
      <c r="L226" s="876"/>
      <c r="M226" s="876"/>
      <c r="N226" s="876"/>
      <c r="O226" s="876"/>
      <c r="P226" s="876"/>
      <c r="Q226" s="876"/>
      <c r="R226" s="876"/>
      <c r="S226" s="876"/>
      <c r="T226" s="876"/>
      <c r="U226" s="876"/>
      <c r="V226" s="876"/>
      <c r="W226" s="876"/>
      <c r="X226" s="876"/>
      <c r="Y226" s="876"/>
      <c r="Z226" s="876"/>
      <c r="AA226" s="876"/>
      <c r="AB226" s="876"/>
      <c r="AC226" s="876"/>
      <c r="AD226" s="876"/>
      <c r="AE226" s="876"/>
      <c r="AF226" s="876"/>
      <c r="AG226" s="876"/>
      <c r="AH226" s="876"/>
      <c r="AI226" s="876"/>
      <c r="AJ226" s="876"/>
    </row>
    <row r="227" spans="1:36">
      <c r="A227" s="876"/>
      <c r="B227" s="876" t="str">
        <v>Initial equity depreciable capital ($/kg)</v>
      </c>
      <c r="C227" s="876"/>
      <c r="D227" s="876"/>
      <c r="E227" s="876"/>
      <c r="F227" s="876"/>
      <c r="G227" s="876"/>
      <c r="H227" s="876"/>
      <c r="I227" s="876"/>
      <c r="J227" s="876"/>
      <c r="K227" s="876"/>
      <c r="L227" s="876"/>
      <c r="M227" s="876"/>
      <c r="N227" s="876"/>
      <c r="O227" s="876"/>
      <c r="P227" s="876"/>
      <c r="Q227" s="876"/>
      <c r="R227" s="876"/>
      <c r="S227" s="876"/>
      <c r="T227" s="876"/>
      <c r="U227" s="876"/>
      <c r="V227" s="876"/>
      <c r="W227" s="876"/>
      <c r="X227" s="876"/>
      <c r="Y227" s="876"/>
      <c r="Z227" s="876"/>
      <c r="AA227" s="876"/>
      <c r="AB227" s="876"/>
      <c r="AC227" s="876"/>
      <c r="AD227" s="876"/>
      <c r="AE227" s="876"/>
      <c r="AF227" s="876"/>
      <c r="AG227" s="876"/>
      <c r="AH227" s="876"/>
      <c r="AI227" s="876"/>
      <c r="AJ227" s="876"/>
    </row>
    <row r="228" spans="1:36">
      <c r="A228" s="876"/>
      <c r="B228" s="876" t="str">
        <v>Yearly replacement costs ($/kg)</v>
      </c>
      <c r="C228" s="876"/>
      <c r="D228" s="876"/>
      <c r="E228" s="876"/>
      <c r="F228" s="876"/>
      <c r="G228" s="876"/>
      <c r="H228" s="876"/>
      <c r="I228" s="876"/>
      <c r="J228" s="876"/>
      <c r="K228" s="876"/>
      <c r="L228" s="876"/>
      <c r="M228" s="876"/>
      <c r="N228" s="876"/>
      <c r="O228" s="876"/>
      <c r="P228" s="876"/>
      <c r="Q228" s="876"/>
      <c r="R228" s="876"/>
      <c r="S228" s="876"/>
      <c r="T228" s="876"/>
      <c r="U228" s="876"/>
      <c r="V228" s="876"/>
      <c r="W228" s="876"/>
      <c r="X228" s="876"/>
      <c r="Y228" s="876"/>
      <c r="Z228" s="876"/>
      <c r="AA228" s="876"/>
      <c r="AB228" s="876"/>
      <c r="AC228" s="876"/>
      <c r="AD228" s="876"/>
      <c r="AE228" s="876"/>
      <c r="AF228" s="876"/>
      <c r="AG228" s="876"/>
      <c r="AH228" s="876"/>
      <c r="AI228" s="876"/>
      <c r="AJ228" s="876"/>
    </row>
    <row r="229" spans="1:36">
      <c r="A229" s="876"/>
      <c r="B229" s="876" t="str">
        <v>Cash from working capital reserve ($/kg)</v>
      </c>
      <c r="C229" s="876"/>
      <c r="D229" s="876"/>
      <c r="E229" s="876"/>
      <c r="F229" s="876"/>
      <c r="G229" s="876"/>
      <c r="H229" s="876"/>
      <c r="I229" s="876"/>
      <c r="J229" s="876"/>
      <c r="K229" s="876"/>
      <c r="L229" s="876"/>
      <c r="M229" s="876"/>
      <c r="N229" s="876"/>
      <c r="O229" s="876"/>
      <c r="P229" s="876"/>
      <c r="Q229" s="876"/>
      <c r="R229" s="876"/>
      <c r="S229" s="876"/>
      <c r="T229" s="876"/>
      <c r="U229" s="876"/>
      <c r="V229" s="876"/>
      <c r="W229" s="876"/>
      <c r="X229" s="876"/>
      <c r="Y229" s="876"/>
      <c r="Z229" s="876"/>
      <c r="AA229" s="876"/>
      <c r="AB229" s="876"/>
      <c r="AC229" s="876"/>
      <c r="AD229" s="876"/>
      <c r="AE229" s="876"/>
      <c r="AF229" s="876"/>
      <c r="AG229" s="876"/>
      <c r="AH229" s="876"/>
      <c r="AI229" s="876"/>
      <c r="AJ229" s="876"/>
    </row>
    <row r="230" spans="1:36">
      <c r="A230" s="876"/>
      <c r="B230" s="876" t="str">
        <v>Other non-depreciable capital costs ($/kg)</v>
      </c>
      <c r="C230" s="876"/>
      <c r="D230" s="876"/>
      <c r="E230" s="876"/>
      <c r="F230" s="876"/>
      <c r="G230" s="876"/>
      <c r="H230" s="876"/>
      <c r="I230" s="876"/>
      <c r="J230" s="876"/>
      <c r="K230" s="876"/>
      <c r="L230" s="876"/>
      <c r="M230" s="876"/>
      <c r="N230" s="876"/>
      <c r="O230" s="876"/>
      <c r="P230" s="876"/>
      <c r="Q230" s="876"/>
      <c r="R230" s="876"/>
      <c r="S230" s="876"/>
      <c r="T230" s="876"/>
      <c r="U230" s="876"/>
      <c r="V230" s="876"/>
      <c r="W230" s="876"/>
      <c r="X230" s="876"/>
      <c r="Y230" s="876"/>
      <c r="Z230" s="876"/>
      <c r="AA230" s="876"/>
      <c r="AB230" s="876"/>
      <c r="AC230" s="876"/>
      <c r="AD230" s="876"/>
      <c r="AE230" s="876"/>
      <c r="AF230" s="876"/>
      <c r="AG230" s="876"/>
      <c r="AH230" s="876"/>
      <c r="AI230" s="876"/>
      <c r="AJ230" s="876"/>
    </row>
    <row r="231" spans="1:36">
      <c r="A231" s="876"/>
      <c r="B231" s="876" t="str">
        <v>Decommissioning costs ($/kg)</v>
      </c>
      <c r="C231" s="876"/>
      <c r="D231" s="876"/>
      <c r="E231" s="876"/>
      <c r="F231" s="876"/>
      <c r="G231" s="876"/>
      <c r="H231" s="876"/>
      <c r="I231" s="876"/>
      <c r="J231" s="876"/>
      <c r="K231" s="876"/>
      <c r="L231" s="876"/>
      <c r="M231" s="876"/>
      <c r="N231" s="876"/>
      <c r="O231" s="876"/>
      <c r="P231" s="876"/>
      <c r="Q231" s="876"/>
      <c r="R231" s="876"/>
      <c r="S231" s="876"/>
      <c r="T231" s="876"/>
      <c r="U231" s="876"/>
      <c r="V231" s="876"/>
      <c r="W231" s="876"/>
      <c r="X231" s="876"/>
      <c r="Y231" s="876"/>
      <c r="Z231" s="876"/>
      <c r="AA231" s="876"/>
      <c r="AB231" s="876"/>
      <c r="AC231" s="876"/>
      <c r="AD231" s="876"/>
      <c r="AE231" s="876"/>
      <c r="AF231" s="876"/>
      <c r="AG231" s="876"/>
      <c r="AH231" s="876"/>
      <c r="AI231" s="876"/>
      <c r="AJ231" s="876"/>
    </row>
    <row r="232" spans="1:36">
      <c r="A232" s="876"/>
      <c r="B232" s="876" t="str">
        <v>Fixed operating cost ($/kg)</v>
      </c>
      <c r="C232" s="876"/>
      <c r="D232" s="876"/>
      <c r="E232" s="876"/>
      <c r="F232" s="876"/>
      <c r="G232" s="876"/>
      <c r="H232" s="876"/>
      <c r="I232" s="876"/>
      <c r="J232" s="876"/>
      <c r="K232" s="876"/>
      <c r="L232" s="876"/>
      <c r="M232" s="876"/>
      <c r="N232" s="876"/>
      <c r="O232" s="876"/>
      <c r="P232" s="876"/>
      <c r="Q232" s="876"/>
      <c r="R232" s="876"/>
      <c r="S232" s="876"/>
      <c r="T232" s="876"/>
      <c r="U232" s="876"/>
      <c r="V232" s="876"/>
      <c r="W232" s="876"/>
      <c r="X232" s="876"/>
      <c r="Y232" s="876"/>
      <c r="Z232" s="876"/>
      <c r="AA232" s="876"/>
      <c r="AB232" s="876"/>
      <c r="AC232" s="876"/>
      <c r="AD232" s="876"/>
      <c r="AE232" s="876"/>
      <c r="AF232" s="876"/>
      <c r="AG232" s="876"/>
      <c r="AH232" s="876"/>
      <c r="AI232" s="876"/>
      <c r="AJ232" s="876"/>
    </row>
    <row r="233" spans="1:36">
      <c r="A233" s="876"/>
      <c r="B233" s="876" t="str">
        <v>Feedstock cost ($/kg)</v>
      </c>
      <c r="C233" s="876"/>
      <c r="D233" s="876"/>
      <c r="E233" s="876"/>
      <c r="F233" s="876"/>
      <c r="G233" s="876"/>
      <c r="H233" s="876"/>
      <c r="I233" s="876"/>
      <c r="J233" s="876"/>
      <c r="K233" s="876"/>
      <c r="L233" s="876"/>
      <c r="M233" s="876"/>
      <c r="N233" s="876"/>
      <c r="O233" s="876"/>
      <c r="P233" s="876"/>
      <c r="Q233" s="876"/>
      <c r="R233" s="876"/>
      <c r="S233" s="876"/>
      <c r="T233" s="876"/>
      <c r="U233" s="876"/>
      <c r="V233" s="876"/>
      <c r="W233" s="876"/>
      <c r="X233" s="876"/>
      <c r="Y233" s="876"/>
      <c r="Z233" s="876"/>
      <c r="AA233" s="876"/>
      <c r="AB233" s="876"/>
      <c r="AC233" s="876"/>
      <c r="AD233" s="876"/>
      <c r="AE233" s="876"/>
      <c r="AF233" s="876"/>
      <c r="AG233" s="876"/>
      <c r="AH233" s="876"/>
      <c r="AI233" s="876"/>
      <c r="AJ233" s="876"/>
    </row>
    <row r="234" spans="1:36">
      <c r="A234" s="876"/>
      <c r="B234" s="876" t="str">
        <v>Other raw material cost ($/kg)</v>
      </c>
      <c r="C234" s="876"/>
      <c r="D234" s="876"/>
      <c r="E234" s="876"/>
      <c r="F234" s="876"/>
      <c r="G234" s="876"/>
      <c r="H234" s="876"/>
      <c r="I234" s="876"/>
      <c r="J234" s="876"/>
      <c r="K234" s="876"/>
      <c r="L234" s="876"/>
      <c r="M234" s="876"/>
      <c r="N234" s="876"/>
      <c r="O234" s="876"/>
      <c r="P234" s="876"/>
      <c r="Q234" s="876"/>
      <c r="R234" s="876"/>
      <c r="S234" s="876"/>
      <c r="T234" s="876"/>
      <c r="U234" s="876"/>
      <c r="V234" s="876"/>
      <c r="W234" s="876"/>
      <c r="X234" s="876"/>
      <c r="Y234" s="876"/>
      <c r="Z234" s="876"/>
      <c r="AA234" s="876"/>
      <c r="AB234" s="876"/>
      <c r="AC234" s="876"/>
      <c r="AD234" s="876"/>
      <c r="AE234" s="876"/>
      <c r="AF234" s="876"/>
      <c r="AG234" s="876"/>
      <c r="AH234" s="876"/>
      <c r="AI234" s="876"/>
      <c r="AJ234" s="876"/>
    </row>
    <row r="235" spans="1:36">
      <c r="A235" s="876"/>
      <c r="B235" s="876" t="str">
        <v>Other variable operating costs ($/kg)</v>
      </c>
      <c r="C235" s="876"/>
      <c r="D235" s="876"/>
      <c r="E235" s="876"/>
      <c r="F235" s="876"/>
      <c r="G235" s="876"/>
      <c r="H235" s="876"/>
      <c r="I235" s="876"/>
      <c r="J235" s="876"/>
      <c r="K235" s="876"/>
      <c r="L235" s="876"/>
      <c r="M235" s="876"/>
      <c r="N235" s="876"/>
      <c r="O235" s="876"/>
      <c r="P235" s="876"/>
      <c r="Q235" s="876"/>
      <c r="R235" s="876"/>
      <c r="S235" s="876"/>
      <c r="T235" s="876"/>
      <c r="U235" s="876"/>
      <c r="V235" s="876"/>
      <c r="W235" s="876"/>
      <c r="X235" s="876"/>
      <c r="Y235" s="876"/>
      <c r="Z235" s="876"/>
      <c r="AA235" s="876"/>
      <c r="AB235" s="876"/>
      <c r="AC235" s="876"/>
      <c r="AD235" s="876"/>
      <c r="AE235" s="876"/>
      <c r="AF235" s="876"/>
      <c r="AG235" s="876"/>
      <c r="AH235" s="876"/>
      <c r="AI235" s="876"/>
      <c r="AJ235" s="876"/>
    </row>
    <row r="236" spans="1:36">
      <c r="A236" s="876"/>
      <c r="B236" s="876" t="str">
        <v>Debt interest ($/kg)</v>
      </c>
      <c r="C236" s="876"/>
      <c r="D236" s="876"/>
      <c r="E236" s="876"/>
      <c r="F236" s="876"/>
      <c r="G236" s="876"/>
      <c r="H236" s="876"/>
      <c r="I236" s="876"/>
      <c r="J236" s="876"/>
      <c r="K236" s="876"/>
      <c r="L236" s="876"/>
      <c r="M236" s="876"/>
      <c r="N236" s="876"/>
      <c r="O236" s="876"/>
      <c r="P236" s="876"/>
      <c r="Q236" s="876"/>
      <c r="R236" s="876"/>
      <c r="S236" s="876"/>
      <c r="T236" s="876"/>
      <c r="U236" s="876"/>
      <c r="V236" s="876"/>
      <c r="W236" s="876"/>
      <c r="X236" s="876"/>
      <c r="Y236" s="876"/>
      <c r="Z236" s="876"/>
      <c r="AA236" s="876"/>
      <c r="AB236" s="876"/>
      <c r="AC236" s="876"/>
      <c r="AD236" s="876"/>
      <c r="AE236" s="876"/>
      <c r="AF236" s="876"/>
      <c r="AG236" s="876"/>
      <c r="AH236" s="876"/>
      <c r="AI236" s="876"/>
      <c r="AJ236" s="876"/>
    </row>
    <row r="237" spans="1:36">
      <c r="A237" s="876"/>
      <c r="B237" s="876" t="str">
        <v>Taxes ($/kg)</v>
      </c>
      <c r="C237" s="876"/>
      <c r="D237" s="876"/>
      <c r="E237" s="876"/>
      <c r="F237" s="876"/>
      <c r="G237" s="876"/>
      <c r="H237" s="876"/>
      <c r="I237" s="876"/>
      <c r="J237" s="876"/>
      <c r="K237" s="876"/>
      <c r="L237" s="876"/>
      <c r="M237" s="876"/>
      <c r="N237" s="876"/>
      <c r="O237" s="876"/>
      <c r="P237" s="876"/>
      <c r="Q237" s="876"/>
      <c r="R237" s="876"/>
      <c r="S237" s="876"/>
      <c r="T237" s="876"/>
      <c r="U237" s="876"/>
      <c r="V237" s="876"/>
      <c r="W237" s="876"/>
      <c r="X237" s="876"/>
      <c r="Y237" s="876"/>
      <c r="Z237" s="876"/>
      <c r="AA237" s="876"/>
      <c r="AB237" s="876"/>
      <c r="AC237" s="876"/>
      <c r="AD237" s="876"/>
      <c r="AE237" s="876"/>
      <c r="AF237" s="876"/>
      <c r="AG237" s="876"/>
      <c r="AH237" s="876"/>
      <c r="AI237" s="876"/>
      <c r="AJ237" s="876"/>
    </row>
    <row r="238" spans="1:36">
      <c r="A238" s="876"/>
      <c r="B238" s="876" t="str">
        <v>Principal payment ($/kg)</v>
      </c>
      <c r="C238" s="876"/>
      <c r="D238" s="876"/>
      <c r="E238" s="876"/>
      <c r="F238" s="876"/>
      <c r="G238" s="876"/>
      <c r="H238" s="876"/>
      <c r="I238" s="876"/>
      <c r="J238" s="876"/>
      <c r="K238" s="876"/>
      <c r="L238" s="876"/>
      <c r="M238" s="876"/>
      <c r="N238" s="876"/>
      <c r="O238" s="876"/>
      <c r="P238" s="876"/>
      <c r="Q238" s="876"/>
      <c r="R238" s="876"/>
      <c r="S238" s="876"/>
      <c r="T238" s="876"/>
      <c r="U238" s="876"/>
      <c r="V238" s="876"/>
      <c r="W238" s="876"/>
      <c r="X238" s="876"/>
      <c r="Y238" s="876"/>
      <c r="Z238" s="876"/>
      <c r="AA238" s="876"/>
      <c r="AB238" s="876"/>
      <c r="AC238" s="876"/>
      <c r="AD238" s="876"/>
      <c r="AE238" s="876"/>
      <c r="AF238" s="876"/>
      <c r="AG238" s="876"/>
      <c r="AH238" s="876"/>
      <c r="AI238" s="876"/>
      <c r="AJ238" s="876"/>
    </row>
    <row r="239" spans="1:36">
      <c r="A239" s="876"/>
      <c r="B239" s="876" t="str">
        <f t="array" ref="B239:B245">+TRANSPOSE(C50:I50)</f>
        <v>Operating capacity factor</v>
      </c>
      <c r="C239" s="876"/>
      <c r="D239" s="876"/>
      <c r="E239" s="876"/>
      <c r="F239" s="876"/>
      <c r="G239" s="876"/>
      <c r="H239" s="876"/>
      <c r="I239" s="876"/>
      <c r="J239" s="876"/>
      <c r="K239" s="876"/>
      <c r="L239" s="876"/>
      <c r="M239" s="876"/>
      <c r="N239" s="876"/>
      <c r="O239" s="876"/>
      <c r="P239" s="876"/>
      <c r="Q239" s="876"/>
      <c r="R239" s="876"/>
      <c r="S239" s="876"/>
      <c r="T239" s="876"/>
      <c r="U239" s="876"/>
      <c r="V239" s="876"/>
      <c r="W239" s="876"/>
      <c r="X239" s="876"/>
      <c r="Y239" s="876"/>
      <c r="Z239" s="876"/>
      <c r="AA239" s="876"/>
      <c r="AB239" s="876"/>
      <c r="AC239" s="876"/>
      <c r="AD239" s="876"/>
      <c r="AE239" s="876"/>
      <c r="AF239" s="876"/>
      <c r="AG239" s="876"/>
      <c r="AH239" s="876"/>
      <c r="AI239" s="876"/>
      <c r="AJ239" s="876"/>
    </row>
    <row r="240" spans="1:36">
      <c r="A240" s="876"/>
      <c r="B240" s="876" t="str">
        <v>Plant design capacity (kg of H2/day)</v>
      </c>
      <c r="C240" s="876"/>
      <c r="D240" s="876"/>
      <c r="E240" s="876"/>
      <c r="F240" s="876"/>
      <c r="G240" s="876"/>
      <c r="H240" s="876"/>
      <c r="I240" s="876"/>
      <c r="J240" s="876"/>
      <c r="K240" s="876"/>
      <c r="L240" s="876"/>
      <c r="M240" s="876"/>
      <c r="N240" s="876"/>
      <c r="O240" s="876"/>
      <c r="P240" s="876"/>
      <c r="Q240" s="876"/>
      <c r="R240" s="876"/>
      <c r="S240" s="876"/>
      <c r="T240" s="876"/>
      <c r="U240" s="876"/>
      <c r="V240" s="876"/>
      <c r="W240" s="876"/>
      <c r="X240" s="876"/>
      <c r="Y240" s="876"/>
      <c r="Z240" s="876"/>
      <c r="AA240" s="876"/>
      <c r="AB240" s="876"/>
      <c r="AC240" s="876"/>
      <c r="AD240" s="876"/>
      <c r="AE240" s="876"/>
      <c r="AF240" s="876"/>
      <c r="AG240" s="876"/>
      <c r="AH240" s="876"/>
      <c r="AI240" s="876"/>
      <c r="AJ240" s="876"/>
    </row>
    <row r="241" spans="1:36">
      <c r="A241" s="876"/>
      <c r="B241" s="876" t="str">
        <v>After-tax real IRR (%)</v>
      </c>
      <c r="C241" s="876"/>
      <c r="D241" s="876"/>
      <c r="E241" s="876"/>
      <c r="F241" s="876"/>
      <c r="G241" s="876"/>
      <c r="H241" s="876"/>
      <c r="I241" s="876"/>
      <c r="J241" s="876"/>
      <c r="K241" s="876"/>
      <c r="L241" s="876"/>
      <c r="M241" s="876"/>
      <c r="N241" s="876"/>
      <c r="O241" s="876"/>
      <c r="P241" s="876"/>
      <c r="Q241" s="876"/>
      <c r="R241" s="876"/>
      <c r="S241" s="876"/>
      <c r="T241" s="876"/>
      <c r="U241" s="876"/>
      <c r="V241" s="876"/>
      <c r="W241" s="876"/>
      <c r="X241" s="876"/>
      <c r="Y241" s="876"/>
      <c r="Z241" s="876"/>
      <c r="AA241" s="876"/>
      <c r="AB241" s="876"/>
      <c r="AC241" s="876"/>
      <c r="AD241" s="876"/>
      <c r="AE241" s="876"/>
      <c r="AF241" s="876"/>
      <c r="AG241" s="876"/>
      <c r="AH241" s="876"/>
      <c r="AI241" s="876"/>
      <c r="AJ241" s="876"/>
    </row>
    <row r="242" spans="1:36">
      <c r="A242" s="876"/>
      <c r="B242" s="876" t="str">
        <v>Feedstock consumption (% of most likely value)</v>
      </c>
      <c r="C242" s="876"/>
      <c r="D242" s="876"/>
      <c r="E242" s="876"/>
      <c r="F242" s="876"/>
      <c r="G242" s="876"/>
      <c r="H242" s="876"/>
      <c r="I242" s="876"/>
      <c r="J242" s="876"/>
      <c r="K242" s="876"/>
      <c r="L242" s="876"/>
      <c r="M242" s="876"/>
      <c r="N242" s="876"/>
      <c r="O242" s="876"/>
      <c r="P242" s="876"/>
      <c r="Q242" s="876"/>
      <c r="R242" s="876"/>
      <c r="S242" s="876"/>
      <c r="T242" s="876"/>
      <c r="U242" s="876"/>
      <c r="V242" s="876"/>
      <c r="W242" s="876"/>
      <c r="X242" s="876"/>
      <c r="Y242" s="876"/>
      <c r="Z242" s="876"/>
      <c r="AA242" s="876"/>
      <c r="AB242" s="876"/>
      <c r="AC242" s="876"/>
      <c r="AD242" s="876"/>
      <c r="AE242" s="876"/>
      <c r="AF242" s="876"/>
      <c r="AG242" s="876"/>
      <c r="AH242" s="876"/>
      <c r="AI242" s="876"/>
      <c r="AJ242" s="876"/>
    </row>
    <row r="243" spans="1:36">
      <c r="A243" s="876"/>
      <c r="B243" s="876" t="str">
        <v>Utilities consumption (% of most likely value)</v>
      </c>
      <c r="C243" s="876"/>
      <c r="D243" s="876"/>
      <c r="E243" s="876"/>
      <c r="F243" s="876"/>
      <c r="G243" s="876"/>
      <c r="H243" s="876"/>
      <c r="I243" s="876"/>
      <c r="J243" s="876"/>
      <c r="K243" s="876"/>
      <c r="L243" s="876"/>
      <c r="M243" s="876"/>
      <c r="N243" s="876"/>
      <c r="O243" s="876"/>
      <c r="P243" s="876"/>
      <c r="Q243" s="876"/>
      <c r="R243" s="876"/>
      <c r="S243" s="876"/>
      <c r="T243" s="876"/>
      <c r="U243" s="876"/>
      <c r="V243" s="876"/>
      <c r="W243" s="876"/>
      <c r="X243" s="876"/>
      <c r="Y243" s="876"/>
      <c r="Z243" s="876"/>
      <c r="AA243" s="876"/>
      <c r="AB243" s="876"/>
      <c r="AC243" s="876"/>
      <c r="AD243" s="876"/>
      <c r="AE243" s="876"/>
      <c r="AF243" s="876"/>
      <c r="AG243" s="876"/>
      <c r="AH243" s="876"/>
      <c r="AI243" s="876"/>
      <c r="AJ243" s="876"/>
    </row>
    <row r="244" spans="1:36">
      <c r="A244" s="876"/>
      <c r="B244" s="876" t="str">
        <v>Total capital investment ($)</v>
      </c>
      <c r="C244" s="876"/>
      <c r="D244" s="876"/>
      <c r="E244" s="876"/>
      <c r="F244" s="876"/>
      <c r="G244" s="876"/>
      <c r="H244" s="876"/>
      <c r="I244" s="876"/>
      <c r="J244" s="876"/>
      <c r="K244" s="876"/>
      <c r="L244" s="876"/>
      <c r="M244" s="876"/>
      <c r="N244" s="876"/>
      <c r="O244" s="876"/>
      <c r="P244" s="876"/>
      <c r="Q244" s="876"/>
      <c r="R244" s="876"/>
      <c r="S244" s="876"/>
      <c r="T244" s="876"/>
      <c r="U244" s="876"/>
      <c r="V244" s="876"/>
      <c r="W244" s="876"/>
      <c r="X244" s="876"/>
      <c r="Y244" s="876"/>
      <c r="Z244" s="876"/>
      <c r="AA244" s="876"/>
      <c r="AB244" s="876"/>
      <c r="AC244" s="876"/>
      <c r="AD244" s="876"/>
      <c r="AE244" s="876"/>
      <c r="AF244" s="876"/>
      <c r="AG244" s="876"/>
      <c r="AH244" s="876"/>
      <c r="AI244" s="876"/>
      <c r="AJ244" s="876"/>
    </row>
    <row r="245" spans="1:36">
      <c r="A245" s="876"/>
      <c r="B245" s="876" t="str">
        <v>Total fixed operating cost ($/year)</v>
      </c>
      <c r="C245" s="876"/>
      <c r="D245" s="876"/>
      <c r="E245" s="876"/>
      <c r="F245" s="876"/>
      <c r="G245" s="876"/>
      <c r="H245" s="876"/>
      <c r="I245" s="876"/>
      <c r="J245" s="876"/>
      <c r="K245" s="876"/>
      <c r="L245" s="876"/>
      <c r="M245" s="876"/>
      <c r="N245" s="876"/>
      <c r="O245" s="876"/>
      <c r="P245" s="876"/>
      <c r="Q245" s="876"/>
      <c r="R245" s="876"/>
      <c r="S245" s="876"/>
      <c r="T245" s="876"/>
      <c r="U245" s="876"/>
      <c r="V245" s="876"/>
      <c r="W245" s="876"/>
      <c r="X245" s="876"/>
      <c r="Y245" s="876"/>
      <c r="Z245" s="876"/>
      <c r="AA245" s="876"/>
      <c r="AB245" s="876"/>
      <c r="AC245" s="876"/>
      <c r="AD245" s="876"/>
      <c r="AE245" s="876"/>
      <c r="AF245" s="876"/>
      <c r="AG245" s="876"/>
      <c r="AH245" s="876"/>
      <c r="AI245" s="876"/>
      <c r="AJ245" s="876"/>
    </row>
    <row r="246" spans="1:36">
      <c r="A246" s="876"/>
      <c r="B246" s="876"/>
      <c r="C246" s="876"/>
      <c r="D246" s="876"/>
      <c r="E246" s="876"/>
      <c r="F246" s="876"/>
      <c r="G246" s="876"/>
      <c r="H246" s="876"/>
      <c r="I246" s="876"/>
      <c r="J246" s="876"/>
      <c r="K246" s="876"/>
      <c r="L246" s="876"/>
      <c r="M246" s="876"/>
      <c r="N246" s="876"/>
      <c r="O246" s="876"/>
      <c r="P246" s="876"/>
      <c r="Q246" s="876"/>
      <c r="R246" s="876"/>
      <c r="S246" s="876"/>
      <c r="T246" s="876"/>
      <c r="U246" s="876"/>
      <c r="V246" s="876"/>
      <c r="W246" s="876"/>
      <c r="X246" s="876"/>
      <c r="Y246" s="876"/>
      <c r="Z246" s="876"/>
      <c r="AA246" s="876"/>
      <c r="AB246" s="876"/>
      <c r="AC246" s="876"/>
      <c r="AD246" s="876"/>
      <c r="AE246" s="876"/>
      <c r="AF246" s="876"/>
      <c r="AG246" s="876"/>
      <c r="AH246" s="876"/>
      <c r="AI246" s="876"/>
      <c r="AJ246" s="876"/>
    </row>
    <row r="247" spans="1:36">
      <c r="A247" s="876"/>
      <c r="B247" s="876"/>
      <c r="C247" s="876"/>
      <c r="D247" s="876"/>
      <c r="E247" s="876"/>
      <c r="F247" s="876"/>
      <c r="G247" s="876"/>
      <c r="H247" s="876"/>
      <c r="I247" s="876"/>
      <c r="J247" s="876"/>
      <c r="K247" s="876"/>
      <c r="L247" s="876"/>
      <c r="M247" s="876"/>
      <c r="N247" s="876"/>
      <c r="O247" s="876"/>
      <c r="P247" s="876"/>
      <c r="Q247" s="876"/>
      <c r="R247" s="876"/>
      <c r="S247" s="876"/>
      <c r="T247" s="876"/>
      <c r="U247" s="876"/>
      <c r="V247" s="876"/>
      <c r="W247" s="876"/>
      <c r="X247" s="876"/>
      <c r="Y247" s="876"/>
      <c r="Z247" s="876"/>
      <c r="AA247" s="876"/>
      <c r="AB247" s="876"/>
      <c r="AC247" s="876"/>
      <c r="AD247" s="876"/>
      <c r="AE247" s="876"/>
      <c r="AF247" s="876"/>
      <c r="AG247" s="876"/>
      <c r="AH247" s="876"/>
      <c r="AI247" s="876"/>
      <c r="AJ247" s="876"/>
    </row>
    <row r="248" spans="1:36">
      <c r="A248" s="876"/>
      <c r="B248" s="877"/>
      <c r="C248">
        <f ca="1">+RAND()</f>
        <v>5.3503157660430234E-2</v>
      </c>
      <c r="D248">
        <f t="shared" ref="D248:I248" ca="1" si="63">+RAND()</f>
        <v>0.21930987868626362</v>
      </c>
      <c r="E248">
        <f t="shared" ca="1" si="63"/>
        <v>0.67671616310336835</v>
      </c>
      <c r="F248">
        <f t="shared" ca="1" si="63"/>
        <v>0.57263987625192436</v>
      </c>
      <c r="G248">
        <f t="shared" ca="1" si="63"/>
        <v>0.13752118716431294</v>
      </c>
      <c r="H248">
        <f t="shared" ca="1" si="63"/>
        <v>3.5681370936985868E-2</v>
      </c>
      <c r="I248">
        <f t="shared" ca="1" si="63"/>
        <v>0.45384829223608447</v>
      </c>
      <c r="J248" s="876"/>
      <c r="K248" s="876"/>
      <c r="L248" s="876"/>
      <c r="M248" s="876"/>
      <c r="N248" s="876"/>
      <c r="O248" s="876"/>
      <c r="P248" s="876"/>
      <c r="Q248" s="876"/>
      <c r="R248" s="876"/>
      <c r="S248" s="876"/>
      <c r="T248" s="876"/>
      <c r="U248" s="876"/>
      <c r="V248" s="876"/>
      <c r="W248" s="876"/>
      <c r="X248" s="876"/>
      <c r="Y248" s="876"/>
      <c r="Z248" s="876"/>
      <c r="AA248" s="876"/>
      <c r="AB248" s="876"/>
      <c r="AC248" s="876"/>
      <c r="AD248" s="876"/>
      <c r="AE248" s="876"/>
      <c r="AF248" s="876"/>
      <c r="AG248" s="876"/>
      <c r="AH248" s="876"/>
      <c r="AI248" s="876"/>
      <c r="AJ248" s="876"/>
    </row>
    <row r="249" spans="1:36">
      <c r="A249" s="876"/>
      <c r="B249" s="282"/>
      <c r="C249" s="881">
        <f ca="1">IFERROR(IF(C$248&lt;=(C$190-C$189)/(C$191-C$189),C$189+SQRT(C$248*(C$191-C$189)*(C$190-C$189)),C$191-SQRT((1-C$248)*(C$191-C$189)*(C$191-C$190))),1)</f>
        <v>0.96635590988915476</v>
      </c>
      <c r="D249" s="881">
        <f t="shared" ref="D249:I249" ca="1" si="64">IFERROR(IF(D$248&lt;=(D$190-D$189)/(D$191-D$189),D$189+SQRT(D$248*(D$191-D$189)*(D$190-D$189)),D$191-SQRT((1-D$248)*(D$191-D$189)*(D$191-D$190))),1)</f>
        <v>0.98311418719267196</v>
      </c>
      <c r="E249" s="881">
        <f t="shared" ca="1" si="64"/>
        <v>1.0097952840517042</v>
      </c>
      <c r="F249" s="881">
        <f t="shared" ca="1" si="64"/>
        <v>1.0037744592379887</v>
      </c>
      <c r="G249" s="881">
        <f t="shared" ca="1" si="64"/>
        <v>0.97622224124329504</v>
      </c>
      <c r="H249" s="881">
        <f t="shared" ca="1" si="64"/>
        <v>0.96335690288520992</v>
      </c>
      <c r="I249" s="881">
        <f t="shared" ca="1" si="64"/>
        <v>0.99763655593323708</v>
      </c>
    </row>
    <row r="250" spans="1:36">
      <c r="A250" s="876"/>
      <c r="B250" s="282"/>
    </row>
    <row r="251" spans="1:36">
      <c r="A251" s="876"/>
      <c r="B251" s="1202">
        <v>1</v>
      </c>
      <c r="C251" s="881">
        <v>0.98375750062543399</v>
      </c>
      <c r="D251" s="881">
        <v>0.99219974583067527</v>
      </c>
      <c r="E251" s="881">
        <v>0.97734095705427471</v>
      </c>
      <c r="F251" s="881">
        <v>1.0018645733164209</v>
      </c>
      <c r="G251" s="881">
        <v>1.0116517843958654</v>
      </c>
      <c r="H251" s="881">
        <v>0.99336373673317424</v>
      </c>
      <c r="I251" s="881">
        <v>0.97253494828339948</v>
      </c>
      <c r="K251">
        <v>1.0750642246853892</v>
      </c>
      <c r="L251">
        <v>0</v>
      </c>
      <c r="M251">
        <v>7.3387166840651566E-4</v>
      </c>
      <c r="N251">
        <v>6.8138265573001663E-2</v>
      </c>
      <c r="O251">
        <v>8.9700216552389463E-3</v>
      </c>
      <c r="P251">
        <v>1.2462851008853129E-2</v>
      </c>
      <c r="Q251">
        <v>2.9455832833085787E-3</v>
      </c>
      <c r="R251">
        <v>7.2139740814650447E-4</v>
      </c>
      <c r="S251">
        <v>8.4595657843480429E-2</v>
      </c>
      <c r="T251">
        <v>0.81767485414271002</v>
      </c>
      <c r="U251">
        <v>1.7189834746064236E-2</v>
      </c>
      <c r="V251">
        <v>1.0414739862022742E-2</v>
      </c>
      <c r="W251">
        <v>4.1370821010246438E-2</v>
      </c>
      <c r="X251">
        <v>9.3506638843385698E-3</v>
      </c>
      <c r="Y251">
        <v>1.9634059363831018E-3</v>
      </c>
    </row>
    <row r="252" spans="1:36">
      <c r="A252" s="876"/>
      <c r="B252" s="1202">
        <v>2</v>
      </c>
      <c r="C252" s="881">
        <v>0.9943479801619447</v>
      </c>
      <c r="D252" s="881">
        <v>0.98951150310368619</v>
      </c>
      <c r="E252" s="881">
        <v>0.99691060342103732</v>
      </c>
      <c r="F252" s="881">
        <v>1.0165746495771619</v>
      </c>
      <c r="G252" s="881">
        <v>0.98896483000999691</v>
      </c>
      <c r="H252" s="881">
        <v>1.0005722632496634</v>
      </c>
      <c r="I252" s="881">
        <v>0.95273108338248624</v>
      </c>
      <c r="K252">
        <v>1.0728075761034435</v>
      </c>
      <c r="L252">
        <v>0</v>
      </c>
      <c r="M252">
        <v>7.0287007150222393E-4</v>
      </c>
      <c r="N252">
        <v>6.9369432166495743E-2</v>
      </c>
      <c r="O252">
        <v>8.887344869299459E-3</v>
      </c>
      <c r="P252">
        <v>1.2593801417220479E-2</v>
      </c>
      <c r="Q252">
        <v>2.9762249931492356E-3</v>
      </c>
      <c r="R252">
        <v>6.9101121786637853E-4</v>
      </c>
      <c r="S252">
        <v>8.2349681456648935E-2</v>
      </c>
      <c r="T252">
        <v>0.81608634461225349</v>
      </c>
      <c r="U252">
        <v>1.7006751362031433E-2</v>
      </c>
      <c r="V252">
        <v>1.0413687373482401E-2</v>
      </c>
      <c r="W252">
        <v>4.1553075892548322E-2</v>
      </c>
      <c r="X252">
        <v>9.702386070704656E-3</v>
      </c>
      <c r="Y252">
        <v>1.8807047432455332E-3</v>
      </c>
    </row>
    <row r="253" spans="1:36">
      <c r="A253" s="876"/>
      <c r="B253" s="1202">
        <v>3</v>
      </c>
      <c r="C253" s="881">
        <v>0.99355389950695439</v>
      </c>
      <c r="D253" s="881">
        <v>0.99783227299747645</v>
      </c>
      <c r="E253" s="881">
        <v>0.9684248800883769</v>
      </c>
      <c r="F253" s="881">
        <v>1.0051336222328986</v>
      </c>
      <c r="G253" s="881">
        <v>1.0392916439696704</v>
      </c>
      <c r="H253" s="881">
        <v>1.0329241299454224</v>
      </c>
      <c r="I253" s="881">
        <v>1.0064434768682817</v>
      </c>
      <c r="K253">
        <v>1.0808635666252138</v>
      </c>
      <c r="L253">
        <v>0</v>
      </c>
      <c r="M253">
        <v>7.6751719060558568E-4</v>
      </c>
      <c r="N253">
        <v>6.9354154115694164E-2</v>
      </c>
      <c r="O253">
        <v>8.8547945177363703E-3</v>
      </c>
      <c r="P253">
        <v>1.2429170831560645E-2</v>
      </c>
      <c r="Q253">
        <v>2.8826305490483413E-3</v>
      </c>
      <c r="R253">
        <v>7.5496546084316942E-4</v>
      </c>
      <c r="S253">
        <v>8.7872279344443457E-2</v>
      </c>
      <c r="T253">
        <v>0.81840288818573292</v>
      </c>
      <c r="U253">
        <v>1.7020343711945721E-2</v>
      </c>
      <c r="V253">
        <v>1.0413765511608339E-2</v>
      </c>
      <c r="W253">
        <v>4.2371701811326545E-2</v>
      </c>
      <c r="X253">
        <v>9.2196226657626831E-3</v>
      </c>
      <c r="Y253">
        <v>2.0547671101178262E-3</v>
      </c>
    </row>
    <row r="254" spans="1:36">
      <c r="A254" s="876"/>
      <c r="B254" s="1202">
        <v>4</v>
      </c>
      <c r="C254" s="881">
        <v>0.9859045106951847</v>
      </c>
      <c r="D254" s="881">
        <v>1.01145438766608</v>
      </c>
      <c r="E254" s="881">
        <v>0.97222492794103588</v>
      </c>
      <c r="F254" s="881">
        <v>1.0130566761594904</v>
      </c>
      <c r="G254" s="881">
        <v>1.0318432728115645</v>
      </c>
      <c r="H254" s="881">
        <v>0.97299342351475726</v>
      </c>
      <c r="I254" s="881">
        <v>1.0071401810470164</v>
      </c>
      <c r="K254">
        <v>1.0722395239774478</v>
      </c>
      <c r="L254">
        <v>0</v>
      </c>
      <c r="M254">
        <v>7.1762152211498405E-4</v>
      </c>
      <c r="N254">
        <v>6.5550035989886013E-2</v>
      </c>
      <c r="O254">
        <v>8.8592338125001516E-3</v>
      </c>
      <c r="P254">
        <v>1.2435966171210485E-2</v>
      </c>
      <c r="Q254">
        <v>2.8982249272617579E-3</v>
      </c>
      <c r="R254">
        <v>7.0515053066796734E-4</v>
      </c>
      <c r="S254">
        <v>8.5842905980614836E-2</v>
      </c>
      <c r="T254">
        <v>0.81809227048677569</v>
      </c>
      <c r="U254">
        <v>1.715240034151818E-2</v>
      </c>
      <c r="V254">
        <v>1.0414524663456206E-2</v>
      </c>
      <c r="W254">
        <v>3.994140994646439E-2</v>
      </c>
      <c r="X254">
        <v>9.1458353575378445E-3</v>
      </c>
      <c r="Y254">
        <v>1.9191872916682459E-3</v>
      </c>
    </row>
    <row r="255" spans="1:36">
      <c r="A255" s="876"/>
      <c r="B255" s="1202">
        <v>5</v>
      </c>
      <c r="C255" s="881">
        <v>0.96770469445006813</v>
      </c>
      <c r="D255" s="881">
        <v>1.0235536994547254</v>
      </c>
      <c r="E255" s="881">
        <v>1.030820281863839</v>
      </c>
      <c r="F255" s="881">
        <v>1.0367930458036003</v>
      </c>
      <c r="G255" s="881">
        <v>1.031965944897272</v>
      </c>
      <c r="H255" s="881">
        <v>1.0223331402040226</v>
      </c>
      <c r="I255" s="881">
        <v>0.9585041317508739</v>
      </c>
      <c r="K255">
        <v>1.0804014229050753</v>
      </c>
      <c r="L255">
        <v>0</v>
      </c>
      <c r="M255">
        <v>6.7472217043365004E-4</v>
      </c>
      <c r="N255">
        <v>7.4016455687306873E-2</v>
      </c>
      <c r="O255">
        <v>8.9688909463255841E-3</v>
      </c>
      <c r="P255">
        <v>1.2911015388662564E-2</v>
      </c>
      <c r="Q255">
        <v>3.1147060927578709E-3</v>
      </c>
      <c r="R255">
        <v>6.6355291203673637E-4</v>
      </c>
      <c r="S255">
        <v>8.4469583573462043E-2</v>
      </c>
      <c r="T255">
        <v>0.81336463854901542</v>
      </c>
      <c r="U255">
        <v>1.747498897436104E-2</v>
      </c>
      <c r="V255">
        <v>1.04163791236034E-2</v>
      </c>
      <c r="W255">
        <v>4.3329455203232579E-2</v>
      </c>
      <c r="X255">
        <v>1.0540506338339216E-2</v>
      </c>
      <c r="Y255">
        <v>1.8059722864053312E-3</v>
      </c>
    </row>
    <row r="256" spans="1:36">
      <c r="A256" s="876"/>
      <c r="B256" s="1202">
        <v>6</v>
      </c>
      <c r="C256" s="881">
        <v>0.9772197888188876</v>
      </c>
      <c r="D256" s="881">
        <v>1.0380855499963888</v>
      </c>
      <c r="E256" s="881">
        <v>0.99012191525225457</v>
      </c>
      <c r="F256" s="881">
        <v>0.98832749566181688</v>
      </c>
      <c r="G256" s="881">
        <v>1.009961915244836</v>
      </c>
      <c r="H256" s="881">
        <v>1.0323562405153379</v>
      </c>
      <c r="I256" s="881">
        <v>0.996452117503835</v>
      </c>
      <c r="K256">
        <v>1.0800000906021567</v>
      </c>
      <c r="L256">
        <v>0</v>
      </c>
      <c r="M256">
        <v>7.2970400601431694E-4</v>
      </c>
      <c r="N256">
        <v>7.0545133072319577E-2</v>
      </c>
      <c r="O256">
        <v>8.8152332662113399E-3</v>
      </c>
      <c r="P256">
        <v>1.2600313347184864E-2</v>
      </c>
      <c r="Q256">
        <v>2.9423803146716122E-3</v>
      </c>
      <c r="R256">
        <v>7.1772963746716376E-4</v>
      </c>
      <c r="S256">
        <v>8.6710213515973439E-2</v>
      </c>
      <c r="T256">
        <v>0.81663592632052917</v>
      </c>
      <c r="U256">
        <v>1.7304836700443128E-2</v>
      </c>
      <c r="V256">
        <v>1.04154009719303E-2</v>
      </c>
      <c r="W256">
        <v>4.2454976029936559E-2</v>
      </c>
      <c r="X256">
        <v>9.6342279578301038E-3</v>
      </c>
      <c r="Y256">
        <v>1.9534234736742167E-3</v>
      </c>
    </row>
    <row r="257" spans="1:25">
      <c r="A257" s="876"/>
      <c r="B257" s="1202">
        <v>7</v>
      </c>
      <c r="C257" s="881">
        <v>0.96757576871656259</v>
      </c>
      <c r="D257" s="881">
        <v>0.99602155848215856</v>
      </c>
      <c r="E257" s="881">
        <v>0.98564929678553925</v>
      </c>
      <c r="F257" s="881">
        <v>0.99503060471459515</v>
      </c>
      <c r="G257" s="881">
        <v>1.0017532089909844</v>
      </c>
      <c r="H257" s="881">
        <v>0.98882845354413107</v>
      </c>
      <c r="I257" s="881">
        <v>1.0232928390036442</v>
      </c>
      <c r="K257">
        <v>1.0826099992393508</v>
      </c>
      <c r="L257">
        <v>0</v>
      </c>
      <c r="M257">
        <v>7.2840071518322788E-4</v>
      </c>
      <c r="N257">
        <v>6.9397825329545013E-2</v>
      </c>
      <c r="O257">
        <v>9.1013476747220726E-3</v>
      </c>
      <c r="P257">
        <v>1.2611574001465065E-2</v>
      </c>
      <c r="Q257">
        <v>3.0149001520355682E-3</v>
      </c>
      <c r="R257">
        <v>7.1595914188906501E-4</v>
      </c>
      <c r="S257">
        <v>9.0154354252564739E-2</v>
      </c>
      <c r="T257">
        <v>0.81699886353430207</v>
      </c>
      <c r="U257">
        <v>1.7477317449137289E-2</v>
      </c>
      <c r="V257">
        <v>1.0416392509269365E-2</v>
      </c>
      <c r="W257">
        <v>4.1893612101538892E-2</v>
      </c>
      <c r="X257">
        <v>9.6076490397085067E-3</v>
      </c>
      <c r="Y257">
        <v>1.9486047683543424E-3</v>
      </c>
    </row>
    <row r="258" spans="1:25">
      <c r="A258" s="876"/>
      <c r="B258" s="1202">
        <v>8</v>
      </c>
      <c r="C258" s="881">
        <v>0.99781838222822672</v>
      </c>
      <c r="D258" s="881">
        <v>1.039760807639222</v>
      </c>
      <c r="E258" s="881">
        <v>1.0108359740369535</v>
      </c>
      <c r="F258" s="881">
        <v>0.9921712671755526</v>
      </c>
      <c r="G258" s="881">
        <v>0.99503104306670342</v>
      </c>
      <c r="H258" s="881">
        <v>0.98629685866499361</v>
      </c>
      <c r="I258" s="881">
        <v>0.98620374921206444</v>
      </c>
      <c r="K258">
        <v>1.0677111846004121</v>
      </c>
      <c r="L258">
        <v>0</v>
      </c>
      <c r="M258">
        <v>6.5305238959606265E-4</v>
      </c>
      <c r="N258">
        <v>6.7284579162077029E-2</v>
      </c>
      <c r="O258">
        <v>8.6258612703174753E-3</v>
      </c>
      <c r="P258">
        <v>1.2709246000558293E-2</v>
      </c>
      <c r="Q258">
        <v>2.9400802450206703E-3</v>
      </c>
      <c r="R258">
        <v>6.4183410571413458E-4</v>
      </c>
      <c r="S258">
        <v>8.23852651530078E-2</v>
      </c>
      <c r="T258">
        <v>0.81496390874671087</v>
      </c>
      <c r="U258">
        <v>1.6947602055786246E-2</v>
      </c>
      <c r="V258">
        <v>1.0413347342805581E-2</v>
      </c>
      <c r="W258">
        <v>3.9923042763642703E-2</v>
      </c>
      <c r="X258">
        <v>9.782609289167795E-3</v>
      </c>
      <c r="Y258">
        <v>1.7468608551977889E-3</v>
      </c>
    </row>
    <row r="259" spans="1:25">
      <c r="A259" s="876"/>
      <c r="B259" s="1202">
        <v>9</v>
      </c>
      <c r="C259" s="881">
        <v>1.0067087351227268</v>
      </c>
      <c r="D259" s="881">
        <v>0.97518393907090983</v>
      </c>
      <c r="E259" s="881">
        <v>1.0338941831802386</v>
      </c>
      <c r="F259" s="881">
        <v>1.012654886972425</v>
      </c>
      <c r="G259" s="881">
        <v>0.99997548614822074</v>
      </c>
      <c r="H259" s="881">
        <v>0.96143866220635221</v>
      </c>
      <c r="I259" s="881">
        <v>0.98330033002657391</v>
      </c>
      <c r="K259">
        <v>1.0692748690731331</v>
      </c>
      <c r="L259">
        <v>0</v>
      </c>
      <c r="M259">
        <v>6.2180457813998272E-4</v>
      </c>
      <c r="N259">
        <v>6.8796274537838792E-2</v>
      </c>
      <c r="O259">
        <v>8.8468818817505467E-3</v>
      </c>
      <c r="P259">
        <v>1.2908808988011848E-2</v>
      </c>
      <c r="Q259">
        <v>3.0705473017522658E-3</v>
      </c>
      <c r="R259">
        <v>6.1089822080514296E-4</v>
      </c>
      <c r="S259">
        <v>8.3176685470317896E-2</v>
      </c>
      <c r="T259">
        <v>0.81311985470284287</v>
      </c>
      <c r="U259">
        <v>1.6797935962968285E-2</v>
      </c>
      <c r="V259">
        <v>1.0412486959716196E-2</v>
      </c>
      <c r="W259">
        <v>4.019080758073889E-2</v>
      </c>
      <c r="X259">
        <v>1.030282847004276E-2</v>
      </c>
      <c r="Y259">
        <v>1.6626635744872336E-3</v>
      </c>
    </row>
    <row r="260" spans="1:25">
      <c r="A260" s="876"/>
      <c r="B260" s="1202">
        <v>10</v>
      </c>
      <c r="C260" s="881">
        <v>1.0315723946518407</v>
      </c>
      <c r="D260" s="881">
        <v>1.0060967321301348</v>
      </c>
      <c r="E260" s="881">
        <v>0.98474110955125116</v>
      </c>
      <c r="F260" s="881">
        <v>1.0381049780312077</v>
      </c>
      <c r="G260" s="881">
        <v>0.98982314653537118</v>
      </c>
      <c r="H260" s="881">
        <v>1.0038156288230764</v>
      </c>
      <c r="I260" s="881">
        <v>0.96483050791637259</v>
      </c>
      <c r="K260">
        <v>1.0638796432582613</v>
      </c>
      <c r="L260">
        <v>0</v>
      </c>
      <c r="M260">
        <v>6.9118160312246649E-4</v>
      </c>
      <c r="N260">
        <v>6.5682005517463157E-2</v>
      </c>
      <c r="O260">
        <v>8.4910284838562236E-3</v>
      </c>
      <c r="P260">
        <v>1.2449904098994316E-2</v>
      </c>
      <c r="Q260">
        <v>2.8122512522855002E-3</v>
      </c>
      <c r="R260">
        <v>6.7954342710274077E-4</v>
      </c>
      <c r="S260">
        <v>7.9831268813051304E-2</v>
      </c>
      <c r="T260">
        <v>0.81707264252113554</v>
      </c>
      <c r="U260">
        <v>1.6393060684470676E-2</v>
      </c>
      <c r="V260">
        <v>1.0410159459636768E-2</v>
      </c>
      <c r="W260">
        <v>3.9675374937740329E-2</v>
      </c>
      <c r="X260">
        <v>9.2240924685044398E-3</v>
      </c>
      <c r="Y260">
        <v>1.8494931971431204E-3</v>
      </c>
    </row>
    <row r="261" spans="1:25">
      <c r="A261" s="876"/>
      <c r="B261" s="1202">
        <v>11</v>
      </c>
      <c r="C261" s="881">
        <v>1.013290949924347</v>
      </c>
      <c r="D261" s="881">
        <v>1.0008139730712753</v>
      </c>
      <c r="E261" s="881">
        <v>0.98709038933960147</v>
      </c>
      <c r="F261" s="881">
        <v>1.0480319304211172</v>
      </c>
      <c r="G261" s="881">
        <v>0.99864227177660214</v>
      </c>
      <c r="H261" s="881">
        <v>0.96000491164111312</v>
      </c>
      <c r="I261" s="881">
        <v>0.98821689457956197</v>
      </c>
      <c r="K261">
        <v>1.0639832470485731</v>
      </c>
      <c r="L261">
        <v>0</v>
      </c>
      <c r="M261">
        <v>6.715050392511043E-4</v>
      </c>
      <c r="N261">
        <v>6.423096728153227E-2</v>
      </c>
      <c r="O261">
        <v>8.6685148192848834E-3</v>
      </c>
      <c r="P261">
        <v>1.2501899526691266E-2</v>
      </c>
      <c r="Q261">
        <v>2.8767465797775687E-3</v>
      </c>
      <c r="R261">
        <v>6.5968674249784374E-4</v>
      </c>
      <c r="S261">
        <v>8.1933004828318418E-2</v>
      </c>
      <c r="T261">
        <v>0.81688184992520929</v>
      </c>
      <c r="U261">
        <v>1.6688818613464343E-2</v>
      </c>
      <c r="V261">
        <v>1.0411859678543162E-2</v>
      </c>
      <c r="W261">
        <v>3.873593711310306E-2</v>
      </c>
      <c r="X261">
        <v>9.270017131996924E-3</v>
      </c>
      <c r="Y261">
        <v>1.7954498474029117E-3</v>
      </c>
    </row>
    <row r="262" spans="1:25">
      <c r="A262" s="876"/>
      <c r="B262" s="1202">
        <v>12</v>
      </c>
      <c r="C262" s="881">
        <v>1.0186529245977995</v>
      </c>
      <c r="D262" s="881">
        <v>0.96758426773118467</v>
      </c>
      <c r="E262" s="881">
        <v>1.0339306005369033</v>
      </c>
      <c r="F262" s="881">
        <v>1.0287383414355771</v>
      </c>
      <c r="G262" s="881">
        <v>1.0018076186604019</v>
      </c>
      <c r="H262" s="881">
        <v>1.0204693685103896</v>
      </c>
      <c r="I262" s="881">
        <v>1.0353898248737603</v>
      </c>
      <c r="K262">
        <v>1.0811721531049221</v>
      </c>
      <c r="L262">
        <v>0</v>
      </c>
      <c r="M262">
        <v>6.5492117983004282E-4</v>
      </c>
      <c r="N262">
        <v>7.2544024707390117E-2</v>
      </c>
      <c r="O262">
        <v>8.7798029493035765E-3</v>
      </c>
      <c r="P262">
        <v>1.298890800298875E-2</v>
      </c>
      <c r="Q262">
        <v>3.0455725921075139E-3</v>
      </c>
      <c r="R262">
        <v>6.4410475330274424E-4</v>
      </c>
      <c r="S262">
        <v>8.9077937086452841E-2</v>
      </c>
      <c r="T262">
        <v>0.81311695661535466</v>
      </c>
      <c r="U262">
        <v>1.6600972183562247E-2</v>
      </c>
      <c r="V262">
        <v>1.0411354677167592E-2</v>
      </c>
      <c r="W262">
        <v>4.2379213105105652E-2</v>
      </c>
      <c r="X262">
        <v>1.0485186802599713E-2</v>
      </c>
      <c r="Y262">
        <v>1.7530408094152087E-3</v>
      </c>
    </row>
    <row r="263" spans="1:25">
      <c r="A263" s="876"/>
      <c r="B263" s="1202">
        <v>13</v>
      </c>
      <c r="C263" s="881">
        <v>1.0463593477266344</v>
      </c>
      <c r="D263" s="881">
        <v>1.0031311924257222</v>
      </c>
      <c r="E263" s="881">
        <v>1.0362109464868829</v>
      </c>
      <c r="F263" s="881">
        <v>0.99906116441809079</v>
      </c>
      <c r="G263" s="881">
        <v>1.0035894212328942</v>
      </c>
      <c r="H263" s="881">
        <v>0.9799280979599988</v>
      </c>
      <c r="I263" s="881">
        <v>1.0450889052495724</v>
      </c>
      <c r="K263">
        <v>1.0654607530393929</v>
      </c>
      <c r="L263">
        <v>0</v>
      </c>
      <c r="M263">
        <v>5.9770134146663423E-4</v>
      </c>
      <c r="N263">
        <v>6.6626622185563464E-2</v>
      </c>
      <c r="O263">
        <v>8.3842168353502472E-3</v>
      </c>
      <c r="P263">
        <v>1.2937804968372024E-2</v>
      </c>
      <c r="Q263">
        <v>2.922812842192651E-3</v>
      </c>
      <c r="R263">
        <v>5.8739409226219233E-4</v>
      </c>
      <c r="S263">
        <v>8.4523708189265204E-2</v>
      </c>
      <c r="T263">
        <v>0.81293557728017651</v>
      </c>
      <c r="U263">
        <v>1.6161397040790178E-2</v>
      </c>
      <c r="V263">
        <v>1.0408827698529825E-2</v>
      </c>
      <c r="W263">
        <v>3.8863124953572907E-2</v>
      </c>
      <c r="X263">
        <v>1.0108275210056399E-2</v>
      </c>
      <c r="Y263">
        <v>1.5986930847272135E-3</v>
      </c>
    </row>
    <row r="264" spans="1:25">
      <c r="A264" s="876"/>
      <c r="B264" s="1202">
        <v>14</v>
      </c>
      <c r="C264" s="881">
        <v>0.97644654041470136</v>
      </c>
      <c r="D264" s="881">
        <v>0.96461230358092953</v>
      </c>
      <c r="E264" s="881">
        <v>1.012772881333116</v>
      </c>
      <c r="F264" s="881">
        <v>1.0258081532512262</v>
      </c>
      <c r="G264" s="881">
        <v>0.98877230913080938</v>
      </c>
      <c r="H264" s="881">
        <v>1.0163349210946142</v>
      </c>
      <c r="I264" s="881">
        <v>1.0080279751336643</v>
      </c>
      <c r="K264">
        <v>1.0880485812402003</v>
      </c>
      <c r="L264">
        <v>0</v>
      </c>
      <c r="M264">
        <v>7.1274847624650493E-4</v>
      </c>
      <c r="N264">
        <v>7.3923627295304301E-2</v>
      </c>
      <c r="O264">
        <v>9.1743928512821264E-3</v>
      </c>
      <c r="P264">
        <v>1.2841648978710637E-2</v>
      </c>
      <c r="Q264">
        <v>3.1156030280314411E-3</v>
      </c>
      <c r="R264">
        <v>7.0093181962630131E-4</v>
      </c>
      <c r="S264">
        <v>9.0456304925735212E-2</v>
      </c>
      <c r="T264">
        <v>0.81480830952698147</v>
      </c>
      <c r="U264">
        <v>1.731854040751718E-2</v>
      </c>
      <c r="V264">
        <v>1.0415479750213393E-2</v>
      </c>
      <c r="W264">
        <v>4.3804679162982023E-2</v>
      </c>
      <c r="X264">
        <v>1.0294106619151656E-2</v>
      </c>
      <c r="Y264">
        <v>1.9077053509105521E-3</v>
      </c>
    </row>
    <row r="265" spans="1:25">
      <c r="A265" s="876"/>
      <c r="B265" s="1202">
        <v>15</v>
      </c>
      <c r="C265" s="881">
        <v>1.0114507425652337</v>
      </c>
      <c r="D265" s="881">
        <v>0.9847796755666991</v>
      </c>
      <c r="E265" s="881">
        <v>1.0200119096733768</v>
      </c>
      <c r="F265" s="881">
        <v>0.96203941001533144</v>
      </c>
      <c r="G265" s="881">
        <v>0.98855593319909563</v>
      </c>
      <c r="H265" s="881">
        <v>1.0103809451140162</v>
      </c>
      <c r="I265" s="881">
        <v>0.95880966725136685</v>
      </c>
      <c r="K265">
        <v>1.0721286004477071</v>
      </c>
      <c r="L265">
        <v>0</v>
      </c>
      <c r="M265">
        <v>6.6628267792704233E-4</v>
      </c>
      <c r="N265">
        <v>7.066755892083397E-2</v>
      </c>
      <c r="O265">
        <v>8.759457372478607E-3</v>
      </c>
      <c r="P265">
        <v>1.2776793259109458E-2</v>
      </c>
      <c r="Q265">
        <v>3.0009056459124029E-3</v>
      </c>
      <c r="R265">
        <v>6.5515419992373764E-4</v>
      </c>
      <c r="S265">
        <v>8.2003971749953858E-2</v>
      </c>
      <c r="T265">
        <v>0.81422790185381599</v>
      </c>
      <c r="U265">
        <v>1.6719181819041203E-2</v>
      </c>
      <c r="V265">
        <v>1.041203422702053E-2</v>
      </c>
      <c r="W265">
        <v>4.1670679595964287E-2</v>
      </c>
      <c r="X265">
        <v>1.0118130720910905E-2</v>
      </c>
      <c r="Y265">
        <v>1.7831137606684523E-3</v>
      </c>
    </row>
    <row r="266" spans="1:25">
      <c r="A266" s="876"/>
      <c r="B266" s="1202">
        <v>16</v>
      </c>
      <c r="C266" s="881">
        <v>0.99080636580638115</v>
      </c>
      <c r="D266" s="881">
        <v>1.0017915781504969</v>
      </c>
      <c r="E266" s="881">
        <v>1.0395644458778492</v>
      </c>
      <c r="F266" s="881">
        <v>0.99546360770468767</v>
      </c>
      <c r="G266" s="881">
        <v>1.005828028638929</v>
      </c>
      <c r="H266" s="881">
        <v>0.97210513601583681</v>
      </c>
      <c r="I266" s="881">
        <v>1.0183436256016603</v>
      </c>
      <c r="K266">
        <v>1.0748590040150403</v>
      </c>
      <c r="L266">
        <v>0</v>
      </c>
      <c r="M266">
        <v>6.2218477040240226E-4</v>
      </c>
      <c r="N266">
        <v>7.0071388636222864E-2</v>
      </c>
      <c r="O266">
        <v>8.8606174307921393E-3</v>
      </c>
      <c r="P266">
        <v>1.3009505546365761E-2</v>
      </c>
      <c r="Q266">
        <v>3.0987955040167581E-3</v>
      </c>
      <c r="R266">
        <v>6.1137002435759176E-4</v>
      </c>
      <c r="S266">
        <v>8.6749124338934377E-2</v>
      </c>
      <c r="T266">
        <v>0.8126691618002434</v>
      </c>
      <c r="U266">
        <v>1.7067541600007233E-2</v>
      </c>
      <c r="V266">
        <v>1.0414036837357416E-2</v>
      </c>
      <c r="W266">
        <v>4.0781199507196261E-2</v>
      </c>
      <c r="X266">
        <v>1.0484499891721101E-2</v>
      </c>
      <c r="Y266">
        <v>1.6639476682270002E-3</v>
      </c>
    </row>
    <row r="267" spans="1:25">
      <c r="A267" s="876"/>
      <c r="B267" s="1202">
        <v>17</v>
      </c>
      <c r="C267" s="881">
        <v>1.0195422384686126</v>
      </c>
      <c r="D267" s="881">
        <v>0.98555424797270608</v>
      </c>
      <c r="E267" s="881">
        <v>1.0081181276200308</v>
      </c>
      <c r="F267" s="881">
        <v>0.98966079496706905</v>
      </c>
      <c r="G267" s="881">
        <v>1.0098543429599631</v>
      </c>
      <c r="H267" s="881">
        <v>0.96953520657760717</v>
      </c>
      <c r="I267" s="881">
        <v>0.97185641274584944</v>
      </c>
      <c r="K267">
        <v>1.0648049339113079</v>
      </c>
      <c r="L267">
        <v>0</v>
      </c>
      <c r="M267">
        <v>6.5012369478841133E-4</v>
      </c>
      <c r="N267">
        <v>6.6403779328477019E-2</v>
      </c>
      <c r="O267">
        <v>8.6862909132392665E-3</v>
      </c>
      <c r="P267">
        <v>1.2663024906877988E-2</v>
      </c>
      <c r="Q267">
        <v>2.940919861038384E-3</v>
      </c>
      <c r="R267">
        <v>6.3880698854677342E-4</v>
      </c>
      <c r="S267">
        <v>8.1024866751305741E-2</v>
      </c>
      <c r="T267">
        <v>0.81518245914150445</v>
      </c>
      <c r="U267">
        <v>1.6586491689988967E-2</v>
      </c>
      <c r="V267">
        <v>1.0411271433384299E-2</v>
      </c>
      <c r="W267">
        <v>3.9473279741050082E-2</v>
      </c>
      <c r="X267">
        <v>9.7052448105251106E-3</v>
      </c>
      <c r="Y267">
        <v>1.7386220401571376E-3</v>
      </c>
    </row>
    <row r="268" spans="1:25">
      <c r="A268" s="876"/>
      <c r="B268" s="1202">
        <v>18</v>
      </c>
      <c r="C268" s="881">
        <v>0.99107960532859463</v>
      </c>
      <c r="D268" s="881">
        <v>0.99701478373843377</v>
      </c>
      <c r="E268" s="881">
        <v>0.96851138117788815</v>
      </c>
      <c r="F268" s="881">
        <v>0.97764994773876501</v>
      </c>
      <c r="G268" s="881">
        <v>1.0038193409784935</v>
      </c>
      <c r="H268" s="881">
        <v>0.99475803447005717</v>
      </c>
      <c r="I268" s="881">
        <v>1.014664378536589</v>
      </c>
      <c r="K268">
        <v>1.0764832536033717</v>
      </c>
      <c r="L268">
        <v>0</v>
      </c>
      <c r="M268">
        <v>7.4119201205045157E-4</v>
      </c>
      <c r="N268">
        <v>6.6950771166364095E-2</v>
      </c>
      <c r="O268">
        <v>8.8807826820021911E-3</v>
      </c>
      <c r="P268">
        <v>1.2424821156459213E-2</v>
      </c>
      <c r="Q268">
        <v>2.8911694992535932E-3</v>
      </c>
      <c r="R268">
        <v>7.2860649679032841E-4</v>
      </c>
      <c r="S268">
        <v>8.7448227291052297E-2</v>
      </c>
      <c r="T268">
        <v>0.81839581212559487</v>
      </c>
      <c r="U268">
        <v>1.706283609816147E-2</v>
      </c>
      <c r="V268">
        <v>1.0414009786913724E-2</v>
      </c>
      <c r="W268">
        <v>4.090088754748377E-2</v>
      </c>
      <c r="X268">
        <v>9.1434950661506195E-3</v>
      </c>
      <c r="Y268">
        <v>1.9830266991961577E-3</v>
      </c>
    </row>
    <row r="269" spans="1:25">
      <c r="A269" s="876"/>
      <c r="B269" s="1202">
        <v>19</v>
      </c>
      <c r="C269" s="881">
        <v>1.0074737105563356</v>
      </c>
      <c r="D269" s="881">
        <v>0.98888967074925449</v>
      </c>
      <c r="E269" s="881">
        <v>1.0061417570815212</v>
      </c>
      <c r="F269" s="881">
        <v>0.97713042577167353</v>
      </c>
      <c r="G269" s="881">
        <v>0.97035230140457107</v>
      </c>
      <c r="H269" s="881">
        <v>0.98951919501749197</v>
      </c>
      <c r="I269" s="881">
        <v>0.97126566184629104</v>
      </c>
      <c r="K269">
        <v>1.0700603672301359</v>
      </c>
      <c r="L269">
        <v>0</v>
      </c>
      <c r="M269">
        <v>6.7306363981925205E-4</v>
      </c>
      <c r="N269">
        <v>6.8349833851146527E-2</v>
      </c>
      <c r="O269">
        <v>8.7745013099253619E-3</v>
      </c>
      <c r="P269">
        <v>1.2669619255366008E-2</v>
      </c>
      <c r="Q269">
        <v>2.9656649880027319E-3</v>
      </c>
      <c r="R269">
        <v>6.615813664348066E-4</v>
      </c>
      <c r="S269">
        <v>8.2500689870763103E-2</v>
      </c>
      <c r="T269">
        <v>0.81534154303036177</v>
      </c>
      <c r="U269">
        <v>1.6785181279434257E-2</v>
      </c>
      <c r="V269">
        <v>1.0412413637069649E-2</v>
      </c>
      <c r="W269">
        <v>4.068480760592097E-2</v>
      </c>
      <c r="X269">
        <v>9.7869882863337709E-3</v>
      </c>
      <c r="Y269">
        <v>1.8006063891967111E-3</v>
      </c>
    </row>
    <row r="270" spans="1:25">
      <c r="A270" s="876"/>
      <c r="B270" s="1202">
        <v>20</v>
      </c>
      <c r="C270" s="881">
        <v>1.0099508223082068</v>
      </c>
      <c r="D270" s="881">
        <v>1.0435842955022461</v>
      </c>
      <c r="E270" s="881">
        <v>0.97498509702952174</v>
      </c>
      <c r="F270" s="881">
        <v>1.0397548293492165</v>
      </c>
      <c r="G270" s="881">
        <v>0.99962538285194258</v>
      </c>
      <c r="H270" s="881">
        <v>0.98617872300548615</v>
      </c>
      <c r="I270" s="881">
        <v>0.98744328365487344</v>
      </c>
      <c r="K270">
        <v>1.063817369375476</v>
      </c>
      <c r="L270">
        <v>0</v>
      </c>
      <c r="M270">
        <v>6.9431252307011163E-4</v>
      </c>
      <c r="N270">
        <v>6.3981529891047925E-2</v>
      </c>
      <c r="O270">
        <v>8.5056392365594462E-3</v>
      </c>
      <c r="P270">
        <v>1.239350346049121E-2</v>
      </c>
      <c r="Q270">
        <v>2.7968437035458303E-3</v>
      </c>
      <c r="R270">
        <v>6.8238087555578543E-4</v>
      </c>
      <c r="S270">
        <v>8.134572524766627E-2</v>
      </c>
      <c r="T270">
        <v>0.81786695867883419</v>
      </c>
      <c r="U270">
        <v>1.6744012176061956E-2</v>
      </c>
      <c r="V270">
        <v>1.0412176968899357E-2</v>
      </c>
      <c r="W270">
        <v>3.8910745046850728E-2</v>
      </c>
      <c r="X270">
        <v>9.0149508165640792E-3</v>
      </c>
      <c r="Y270">
        <v>1.8572157964676765E-3</v>
      </c>
    </row>
    <row r="271" spans="1:25">
      <c r="A271" s="876"/>
      <c r="B271" s="1202">
        <v>21</v>
      </c>
      <c r="C271" s="881">
        <v>0.9884856019759557</v>
      </c>
      <c r="D271" s="881">
        <v>0.99596075819658181</v>
      </c>
      <c r="E271" s="881">
        <v>1.0051545896871643</v>
      </c>
      <c r="F271" s="881">
        <v>1.020908505345131</v>
      </c>
      <c r="G271" s="881">
        <v>0.95679963527357703</v>
      </c>
      <c r="H271" s="881">
        <v>1.0162658372337241</v>
      </c>
      <c r="I271" s="881">
        <v>1.0004323210913268</v>
      </c>
      <c r="K271">
        <v>1.080358546785342</v>
      </c>
      <c r="L271">
        <v>0</v>
      </c>
      <c r="M271">
        <v>7.0332949977509082E-4</v>
      </c>
      <c r="N271">
        <v>7.1236308283090702E-2</v>
      </c>
      <c r="O271">
        <v>8.9091133365861788E-3</v>
      </c>
      <c r="P271">
        <v>1.2731248413723615E-2</v>
      </c>
      <c r="Q271">
        <v>3.0097915286423456E-3</v>
      </c>
      <c r="R271">
        <v>6.9164055113723729E-4</v>
      </c>
      <c r="S271">
        <v>8.7273448109951607E-2</v>
      </c>
      <c r="T271">
        <v>0.81542105280235333</v>
      </c>
      <c r="U271">
        <v>1.7107612728145441E-2</v>
      </c>
      <c r="V271">
        <v>1.0414267193614936E-2</v>
      </c>
      <c r="W271">
        <v>4.2431501783593943E-2</v>
      </c>
      <c r="X271">
        <v>9.9534739733287952E-3</v>
      </c>
      <c r="Y271">
        <v>1.8824175809491533E-3</v>
      </c>
    </row>
    <row r="272" spans="1:25">
      <c r="A272" s="876"/>
      <c r="B272" s="1202">
        <v>22</v>
      </c>
      <c r="C272" s="881">
        <v>0.9830146675451733</v>
      </c>
      <c r="D272" s="881">
        <v>1.0239254384166865</v>
      </c>
      <c r="E272" s="881">
        <v>1.0021247790252197</v>
      </c>
      <c r="F272" s="881">
        <v>0.97557099374686218</v>
      </c>
      <c r="G272" s="881">
        <v>0.99046239830278759</v>
      </c>
      <c r="H272" s="881">
        <v>0.96504476841230213</v>
      </c>
      <c r="I272" s="881">
        <v>1.0123863593770113</v>
      </c>
      <c r="K272">
        <v>1.071575284215994</v>
      </c>
      <c r="L272">
        <v>0</v>
      </c>
      <c r="M272">
        <v>6.6602402524777238E-4</v>
      </c>
      <c r="N272">
        <v>6.6762786820228917E-2</v>
      </c>
      <c r="O272">
        <v>8.8274991499917316E-3</v>
      </c>
      <c r="P272">
        <v>1.2686106319233722E-2</v>
      </c>
      <c r="Q272">
        <v>2.9792988505157455E-3</v>
      </c>
      <c r="R272">
        <v>6.5434394856640104E-4</v>
      </c>
      <c r="S272">
        <v>8.572949106422266E-2</v>
      </c>
      <c r="T272">
        <v>0.81566529084651695</v>
      </c>
      <c r="U272">
        <v>1.7202824560270637E-2</v>
      </c>
      <c r="V272">
        <v>1.0414814536361224E-2</v>
      </c>
      <c r="W272">
        <v>3.984919165117215E-2</v>
      </c>
      <c r="X272">
        <v>9.6887519705880359E-3</v>
      </c>
      <c r="Y272">
        <v>1.78090852357307E-3</v>
      </c>
    </row>
    <row r="273" spans="1:25">
      <c r="A273" s="876"/>
      <c r="B273" s="1202">
        <v>23</v>
      </c>
      <c r="C273" s="881">
        <v>0.99828559619895063</v>
      </c>
      <c r="D273" s="881">
        <v>1.0121227628614688</v>
      </c>
      <c r="E273" s="881">
        <v>0.96398440588647538</v>
      </c>
      <c r="F273" s="881">
        <v>1.0145785256915616</v>
      </c>
      <c r="G273" s="881">
        <v>0.97499976080238815</v>
      </c>
      <c r="H273" s="881">
        <v>1.015472083121554</v>
      </c>
      <c r="I273" s="881">
        <v>0.99543366057073523</v>
      </c>
      <c r="K273">
        <v>1.0744468952246384</v>
      </c>
      <c r="L273">
        <v>0</v>
      </c>
      <c r="M273">
        <v>7.5228064219381215E-4</v>
      </c>
      <c r="N273">
        <v>6.702205426375632E-2</v>
      </c>
      <c r="O273">
        <v>8.7462803558247953E-3</v>
      </c>
      <c r="P273">
        <v>1.2355926210857971E-2</v>
      </c>
      <c r="Q273">
        <v>2.8373893899765953E-3</v>
      </c>
      <c r="R273">
        <v>7.3975360726767896E-4</v>
      </c>
      <c r="S273">
        <v>8.527010131175311E-2</v>
      </c>
      <c r="T273">
        <v>0.81876647184734375</v>
      </c>
      <c r="U273">
        <v>1.6939670301105103E-2</v>
      </c>
      <c r="V273">
        <v>1.0413301745653475E-2</v>
      </c>
      <c r="W273">
        <v>4.107450719457538E-2</v>
      </c>
      <c r="X273">
        <v>9.0203541794466029E-3</v>
      </c>
      <c r="Y273">
        <v>2.0133654592715249E-3</v>
      </c>
    </row>
    <row r="274" spans="1:25">
      <c r="A274" s="876"/>
      <c r="B274" s="1202">
        <v>24</v>
      </c>
      <c r="C274" s="881">
        <v>0.98373971755111145</v>
      </c>
      <c r="D274" s="881">
        <v>0.98301385479769954</v>
      </c>
      <c r="E274" s="881">
        <v>0.96610354576912139</v>
      </c>
      <c r="F274" s="881">
        <v>0.98217314326793059</v>
      </c>
      <c r="G274" s="881">
        <v>1.0168532694066763</v>
      </c>
      <c r="H274" s="881">
        <v>0.99511911891112625</v>
      </c>
      <c r="I274" s="881">
        <v>1.0292507845771517</v>
      </c>
      <c r="K274">
        <v>1.0811030787392895</v>
      </c>
      <c r="L274">
        <v>0</v>
      </c>
      <c r="M274">
        <v>7.5644640971888786E-4</v>
      </c>
      <c r="N274">
        <v>6.7819150001962245E-2</v>
      </c>
      <c r="O274">
        <v>9.0148401137586532E-3</v>
      </c>
      <c r="P274">
        <v>1.2440268394270594E-2</v>
      </c>
      <c r="Q274">
        <v>2.9244836089185799E-3</v>
      </c>
      <c r="R274">
        <v>7.4361991888854267E-4</v>
      </c>
      <c r="S274">
        <v>9.0013232125686099E-2</v>
      </c>
      <c r="T274">
        <v>0.81859287487213361</v>
      </c>
      <c r="U274">
        <v>1.719014548690698E-2</v>
      </c>
      <c r="V274">
        <v>1.0414741648373672E-2</v>
      </c>
      <c r="W274">
        <v>4.1501290851316056E-2</v>
      </c>
      <c r="X274">
        <v>9.180989841818565E-3</v>
      </c>
      <c r="Y274">
        <v>2.0238882849742327E-3</v>
      </c>
    </row>
    <row r="275" spans="1:25">
      <c r="A275" s="876"/>
      <c r="B275" s="1202">
        <v>25</v>
      </c>
      <c r="C275" s="881">
        <v>0.96556633455515684</v>
      </c>
      <c r="D275" s="881">
        <v>0.99702861622626882</v>
      </c>
      <c r="E275" s="881">
        <v>1.0178817853776578</v>
      </c>
      <c r="F275" s="881">
        <v>1.0010626167048586</v>
      </c>
      <c r="G275" s="881">
        <v>0.99030269434716978</v>
      </c>
      <c r="H275" s="881">
        <v>1.0247117950375502</v>
      </c>
      <c r="I275" s="881">
        <v>1.0112397510416695</v>
      </c>
      <c r="K275">
        <v>1.0887076358488847</v>
      </c>
      <c r="L275">
        <v>0</v>
      </c>
      <c r="M275">
        <v>7.0637122339357612E-4</v>
      </c>
      <c r="N275">
        <v>7.4441828566600352E-2</v>
      </c>
      <c r="O275">
        <v>9.1153731694156078E-3</v>
      </c>
      <c r="P275">
        <v>1.2888815830556587E-2</v>
      </c>
      <c r="Q275">
        <v>3.1191189836052521E-3</v>
      </c>
      <c r="R275">
        <v>6.9472756562693669E-4</v>
      </c>
      <c r="S275">
        <v>9.0578725446311958E-2</v>
      </c>
      <c r="T275">
        <v>0.81439850461468688</v>
      </c>
      <c r="U275">
        <v>1.7513689387009562E-2</v>
      </c>
      <c r="V275">
        <v>1.0416601600050587E-2</v>
      </c>
      <c r="W275">
        <v>4.3959447053971257E-2</v>
      </c>
      <c r="X275">
        <v>1.0396355437686956E-2</v>
      </c>
      <c r="Y275">
        <v>1.8908194167560619E-3</v>
      </c>
    </row>
    <row r="276" spans="1:25">
      <c r="A276" s="876"/>
      <c r="B276" s="1202">
        <v>26</v>
      </c>
      <c r="C276" s="881">
        <v>0.97418949379175102</v>
      </c>
      <c r="D276" s="881">
        <v>1.0031317421814125</v>
      </c>
      <c r="E276" s="881">
        <v>0.98529830823044706</v>
      </c>
      <c r="F276" s="881">
        <v>0.99443894135318522</v>
      </c>
      <c r="G276" s="881">
        <v>0.98996070514757306</v>
      </c>
      <c r="H276" s="881">
        <v>0.99127695491335899</v>
      </c>
      <c r="I276" s="881">
        <v>0.99788082920407561</v>
      </c>
      <c r="K276">
        <v>1.0782810716248905</v>
      </c>
      <c r="L276">
        <v>0</v>
      </c>
      <c r="M276">
        <v>7.2304060614233087E-4</v>
      </c>
      <c r="N276">
        <v>6.8814213136084781E-2</v>
      </c>
      <c r="O276">
        <v>9.005333307136567E-3</v>
      </c>
      <c r="P276">
        <v>1.2565762302291356E-2</v>
      </c>
      <c r="Q276">
        <v>2.9836188234241782E-3</v>
      </c>
      <c r="R276">
        <v>7.1071465471312777E-4</v>
      </c>
      <c r="S276">
        <v>8.7099413540253537E-2</v>
      </c>
      <c r="T276">
        <v>0.81702737370354306</v>
      </c>
      <c r="U276">
        <v>1.7358664791315547E-2</v>
      </c>
      <c r="V276">
        <v>1.0415710412620904E-2</v>
      </c>
      <c r="W276">
        <v>4.1551380745985682E-2</v>
      </c>
      <c r="X276">
        <v>9.5375958105576031E-3</v>
      </c>
      <c r="Y276">
        <v>1.9343310031061738E-3</v>
      </c>
    </row>
    <row r="277" spans="1:25">
      <c r="A277" s="876"/>
      <c r="B277" s="1202">
        <v>27</v>
      </c>
      <c r="C277" s="881">
        <v>1.025727257913793</v>
      </c>
      <c r="D277" s="881">
        <v>1.0047389807752325</v>
      </c>
      <c r="E277" s="881">
        <v>0.99305112347892621</v>
      </c>
      <c r="F277" s="881">
        <v>1.0232117955167803</v>
      </c>
      <c r="G277" s="881">
        <v>0.98875473592601115</v>
      </c>
      <c r="H277" s="881">
        <v>0.98212647505123352</v>
      </c>
      <c r="I277" s="881">
        <v>0.96568585626685732</v>
      </c>
      <c r="K277">
        <v>1.0623874170678249</v>
      </c>
      <c r="L277">
        <v>0</v>
      </c>
      <c r="M277">
        <v>6.6880293349260128E-4</v>
      </c>
      <c r="N277">
        <v>6.519677130223954E-2</v>
      </c>
      <c r="O277">
        <v>8.5455635031175675E-3</v>
      </c>
      <c r="P277">
        <v>1.251831645892681E-2</v>
      </c>
      <c r="Q277">
        <v>2.8539141882414285E-3</v>
      </c>
      <c r="R277">
        <v>6.5729401561497448E-4</v>
      </c>
      <c r="S277">
        <v>7.9683158289827388E-2</v>
      </c>
      <c r="T277">
        <v>0.81639859896948941</v>
      </c>
      <c r="U277">
        <v>1.6486477019579844E-2</v>
      </c>
      <c r="V277">
        <v>1.0410696480637905E-2</v>
      </c>
      <c r="W277">
        <v>3.9157237701706142E-2</v>
      </c>
      <c r="X277">
        <v>9.3592544383449792E-3</v>
      </c>
      <c r="Y277">
        <v>1.7889376335899468E-3</v>
      </c>
    </row>
    <row r="278" spans="1:25">
      <c r="A278" s="876"/>
      <c r="B278" s="1202">
        <v>28</v>
      </c>
      <c r="C278" s="881">
        <v>1.0210603955022106</v>
      </c>
      <c r="D278" s="881">
        <v>0.97743670351922751</v>
      </c>
      <c r="E278" s="881">
        <v>0.97561355818458551</v>
      </c>
      <c r="F278" s="881">
        <v>0.97340768843396308</v>
      </c>
      <c r="G278" s="881">
        <v>1.0142280916622244</v>
      </c>
      <c r="H278" s="881">
        <v>1.0183838076373006</v>
      </c>
      <c r="I278" s="881">
        <v>0.99164029225929839</v>
      </c>
      <c r="K278">
        <v>1.0735217053812369</v>
      </c>
      <c r="L278">
        <v>0</v>
      </c>
      <c r="M278">
        <v>7.3333532261924783E-4</v>
      </c>
      <c r="N278">
        <v>6.7752932986537784E-2</v>
      </c>
      <c r="O278">
        <v>8.7117824268234546E-3</v>
      </c>
      <c r="P278">
        <v>1.2440045403588776E-2</v>
      </c>
      <c r="Q278">
        <v>2.8525373294365193E-3</v>
      </c>
      <c r="R278">
        <v>7.2118989361729194E-4</v>
      </c>
      <c r="S278">
        <v>8.4609529322757351E-2</v>
      </c>
      <c r="T278">
        <v>0.81781569355234685</v>
      </c>
      <c r="U278">
        <v>1.6561830172283652E-2</v>
      </c>
      <c r="V278">
        <v>1.0411129662109376E-2</v>
      </c>
      <c r="W278">
        <v>4.1186322085349503E-2</v>
      </c>
      <c r="X278">
        <v>9.2292067187623762E-3</v>
      </c>
      <c r="Y278">
        <v>1.9628411502417321E-3</v>
      </c>
    </row>
    <row r="279" spans="1:25">
      <c r="A279" s="876"/>
      <c r="B279" s="1202">
        <v>29</v>
      </c>
      <c r="C279" s="881">
        <v>0.9694927128093983</v>
      </c>
      <c r="D279" s="881">
        <v>0.97948230343763598</v>
      </c>
      <c r="E279" s="881">
        <v>1.0156763999589182</v>
      </c>
      <c r="F279" s="881">
        <v>0.98365347437760453</v>
      </c>
      <c r="G279" s="881">
        <v>0.99202425817991746</v>
      </c>
      <c r="H279" s="881">
        <v>1.0191916193704011</v>
      </c>
      <c r="I279" s="881">
        <v>1.0281817743387538</v>
      </c>
      <c r="K279">
        <v>1.0904020687836631</v>
      </c>
      <c r="L279">
        <v>0</v>
      </c>
      <c r="M279">
        <v>7.0966569224073224E-4</v>
      </c>
      <c r="N279">
        <v>7.4273163463513772E-2</v>
      </c>
      <c r="O279">
        <v>9.1649207581808133E-3</v>
      </c>
      <c r="P279">
        <v>1.2893527933646568E-2</v>
      </c>
      <c r="Q279">
        <v>3.1250245717575884E-3</v>
      </c>
      <c r="R279">
        <v>6.9791977305163906E-4</v>
      </c>
      <c r="S279">
        <v>9.2328118684487551E-2</v>
      </c>
      <c r="T279">
        <v>0.81457529801350181</v>
      </c>
      <c r="U279">
        <v>1.7442760159536115E-2</v>
      </c>
      <c r="V279">
        <v>1.0416193850327783E-2</v>
      </c>
      <c r="W279">
        <v>4.3925311675287348E-2</v>
      </c>
      <c r="X279">
        <v>1.0369988039557985E-2</v>
      </c>
      <c r="Y279">
        <v>1.8995075530552072E-3</v>
      </c>
    </row>
    <row r="280" spans="1:25">
      <c r="A280" s="876"/>
      <c r="B280" s="1202">
        <v>30</v>
      </c>
      <c r="C280" s="881">
        <v>1.0113506235902636</v>
      </c>
      <c r="D280" s="881">
        <v>1.0419062590843584</v>
      </c>
      <c r="E280" s="881">
        <v>0.9964810539297706</v>
      </c>
      <c r="F280" s="881">
        <v>1.0277282785397772</v>
      </c>
      <c r="G280" s="881">
        <v>1.0101782391257246</v>
      </c>
      <c r="H280" s="881">
        <v>0.98588572011776354</v>
      </c>
      <c r="I280" s="881">
        <v>1.0095809517760865</v>
      </c>
      <c r="K280">
        <v>1.0659939918599097</v>
      </c>
      <c r="L280">
        <v>0</v>
      </c>
      <c r="M280">
        <v>6.630993029952721E-4</v>
      </c>
      <c r="N280">
        <v>6.5335852630789129E-2</v>
      </c>
      <c r="O280">
        <v>8.5011299125444893E-3</v>
      </c>
      <c r="P280">
        <v>1.2596662104953518E-2</v>
      </c>
      <c r="Q280">
        <v>2.8565719995906889E-3</v>
      </c>
      <c r="R280">
        <v>6.5170198548066471E-4</v>
      </c>
      <c r="S280">
        <v>8.3110341744322261E-2</v>
      </c>
      <c r="T280">
        <v>0.81612107265493228</v>
      </c>
      <c r="U280">
        <v>1.6720836939735268E-2</v>
      </c>
      <c r="V280">
        <v>1.0412043741786569E-2</v>
      </c>
      <c r="W280">
        <v>3.9148447266950166E-2</v>
      </c>
      <c r="X280">
        <v>9.4287122108426703E-3</v>
      </c>
      <c r="Y280">
        <v>1.7737179709765936E-3</v>
      </c>
    </row>
    <row r="281" spans="1:25">
      <c r="A281" s="876"/>
      <c r="B281" s="1202">
        <v>31</v>
      </c>
      <c r="C281" s="881">
        <v>0.96318415615896447</v>
      </c>
      <c r="D281" s="881">
        <v>1.0085526150487194</v>
      </c>
      <c r="E281" s="881">
        <v>0.97938198729153636</v>
      </c>
      <c r="F281" s="881">
        <v>1.0027682106867493</v>
      </c>
      <c r="G281" s="881">
        <v>0.97501686615871808</v>
      </c>
      <c r="H281" s="881">
        <v>0.99433153376405081</v>
      </c>
      <c r="I281" s="881">
        <v>0.99847686731090446</v>
      </c>
      <c r="K281">
        <v>1.0807149508028038</v>
      </c>
      <c r="L281">
        <v>0</v>
      </c>
      <c r="M281">
        <v>7.406014526911127E-4</v>
      </c>
      <c r="N281">
        <v>6.920157099232567E-2</v>
      </c>
      <c r="O281">
        <v>9.082103295789486E-3</v>
      </c>
      <c r="P281">
        <v>1.2531036697114363E-2</v>
      </c>
      <c r="Q281">
        <v>2.9922384571934024E-3</v>
      </c>
      <c r="R281">
        <v>7.2800995027749672E-4</v>
      </c>
      <c r="S281">
        <v>8.8023832341553601E-2</v>
      </c>
      <c r="T281">
        <v>0.81750857357176532</v>
      </c>
      <c r="U281">
        <v>1.7557004813481825E-2</v>
      </c>
      <c r="V281">
        <v>1.0416850606754404E-2</v>
      </c>
      <c r="W281">
        <v>4.1956885300570998E-2</v>
      </c>
      <c r="X281">
        <v>9.4760431324282454E-3</v>
      </c>
      <c r="Y281">
        <v>1.981403096239735E-3</v>
      </c>
    </row>
    <row r="282" spans="1:25">
      <c r="A282" s="876"/>
      <c r="B282" s="1202">
        <v>32</v>
      </c>
      <c r="C282" s="880">
        <v>1.0316878074498705</v>
      </c>
      <c r="D282" s="880">
        <v>1.0136490664064199</v>
      </c>
      <c r="E282" s="880">
        <v>0.98312454671473581</v>
      </c>
      <c r="F282" s="880">
        <v>0.99415697710444251</v>
      </c>
      <c r="G282" s="880">
        <v>0.95406024213063578</v>
      </c>
      <c r="H282" s="880">
        <v>0.99969501006817196</v>
      </c>
      <c r="I282" s="880">
        <v>1.0073186359714381</v>
      </c>
      <c r="K282">
        <v>1.0659900230287211</v>
      </c>
      <c r="L282">
        <v>0</v>
      </c>
      <c r="M282">
        <v>6.8786886405675866E-4</v>
      </c>
      <c r="N282">
        <v>6.5033681428308579E-2</v>
      </c>
      <c r="O282">
        <v>8.4563186394347265E-3</v>
      </c>
      <c r="P282">
        <v>1.2477560381821988E-2</v>
      </c>
      <c r="Q282">
        <v>2.7977229152491125E-3</v>
      </c>
      <c r="R282">
        <v>6.7623236589430306E-4</v>
      </c>
      <c r="S282">
        <v>8.2885092144345696E-2</v>
      </c>
      <c r="T282">
        <v>0.81720403738474801</v>
      </c>
      <c r="U282">
        <v>1.6391226826409932E-2</v>
      </c>
      <c r="V282">
        <v>1.0410148917366075E-2</v>
      </c>
      <c r="W282">
        <v>3.9327721607305126E-2</v>
      </c>
      <c r="X282">
        <v>9.1776677018695681E-3</v>
      </c>
      <c r="Y282">
        <v>1.8404815800247868E-3</v>
      </c>
    </row>
    <row r="283" spans="1:25">
      <c r="A283" s="876"/>
      <c r="B283" s="1202">
        <v>33</v>
      </c>
      <c r="C283" s="880">
        <v>0.97019454503104086</v>
      </c>
      <c r="D283" s="880">
        <v>0.99012875150862278</v>
      </c>
      <c r="E283" s="880">
        <v>1.0051711813619419</v>
      </c>
      <c r="F283" s="880">
        <v>1.0020385181162785</v>
      </c>
      <c r="G283" s="880">
        <v>1.008485925797959</v>
      </c>
      <c r="H283" s="880">
        <v>0.99575794539455209</v>
      </c>
      <c r="I283" s="880">
        <v>0.97257860136071295</v>
      </c>
      <c r="K283">
        <v>1.0797951649462632</v>
      </c>
      <c r="L283">
        <v>0</v>
      </c>
      <c r="M283">
        <v>7.0430282068558738E-4</v>
      </c>
      <c r="N283">
        <v>7.1314272952641047E-2</v>
      </c>
      <c r="O283">
        <v>9.105567906820133E-3</v>
      </c>
      <c r="P283">
        <v>1.2717806248575835E-2</v>
      </c>
      <c r="Q283">
        <v>3.0748583478118281E-3</v>
      </c>
      <c r="R283">
        <v>6.923617920645736E-4</v>
      </c>
      <c r="S283">
        <v>8.5957792314407686E-2</v>
      </c>
      <c r="T283">
        <v>0.8154197161793828</v>
      </c>
      <c r="U283">
        <v>1.7430142183917707E-2</v>
      </c>
      <c r="V283">
        <v>1.0416121313571875E-2</v>
      </c>
      <c r="W283">
        <v>4.2477460492851941E-2</v>
      </c>
      <c r="X283">
        <v>1.0008987473906246E-2</v>
      </c>
      <c r="Y283">
        <v>1.8843805609963557E-3</v>
      </c>
    </row>
    <row r="284" spans="1:25">
      <c r="A284" s="876"/>
      <c r="B284" s="1202">
        <v>34</v>
      </c>
      <c r="C284" s="880">
        <v>0.98975534424481937</v>
      </c>
      <c r="D284" s="880">
        <v>0.97179732527047424</v>
      </c>
      <c r="E284" s="880">
        <v>0.98186351294341034</v>
      </c>
      <c r="F284" s="880">
        <v>1.0271827639540905</v>
      </c>
      <c r="G284" s="880">
        <v>0.97300808513215298</v>
      </c>
      <c r="H284" s="880">
        <v>0.98256107805244153</v>
      </c>
      <c r="I284" s="880">
        <v>0.99426245881873188</v>
      </c>
      <c r="K284">
        <v>1.0763594507394327</v>
      </c>
      <c r="L284">
        <v>0</v>
      </c>
      <c r="M284">
        <v>7.2263220519051764E-4</v>
      </c>
      <c r="N284">
        <v>6.8035754655776062E-2</v>
      </c>
      <c r="O284">
        <v>9.0151708805176253E-3</v>
      </c>
      <c r="P284">
        <v>1.2524587376059361E-2</v>
      </c>
      <c r="Q284">
        <v>2.9694038023924704E-3</v>
      </c>
      <c r="R284">
        <v>7.1023302678215343E-4</v>
      </c>
      <c r="S284">
        <v>8.6463529837118067E-2</v>
      </c>
      <c r="T284">
        <v>0.81730659613817402</v>
      </c>
      <c r="U284">
        <v>1.7085665628666188E-2</v>
      </c>
      <c r="V284">
        <v>1.0414141026672949E-2</v>
      </c>
      <c r="W284">
        <v>4.1179114680580768E-2</v>
      </c>
      <c r="X284">
        <v>9.4448657212356357E-3</v>
      </c>
      <c r="Y284">
        <v>1.9330201706466664E-3</v>
      </c>
    </row>
    <row r="285" spans="1:25">
      <c r="A285" s="876"/>
      <c r="B285" s="1202">
        <v>35</v>
      </c>
      <c r="C285" s="880">
        <v>0.9920320079288083</v>
      </c>
      <c r="D285" s="880">
        <v>0.98503003616744134</v>
      </c>
      <c r="E285" s="880">
        <v>1.0047572478171687</v>
      </c>
      <c r="F285" s="880">
        <v>1.013934296495435</v>
      </c>
      <c r="G285" s="880">
        <v>0.99396508840031406</v>
      </c>
      <c r="H285" s="880">
        <v>1.0072591166163818</v>
      </c>
      <c r="I285" s="880">
        <v>1.0272720484715347</v>
      </c>
      <c r="K285">
        <v>1.0817349256042004</v>
      </c>
      <c r="L285">
        <v>0</v>
      </c>
      <c r="M285">
        <v>6.9928328179573928E-4</v>
      </c>
      <c r="N285">
        <v>7.0729312828385626E-2</v>
      </c>
      <c r="O285">
        <v>8.9297088620702847E-3</v>
      </c>
      <c r="P285">
        <v>1.2756911579743015E-2</v>
      </c>
      <c r="Q285">
        <v>3.0130531531649459E-3</v>
      </c>
      <c r="R285">
        <v>6.8756719730956304E-4</v>
      </c>
      <c r="S285">
        <v>8.9451284262851927E-2</v>
      </c>
      <c r="T285">
        <v>0.81545306540394435</v>
      </c>
      <c r="U285">
        <v>1.7046454883304474E-2</v>
      </c>
      <c r="V285">
        <v>1.0413915616484205E-2</v>
      </c>
      <c r="W285">
        <v>4.2140928900576476E-2</v>
      </c>
      <c r="X285">
        <v>9.9406749435503542E-3</v>
      </c>
      <c r="Y285">
        <v>1.8713312546109525E-3</v>
      </c>
    </row>
    <row r="286" spans="1:25">
      <c r="A286" s="876"/>
      <c r="B286" s="1202">
        <v>36</v>
      </c>
      <c r="C286" s="880">
        <v>0.98067018031238717</v>
      </c>
      <c r="D286" s="880">
        <v>0.98193075815964304</v>
      </c>
      <c r="E286" s="880">
        <v>1.0344851555170576</v>
      </c>
      <c r="F286" s="880">
        <v>1.0448291312467721</v>
      </c>
      <c r="G286" s="880">
        <v>0.97046956620470615</v>
      </c>
      <c r="H286" s="880">
        <v>0.99745948914706539</v>
      </c>
      <c r="I286" s="880">
        <v>1.0078862019424901</v>
      </c>
      <c r="K286">
        <v>1.0826004121326254</v>
      </c>
      <c r="L286">
        <v>0</v>
      </c>
      <c r="M286">
        <v>6.5897493043730337E-4</v>
      </c>
      <c r="N286">
        <v>7.3089073384415684E-2</v>
      </c>
      <c r="O286">
        <v>9.0483837498942371E-3</v>
      </c>
      <c r="P286">
        <v>1.2995259276123982E-2</v>
      </c>
      <c r="Q286">
        <v>3.1439490366244106E-3</v>
      </c>
      <c r="R286">
        <v>6.4782831649230679E-4</v>
      </c>
      <c r="S286">
        <v>8.8556185520156316E-2</v>
      </c>
      <c r="T286">
        <v>0.81307283081489889</v>
      </c>
      <c r="U286">
        <v>1.7243951335978842E-2</v>
      </c>
      <c r="V286">
        <v>1.0415050961203185E-2</v>
      </c>
      <c r="W286">
        <v>4.2681804928565083E-2</v>
      </c>
      <c r="X286">
        <v>1.0601894617762737E-2</v>
      </c>
      <c r="Y286">
        <v>1.7631751209449221E-3</v>
      </c>
    </row>
    <row r="287" spans="1:25">
      <c r="A287" s="876"/>
      <c r="B287" s="1202">
        <v>37</v>
      </c>
      <c r="C287" s="880">
        <v>0.9678258414946459</v>
      </c>
      <c r="D287" s="880">
        <v>0.994394925171039</v>
      </c>
      <c r="E287" s="880">
        <v>0.96795530630120985</v>
      </c>
      <c r="F287" s="880">
        <v>1.0355854607399704</v>
      </c>
      <c r="G287" s="880">
        <v>0.98469600722724648</v>
      </c>
      <c r="H287" s="880">
        <v>1.0143754821522666</v>
      </c>
      <c r="I287" s="880">
        <v>0.96662782397132319</v>
      </c>
      <c r="K287">
        <v>1.0810641383683308</v>
      </c>
      <c r="L287">
        <v>0</v>
      </c>
      <c r="M287">
        <v>7.7595680236779629E-4</v>
      </c>
      <c r="N287">
        <v>6.9993187312956187E-2</v>
      </c>
      <c r="O287">
        <v>9.1069338572593549E-3</v>
      </c>
      <c r="P287">
        <v>1.2407974468263859E-2</v>
      </c>
      <c r="Q287">
        <v>2.9625242249245623E-3</v>
      </c>
      <c r="R287">
        <v>7.6303829124330081E-4</v>
      </c>
      <c r="S287">
        <v>8.6124413957969728E-2</v>
      </c>
      <c r="T287">
        <v>0.81844130519726577</v>
      </c>
      <c r="U287">
        <v>1.7472801552639621E-2</v>
      </c>
      <c r="V287">
        <v>1.0416366548806929E-2</v>
      </c>
      <c r="W287">
        <v>4.2776168932498512E-2</v>
      </c>
      <c r="X287">
        <v>9.298642133610046E-3</v>
      </c>
      <c r="Y287">
        <v>2.0767386932591583E-3</v>
      </c>
    </row>
    <row r="288" spans="1:25">
      <c r="A288" s="876"/>
      <c r="B288" s="1202">
        <v>38</v>
      </c>
      <c r="C288" s="880">
        <v>1.0042389398466447</v>
      </c>
      <c r="D288" s="880">
        <v>1.0202158415438456</v>
      </c>
      <c r="E288" s="880">
        <v>1.0183109474906906</v>
      </c>
      <c r="F288" s="880">
        <v>1.0186157757409486</v>
      </c>
      <c r="G288" s="880">
        <v>1.0118897888743943</v>
      </c>
      <c r="H288" s="880">
        <v>0.98833818442535859</v>
      </c>
      <c r="I288" s="880">
        <v>1.0019747805536583</v>
      </c>
      <c r="K288">
        <v>1.0701742636174367</v>
      </c>
      <c r="L288">
        <v>0</v>
      </c>
      <c r="M288">
        <v>6.4651827197821632E-4</v>
      </c>
      <c r="N288">
        <v>6.8180980867882365E-2</v>
      </c>
      <c r="O288">
        <v>8.6576386086154745E-3</v>
      </c>
      <c r="P288">
        <v>1.2792380264327404E-2</v>
      </c>
      <c r="Q288">
        <v>2.9688306705531022E-3</v>
      </c>
      <c r="R288">
        <v>6.3545040739155004E-4</v>
      </c>
      <c r="S288">
        <v>8.4026532427195905E-2</v>
      </c>
      <c r="T288">
        <v>0.81436412035692018</v>
      </c>
      <c r="U288">
        <v>1.6839248305323393E-2</v>
      </c>
      <c r="V288">
        <v>1.0412724451322186E-2</v>
      </c>
      <c r="W288">
        <v>4.0250613097739141E-2</v>
      </c>
      <c r="X288">
        <v>9.9627758993942848E-3</v>
      </c>
      <c r="Y288">
        <v>1.7294865327493005E-3</v>
      </c>
    </row>
    <row r="289" spans="1:25">
      <c r="A289" s="876"/>
      <c r="B289" s="1202">
        <v>39</v>
      </c>
      <c r="C289" s="880">
        <v>1.0104795503978425</v>
      </c>
      <c r="D289" s="880">
        <v>1.0173409682002199</v>
      </c>
      <c r="E289" s="880">
        <v>1.0146964651965948</v>
      </c>
      <c r="F289" s="880">
        <v>1.0033334213523597</v>
      </c>
      <c r="G289" s="880">
        <v>1.0189460669521015</v>
      </c>
      <c r="H289" s="880">
        <v>1.0091980856504734</v>
      </c>
      <c r="I289" s="880">
        <v>1.0431942624778037</v>
      </c>
      <c r="K289">
        <v>1.0756545566652058</v>
      </c>
      <c r="L289">
        <v>0</v>
      </c>
      <c r="M289">
        <v>6.6210391318468091E-4</v>
      </c>
      <c r="N289">
        <v>6.9069885893272495E-2</v>
      </c>
      <c r="O289">
        <v>8.6171044993856999E-3</v>
      </c>
      <c r="P289">
        <v>1.2813398172366154E-2</v>
      </c>
      <c r="Q289">
        <v>2.9436960713351682E-3</v>
      </c>
      <c r="R289">
        <v>6.5100580177865732E-4</v>
      </c>
      <c r="S289">
        <v>8.782791567559832E-2</v>
      </c>
      <c r="T289">
        <v>0.81465390707248198</v>
      </c>
      <c r="U289">
        <v>1.6735250960095514E-2</v>
      </c>
      <c r="V289">
        <v>1.0412126603436355E-2</v>
      </c>
      <c r="W289">
        <v>4.0875191724597727E-2</v>
      </c>
      <c r="X289">
        <v>9.9453549156048766E-3</v>
      </c>
      <c r="Y289">
        <v>1.7718231884366247E-3</v>
      </c>
    </row>
    <row r="290" spans="1:25">
      <c r="A290" s="876"/>
      <c r="B290" s="1202">
        <v>40</v>
      </c>
      <c r="C290" s="880">
        <v>1.0126344489410695</v>
      </c>
      <c r="D290" s="880">
        <v>1.0310505866748256</v>
      </c>
      <c r="E290" s="880">
        <v>1.0152795674604349</v>
      </c>
      <c r="F290" s="880">
        <v>1.0135251634914639</v>
      </c>
      <c r="G290" s="880">
        <v>1.0395545515787534</v>
      </c>
      <c r="H290" s="880">
        <v>1.016757863484733</v>
      </c>
      <c r="I290" s="880">
        <v>0.97690080383228528</v>
      </c>
      <c r="K290">
        <v>1.0691626271511518</v>
      </c>
      <c r="L290">
        <v>0</v>
      </c>
      <c r="M290">
        <v>6.6011830516350233E-4</v>
      </c>
      <c r="N290">
        <v>6.8995256118422693E-2</v>
      </c>
      <c r="O290">
        <v>8.5377436960559806E-3</v>
      </c>
      <c r="P290">
        <v>1.273434134744109E-2</v>
      </c>
      <c r="Q290">
        <v>2.9211705405977305E-3</v>
      </c>
      <c r="R290">
        <v>6.4912505664576215E-4</v>
      </c>
      <c r="S290">
        <v>8.1784037616287164E-2</v>
      </c>
      <c r="T290">
        <v>0.81460712744546493</v>
      </c>
      <c r="U290">
        <v>1.6699638140531509E-2</v>
      </c>
      <c r="V290">
        <v>1.0411921876586464E-2</v>
      </c>
      <c r="W290">
        <v>4.0814907789383618E-2</v>
      </c>
      <c r="X290">
        <v>9.9007714087247095E-3</v>
      </c>
      <c r="Y290">
        <v>1.7667044201723505E-3</v>
      </c>
    </row>
    <row r="291" spans="1:25">
      <c r="A291" s="876"/>
      <c r="B291" s="1202">
        <v>41</v>
      </c>
      <c r="C291" s="880">
        <v>1.0077046848241598</v>
      </c>
      <c r="D291" s="880">
        <v>1.0193318658738735</v>
      </c>
      <c r="E291" s="880">
        <v>1.0114157045286669</v>
      </c>
      <c r="F291" s="880">
        <v>0.9714408327615387</v>
      </c>
      <c r="G291" s="880">
        <v>0.98894290502920801</v>
      </c>
      <c r="H291" s="880">
        <v>0.99283722460116097</v>
      </c>
      <c r="I291" s="880">
        <v>1.0337199163537225</v>
      </c>
      <c r="K291">
        <v>1.0726771557226522</v>
      </c>
      <c r="L291">
        <v>0</v>
      </c>
      <c r="M291">
        <v>6.5701862894351423E-4</v>
      </c>
      <c r="N291">
        <v>6.7824826974278413E-2</v>
      </c>
      <c r="O291">
        <v>8.631844614725423E-3</v>
      </c>
      <c r="P291">
        <v>1.2769642033519261E-2</v>
      </c>
      <c r="Q291">
        <v>2.9395187876516266E-3</v>
      </c>
      <c r="R291">
        <v>6.4582268201977973E-4</v>
      </c>
      <c r="S291">
        <v>8.6591121084181211E-2</v>
      </c>
      <c r="T291">
        <v>0.81491732337006617</v>
      </c>
      <c r="U291">
        <v>1.6781333976732666E-2</v>
      </c>
      <c r="V291">
        <v>1.0412391520141746E-2</v>
      </c>
      <c r="W291">
        <v>4.0227759516645319E-2</v>
      </c>
      <c r="X291">
        <v>9.8348733465665299E-3</v>
      </c>
      <c r="Y291">
        <v>1.7577164450679299E-3</v>
      </c>
    </row>
    <row r="292" spans="1:25">
      <c r="A292" s="876"/>
      <c r="B292" s="1202">
        <v>42</v>
      </c>
      <c r="C292" s="880">
        <v>0.98448652369833101</v>
      </c>
      <c r="D292" s="880">
        <v>0.9798002985713008</v>
      </c>
      <c r="E292" s="880">
        <v>1.013776662217738</v>
      </c>
      <c r="F292" s="880">
        <v>0.99390035845458546</v>
      </c>
      <c r="G292" s="880">
        <v>1.0167297740927423</v>
      </c>
      <c r="H292" s="880">
        <v>1.0004812391213218</v>
      </c>
      <c r="I292" s="880">
        <v>1.0210676380203332</v>
      </c>
      <c r="K292">
        <v>1.0828684711215313</v>
      </c>
      <c r="L292">
        <v>0</v>
      </c>
      <c r="M292">
        <v>6.8866491119690099E-4</v>
      </c>
      <c r="N292">
        <v>7.1628385745779455E-2</v>
      </c>
      <c r="O292">
        <v>9.0237730331799715E-3</v>
      </c>
      <c r="P292">
        <v>1.2835967769292574E-2</v>
      </c>
      <c r="Q292">
        <v>3.0711491517764348E-3</v>
      </c>
      <c r="R292">
        <v>6.7705313939382401E-4</v>
      </c>
      <c r="S292">
        <v>8.9576798139758745E-2</v>
      </c>
      <c r="T292">
        <v>0.81472772220227296</v>
      </c>
      <c r="U292">
        <v>1.7177105484822434E-2</v>
      </c>
      <c r="V292">
        <v>1.0414666685520912E-2</v>
      </c>
      <c r="W292">
        <v>4.2415721635780973E-2</v>
      </c>
      <c r="X292">
        <v>1.016607759022729E-2</v>
      </c>
      <c r="Y292">
        <v>1.8427154549225707E-3</v>
      </c>
    </row>
    <row r="293" spans="1:25">
      <c r="A293" s="876"/>
      <c r="B293" s="1202">
        <v>43</v>
      </c>
      <c r="C293" s="880">
        <v>0.97740381225661999</v>
      </c>
      <c r="D293" s="880">
        <v>1.0071675216799072</v>
      </c>
      <c r="E293" s="880">
        <v>1.0240169327625395</v>
      </c>
      <c r="F293" s="880">
        <v>0.9695773835657745</v>
      </c>
      <c r="G293" s="880">
        <v>0.99789729143943184</v>
      </c>
      <c r="H293" s="880">
        <v>1.0383898062298333</v>
      </c>
      <c r="I293" s="880">
        <v>0.99720398627494811</v>
      </c>
      <c r="K293">
        <v>1.0856254591288172</v>
      </c>
      <c r="L293">
        <v>0</v>
      </c>
      <c r="M293">
        <v>6.9427804765226787E-4</v>
      </c>
      <c r="N293">
        <v>7.4590684551488567E-2</v>
      </c>
      <c r="O293">
        <v>8.9565299043133893E-3</v>
      </c>
      <c r="P293">
        <v>1.2905378971582037E-2</v>
      </c>
      <c r="Q293">
        <v>3.0858346132196005E-3</v>
      </c>
      <c r="R293">
        <v>6.8297609335832732E-4</v>
      </c>
      <c r="S293">
        <v>8.8292995149105685E-2</v>
      </c>
      <c r="T293">
        <v>0.81390755636823575</v>
      </c>
      <c r="U293">
        <v>1.7301578583890812E-2</v>
      </c>
      <c r="V293">
        <v>1.0415382242047463E-2</v>
      </c>
      <c r="W293">
        <v>4.3865495984455556E-2</v>
      </c>
      <c r="X293">
        <v>1.0456488931659031E-2</v>
      </c>
      <c r="Y293">
        <v>1.8588357831126998E-3</v>
      </c>
    </row>
    <row r="294" spans="1:25">
      <c r="A294" s="876"/>
      <c r="B294" s="1202">
        <v>44</v>
      </c>
      <c r="C294" s="880">
        <v>1.0106837518556291</v>
      </c>
      <c r="D294" s="880">
        <v>0.99520400189141422</v>
      </c>
      <c r="E294" s="880">
        <v>0.98597550773111653</v>
      </c>
      <c r="F294" s="880">
        <v>1.0346826176283124</v>
      </c>
      <c r="G294" s="880">
        <v>0.97434376360033825</v>
      </c>
      <c r="H294" s="880">
        <v>1.0016193586340898</v>
      </c>
      <c r="I294" s="880">
        <v>0.98266880835188097</v>
      </c>
      <c r="K294">
        <v>1.070885387415599</v>
      </c>
      <c r="L294">
        <v>0</v>
      </c>
      <c r="M294">
        <v>7.0617759424031624E-4</v>
      </c>
      <c r="N294">
        <v>6.7363937982300948E-2</v>
      </c>
      <c r="O294">
        <v>8.7169721985483894E-3</v>
      </c>
      <c r="P294">
        <v>1.2512476827330792E-2</v>
      </c>
      <c r="Q294">
        <v>2.8883494300277804E-3</v>
      </c>
      <c r="R294">
        <v>6.9427036043008224E-4</v>
      </c>
      <c r="S294">
        <v>8.3362358659709077E-2</v>
      </c>
      <c r="T294">
        <v>0.81697236974758902</v>
      </c>
      <c r="U294">
        <v>1.6731869721764318E-2</v>
      </c>
      <c r="V294">
        <v>1.0412107165765277E-2</v>
      </c>
      <c r="W294">
        <v>4.0656642275868966E-2</v>
      </c>
      <c r="X294">
        <v>9.3906355855768037E-3</v>
      </c>
      <c r="Y294">
        <v>1.8895750549278768E-3</v>
      </c>
    </row>
    <row r="295" spans="1:25">
      <c r="A295" s="876"/>
      <c r="B295" s="1202">
        <v>45</v>
      </c>
      <c r="C295" s="880">
        <v>0.99589784091303957</v>
      </c>
      <c r="D295" s="880">
        <v>0.97868392091723311</v>
      </c>
      <c r="E295" s="880">
        <v>1.0007500978275199</v>
      </c>
      <c r="F295" s="880">
        <v>1.0253731470716663</v>
      </c>
      <c r="G295" s="880">
        <v>0.99627036020180759</v>
      </c>
      <c r="H295" s="880">
        <v>1.0001517064989447</v>
      </c>
      <c r="I295" s="880">
        <v>1.0104522704497152</v>
      </c>
      <c r="K295">
        <v>1.078822953213213</v>
      </c>
      <c r="L295">
        <v>0</v>
      </c>
      <c r="M295">
        <v>6.9992440322950674E-4</v>
      </c>
      <c r="N295">
        <v>6.990935437050981E-2</v>
      </c>
      <c r="O295">
        <v>8.9258113941932532E-3</v>
      </c>
      <c r="P295">
        <v>1.2698028315681079E-2</v>
      </c>
      <c r="Q295">
        <v>2.9981906297051543E-3</v>
      </c>
      <c r="R295">
        <v>6.8811989078764368E-4</v>
      </c>
      <c r="S295">
        <v>8.7667602133369313E-2</v>
      </c>
      <c r="T295">
        <v>0.81577620908297099</v>
      </c>
      <c r="U295">
        <v>1.6980284695113614E-2</v>
      </c>
      <c r="V295">
        <v>1.0413535224974889E-2</v>
      </c>
      <c r="W295">
        <v>4.1766534698351884E-2</v>
      </c>
      <c r="X295">
        <v>9.8263716767214519E-3</v>
      </c>
      <c r="Y295">
        <v>1.872835504062932E-3</v>
      </c>
    </row>
    <row r="296" spans="1:25">
      <c r="A296" s="876"/>
      <c r="B296" s="1202">
        <v>46</v>
      </c>
      <c r="C296" s="880">
        <v>0.9788240171683642</v>
      </c>
      <c r="D296" s="880">
        <v>1.0280264559669658</v>
      </c>
      <c r="E296" s="880">
        <v>1.0225056795982783</v>
      </c>
      <c r="F296" s="880">
        <v>0.98524182216236311</v>
      </c>
      <c r="G296" s="880">
        <v>0.98371950035136102</v>
      </c>
      <c r="H296" s="880">
        <v>1.0464685336850432</v>
      </c>
      <c r="I296" s="880">
        <v>0.97046416436720906</v>
      </c>
      <c r="K296">
        <v>1.0816786170874102</v>
      </c>
      <c r="L296">
        <v>0</v>
      </c>
      <c r="M296">
        <v>6.9330965979654522E-4</v>
      </c>
      <c r="N296">
        <v>7.4145505212592958E-2</v>
      </c>
      <c r="O296">
        <v>8.846461502334358E-3</v>
      </c>
      <c r="P296">
        <v>1.2849692980119762E-2</v>
      </c>
      <c r="Q296">
        <v>3.0479728387104248E-3</v>
      </c>
      <c r="R296">
        <v>6.8209385626862007E-4</v>
      </c>
      <c r="S296">
        <v>8.5212113146173885E-2</v>
      </c>
      <c r="T296">
        <v>0.81402837109026893</v>
      </c>
      <c r="U296">
        <v>1.7276475208355714E-2</v>
      </c>
      <c r="V296">
        <v>1.0415237930671463E-2</v>
      </c>
      <c r="W296">
        <v>4.3648081066908692E-2</v>
      </c>
      <c r="X296">
        <v>1.0363487290217317E-2</v>
      </c>
      <c r="Y296">
        <v>1.8564346245838949E-3</v>
      </c>
    </row>
    <row r="297" spans="1:25">
      <c r="A297" s="876"/>
      <c r="B297" s="1202">
        <v>47</v>
      </c>
      <c r="C297" s="880">
        <v>1.0207628378599969</v>
      </c>
      <c r="D297" s="880">
        <v>0.97633045634816129</v>
      </c>
      <c r="E297" s="880">
        <v>1.0225496461227241</v>
      </c>
      <c r="F297" s="880">
        <v>0.97722024176125588</v>
      </c>
      <c r="G297" s="880">
        <v>0.99881780422409694</v>
      </c>
      <c r="H297" s="880">
        <v>0.99145164330926405</v>
      </c>
      <c r="I297" s="880">
        <v>1.0074197843685344</v>
      </c>
      <c r="K297">
        <v>1.0723423241179504</v>
      </c>
      <c r="L297">
        <v>0</v>
      </c>
      <c r="M297">
        <v>6.4733765062381611E-4</v>
      </c>
      <c r="N297">
        <v>6.9179879475311984E-2</v>
      </c>
      <c r="O297">
        <v>8.7195977712750637E-3</v>
      </c>
      <c r="P297">
        <v>1.2838138153633922E-2</v>
      </c>
      <c r="Q297">
        <v>2.9928475581048027E-3</v>
      </c>
      <c r="R297">
        <v>6.3632619860000742E-4</v>
      </c>
      <c r="S297">
        <v>8.5067050513729911E-2</v>
      </c>
      <c r="T297">
        <v>0.81402485515647194</v>
      </c>
      <c r="U297">
        <v>1.6566658031365124E-2</v>
      </c>
      <c r="V297">
        <v>1.0411157415946145E-2</v>
      </c>
      <c r="W297">
        <v>4.0723703395371624E-2</v>
      </c>
      <c r="X297">
        <v>1.0097577951048096E-2</v>
      </c>
      <c r="Y297">
        <v>1.7318701477142269E-3</v>
      </c>
    </row>
    <row r="298" spans="1:25">
      <c r="A298" s="876"/>
      <c r="B298" s="1202">
        <v>48</v>
      </c>
      <c r="C298" s="880">
        <v>0.9837424106968925</v>
      </c>
      <c r="D298" s="880">
        <v>1.0142192052045038</v>
      </c>
      <c r="E298" s="880">
        <v>1.0144901106938957</v>
      </c>
      <c r="F298" s="880">
        <v>0.98387017196481741</v>
      </c>
      <c r="G298" s="880">
        <v>0.99075591598247303</v>
      </c>
      <c r="H298" s="880">
        <v>0.9590490717030824</v>
      </c>
      <c r="I298" s="880">
        <v>0.98253283810330783</v>
      </c>
      <c r="K298">
        <v>1.0692764904417973</v>
      </c>
      <c r="L298">
        <v>0</v>
      </c>
      <c r="M298">
        <v>6.4764180039743953E-4</v>
      </c>
      <c r="N298">
        <v>6.7457986781367746E-2</v>
      </c>
      <c r="O298">
        <v>8.8658052473806065E-3</v>
      </c>
      <c r="P298">
        <v>1.2755822425923394E-2</v>
      </c>
      <c r="Q298">
        <v>3.0273415382167843E-3</v>
      </c>
      <c r="R298">
        <v>6.3622101307620317E-4</v>
      </c>
      <c r="S298">
        <v>8.3321551016422857E-2</v>
      </c>
      <c r="T298">
        <v>0.81467046472495941</v>
      </c>
      <c r="U298">
        <v>1.7190098426246275E-2</v>
      </c>
      <c r="V298">
        <v>1.0414741377836793E-2</v>
      </c>
      <c r="W298">
        <v>3.9926858481712998E-2</v>
      </c>
      <c r="X298">
        <v>9.9256573416582217E-3</v>
      </c>
      <c r="Y298">
        <v>1.7315838673928308E-3</v>
      </c>
    </row>
    <row r="299" spans="1:25">
      <c r="A299" s="876"/>
      <c r="B299" s="1202">
        <v>49</v>
      </c>
      <c r="C299" s="880">
        <v>1.0344577533611186</v>
      </c>
      <c r="D299" s="880">
        <v>1.0188332255393735</v>
      </c>
      <c r="E299" s="880">
        <v>0.97274405127475894</v>
      </c>
      <c r="F299" s="880">
        <v>0.98054983545232122</v>
      </c>
      <c r="G299" s="880">
        <v>1.045924426151243</v>
      </c>
      <c r="H299" s="880">
        <v>0.97622174100472081</v>
      </c>
      <c r="I299" s="880">
        <v>1.0182932679144541</v>
      </c>
      <c r="K299">
        <v>1.0621349656225727</v>
      </c>
      <c r="L299">
        <v>0</v>
      </c>
      <c r="M299">
        <v>6.8282017315864627E-4</v>
      </c>
      <c r="N299">
        <v>6.2475249845845744E-2</v>
      </c>
      <c r="O299">
        <v>8.4107988920374636E-3</v>
      </c>
      <c r="P299">
        <v>1.2385278781629247E-2</v>
      </c>
      <c r="Q299">
        <v>2.7544667681769332E-3</v>
      </c>
      <c r="R299">
        <v>6.7098693538868528E-4</v>
      </c>
      <c r="S299">
        <v>8.2534078347843806E-2</v>
      </c>
      <c r="T299">
        <v>0.81804987494969172</v>
      </c>
      <c r="U299">
        <v>1.6347336380830465E-2</v>
      </c>
      <c r="V299">
        <v>1.0409896605059055E-2</v>
      </c>
      <c r="W299">
        <v>3.8054076853573135E-2</v>
      </c>
      <c r="X299">
        <v>8.8995361883105733E-3</v>
      </c>
      <c r="Y299">
        <v>1.8262052473441966E-3</v>
      </c>
    </row>
    <row r="300" spans="1:25">
      <c r="A300" s="876"/>
      <c r="B300" s="1202">
        <v>50</v>
      </c>
      <c r="C300" s="880">
        <v>1.0172450341637529</v>
      </c>
      <c r="D300" s="880">
        <v>0.98432102295463453</v>
      </c>
      <c r="E300" s="880">
        <v>0.99316795378679801</v>
      </c>
      <c r="F300" s="880">
        <v>1.0161500894636155</v>
      </c>
      <c r="G300" s="880">
        <v>0.98456272817321144</v>
      </c>
      <c r="H300" s="880">
        <v>0.99226974549613567</v>
      </c>
      <c r="I300" s="880">
        <v>0.99792228486949097</v>
      </c>
      <c r="K300">
        <v>1.0707151233935579</v>
      </c>
      <c r="L300">
        <v>0</v>
      </c>
      <c r="M300">
        <v>6.8866211919050885E-4</v>
      </c>
      <c r="N300">
        <v>6.7170895547845985E-2</v>
      </c>
      <c r="O300">
        <v>8.7117300923272283E-3</v>
      </c>
      <c r="P300">
        <v>1.2583067934634972E-2</v>
      </c>
      <c r="Q300">
        <v>2.9052816347501301E-3</v>
      </c>
      <c r="R300">
        <v>6.769503127878096E-4</v>
      </c>
      <c r="S300">
        <v>8.4242113023530255E-2</v>
      </c>
      <c r="T300">
        <v>0.81638913929848667</v>
      </c>
      <c r="U300">
        <v>1.6623948309419937E-2</v>
      </c>
      <c r="V300">
        <v>1.0411486759657154E-2</v>
      </c>
      <c r="W300">
        <v>4.0339657992051123E-2</v>
      </c>
      <c r="X300">
        <v>9.5070790124599427E-3</v>
      </c>
      <c r="Y300">
        <v>1.8424355947977817E-3</v>
      </c>
    </row>
    <row r="301" spans="1:25">
      <c r="A301" s="876"/>
      <c r="B301" s="1202">
        <v>51</v>
      </c>
      <c r="C301" s="880">
        <v>0.99286276519997174</v>
      </c>
      <c r="D301" s="880">
        <v>1.0017240491660624</v>
      </c>
      <c r="E301" s="880">
        <v>0.99030040002829611</v>
      </c>
      <c r="F301" s="880">
        <v>1.0051927299551515</v>
      </c>
      <c r="G301" s="880">
        <v>0.98761706650943137</v>
      </c>
      <c r="H301" s="880">
        <v>0.97556371557079546</v>
      </c>
      <c r="I301" s="880">
        <v>1.0354051771947705</v>
      </c>
      <c r="K301">
        <v>1.0749902344550049</v>
      </c>
      <c r="L301">
        <v>0</v>
      </c>
      <c r="M301">
        <v>6.9141012797861127E-4</v>
      </c>
      <c r="N301">
        <v>6.6818278778519785E-2</v>
      </c>
      <c r="O301">
        <v>8.8425832928800043E-3</v>
      </c>
      <c r="P301">
        <v>1.2617626984883661E-2</v>
      </c>
      <c r="Q301">
        <v>2.9442565843021879E-3</v>
      </c>
      <c r="R301">
        <v>6.7943478014496537E-4</v>
      </c>
      <c r="S301">
        <v>8.815164650436158E-2</v>
      </c>
      <c r="T301">
        <v>0.81662145698123845</v>
      </c>
      <c r="U301">
        <v>1.7032191616679706E-2</v>
      </c>
      <c r="V301">
        <v>1.0413833621470029E-2</v>
      </c>
      <c r="W301">
        <v>4.020716238849361E-2</v>
      </c>
      <c r="X301">
        <v>9.5039755540690923E-3</v>
      </c>
      <c r="Y301">
        <v>1.8491974959395157E-3</v>
      </c>
    </row>
    <row r="302" spans="1:25">
      <c r="A302" s="876"/>
      <c r="B302" s="1202">
        <v>52</v>
      </c>
      <c r="C302" s="880">
        <v>0.98825206603636517</v>
      </c>
      <c r="D302" s="880">
        <v>1.0319260111776525</v>
      </c>
      <c r="E302" s="880">
        <v>0.98769716435031196</v>
      </c>
      <c r="F302" s="880">
        <v>1.0161325620623629</v>
      </c>
      <c r="G302" s="880">
        <v>0.98773555560920645</v>
      </c>
      <c r="H302" s="880">
        <v>0.99614883932314857</v>
      </c>
      <c r="I302" s="880">
        <v>0.96309256062655824</v>
      </c>
      <c r="K302">
        <v>1.0695902715988013</v>
      </c>
      <c r="L302">
        <v>0</v>
      </c>
      <c r="M302">
        <v>7.0202128591914539E-4</v>
      </c>
      <c r="N302">
        <v>6.7318051007490873E-2</v>
      </c>
      <c r="O302">
        <v>8.7444420464763001E-3</v>
      </c>
      <c r="P302">
        <v>1.2511949556640287E-2</v>
      </c>
      <c r="Q302">
        <v>2.9103275972209826E-3</v>
      </c>
      <c r="R302">
        <v>6.9008760120761953E-4</v>
      </c>
      <c r="S302">
        <v>8.1876290863689721E-2</v>
      </c>
      <c r="T302">
        <v>0.81683260215525055</v>
      </c>
      <c r="U302">
        <v>1.7111655464356106E-2</v>
      </c>
      <c r="V302">
        <v>1.041429043402836E-2</v>
      </c>
      <c r="W302">
        <v>4.0580671677809127E-2</v>
      </c>
      <c r="X302">
        <v>9.4237335173792264E-3</v>
      </c>
      <c r="Y302">
        <v>1.8781909631705404E-3</v>
      </c>
    </row>
    <row r="303" spans="1:25">
      <c r="A303" s="876"/>
      <c r="B303" s="1202">
        <v>53</v>
      </c>
      <c r="C303" s="880">
        <v>1.0222982093286135</v>
      </c>
      <c r="D303" s="880">
        <v>1.0030346035801345</v>
      </c>
      <c r="E303" s="880">
        <v>1.0257756993871643</v>
      </c>
      <c r="F303" s="880">
        <v>0.98689100636427141</v>
      </c>
      <c r="G303" s="880">
        <v>1.0329745495227785</v>
      </c>
      <c r="H303" s="880">
        <v>0.98750980061308891</v>
      </c>
      <c r="I303" s="880">
        <v>0.96085557931295373</v>
      </c>
      <c r="K303">
        <v>1.0645546751842336</v>
      </c>
      <c r="L303">
        <v>0</v>
      </c>
      <c r="M303">
        <v>6.3029781436972415E-4</v>
      </c>
      <c r="N303">
        <v>6.8030044802239162E-2</v>
      </c>
      <c r="O303">
        <v>8.5819909899477881E-3</v>
      </c>
      <c r="P303">
        <v>1.2791231816715544E-2</v>
      </c>
      <c r="Q303">
        <v>2.9610458942957783E-3</v>
      </c>
      <c r="R303">
        <v>6.1951197181476635E-4</v>
      </c>
      <c r="S303">
        <v>7.9798386878163818E-2</v>
      </c>
      <c r="T303">
        <v>0.81376705267344807</v>
      </c>
      <c r="U303">
        <v>1.654177686279849E-2</v>
      </c>
      <c r="V303">
        <v>1.0411014381967809E-2</v>
      </c>
      <c r="W303">
        <v>3.9960006073984311E-2</v>
      </c>
      <c r="X303">
        <v>1.0036803288013398E-2</v>
      </c>
      <c r="Y303">
        <v>1.6861073652131707E-3</v>
      </c>
    </row>
    <row r="304" spans="1:25">
      <c r="A304" s="876"/>
      <c r="B304" s="1202">
        <v>54</v>
      </c>
      <c r="C304" s="880">
        <v>1.0294210392883016</v>
      </c>
      <c r="D304" s="880">
        <v>1.0101337879551706</v>
      </c>
      <c r="E304" s="880">
        <v>1.0259938075117858</v>
      </c>
      <c r="F304" s="880">
        <v>0.98080921432690482</v>
      </c>
      <c r="G304" s="880">
        <v>0.97872962807609853</v>
      </c>
      <c r="H304" s="880">
        <v>0.99050264190971382</v>
      </c>
      <c r="I304" s="880">
        <v>0.97291305609873813</v>
      </c>
      <c r="K304">
        <v>1.0637061105978016</v>
      </c>
      <c r="L304">
        <v>0</v>
      </c>
      <c r="M304">
        <v>6.2519544722705752E-4</v>
      </c>
      <c r="N304">
        <v>6.7527993424763885E-2</v>
      </c>
      <c r="O304">
        <v>8.4906364586393741E-3</v>
      </c>
      <c r="P304">
        <v>1.2795066636744831E-2</v>
      </c>
      <c r="Q304">
        <v>2.9316986176740009E-3</v>
      </c>
      <c r="R304">
        <v>6.1452373440799369E-4</v>
      </c>
      <c r="S304">
        <v>8.0060181289386911E-2</v>
      </c>
      <c r="T304">
        <v>0.81374963588813076</v>
      </c>
      <c r="U304">
        <v>1.6427320037721058E-2</v>
      </c>
      <c r="V304">
        <v>1.041035640583636E-2</v>
      </c>
      <c r="W304">
        <v>3.9659293825209357E-2</v>
      </c>
      <c r="X304">
        <v>9.9920686991507059E-3</v>
      </c>
      <c r="Y304">
        <v>1.672531027363955E-3</v>
      </c>
    </row>
    <row r="305" spans="1:25">
      <c r="A305" s="876"/>
      <c r="B305" s="1202">
        <v>55</v>
      </c>
      <c r="C305" s="880">
        <v>1.0388354944628588</v>
      </c>
      <c r="D305" s="880">
        <v>0.97526792377702054</v>
      </c>
      <c r="E305" s="880">
        <v>0.99742990018654776</v>
      </c>
      <c r="F305" s="880">
        <v>0.98659161624106373</v>
      </c>
      <c r="G305" s="880">
        <v>1.0082239198564873</v>
      </c>
      <c r="H305" s="880">
        <v>1.0153072676691528</v>
      </c>
      <c r="I305" s="880">
        <v>0.98676296486862214</v>
      </c>
      <c r="K305">
        <v>1.0695385979071357</v>
      </c>
      <c r="L305">
        <v>0</v>
      </c>
      <c r="M305">
        <v>6.8722130113073852E-4</v>
      </c>
      <c r="N305">
        <v>6.7952825142522377E-2</v>
      </c>
      <c r="O305">
        <v>8.5728908325770105E-3</v>
      </c>
      <c r="P305">
        <v>1.2593450564451818E-2</v>
      </c>
      <c r="Q305">
        <v>2.8692878742378187E-3</v>
      </c>
      <c r="R305">
        <v>6.7580700110984882E-4</v>
      </c>
      <c r="S305">
        <v>8.2738805241113475E-2</v>
      </c>
      <c r="T305">
        <v>0.81604436908428168</v>
      </c>
      <c r="U305">
        <v>1.6278447315372292E-2</v>
      </c>
      <c r="V305">
        <v>1.0409500583583213E-2</v>
      </c>
      <c r="W305">
        <v>4.0690022901061107E-2</v>
      </c>
      <c r="X305">
        <v>9.5610887906525666E-3</v>
      </c>
      <c r="Y305">
        <v>1.8393238773029665E-3</v>
      </c>
    </row>
    <row r="306" spans="1:25">
      <c r="A306" s="876"/>
      <c r="B306" s="1202">
        <v>56</v>
      </c>
      <c r="C306" s="880">
        <v>0.99940111442076063</v>
      </c>
      <c r="D306" s="880">
        <v>0.98807210537547863</v>
      </c>
      <c r="E306" s="880">
        <v>1.0305156043174903</v>
      </c>
      <c r="F306" s="880">
        <v>0.99178640285036312</v>
      </c>
      <c r="G306" s="880">
        <v>0.99081509416738855</v>
      </c>
      <c r="H306" s="880">
        <v>0.98966885760631629</v>
      </c>
      <c r="I306" s="880">
        <v>0.98005163611927693</v>
      </c>
      <c r="K306">
        <v>1.0735337491808721</v>
      </c>
      <c r="L306">
        <v>0</v>
      </c>
      <c r="M306">
        <v>6.4484072581272474E-4</v>
      </c>
      <c r="N306">
        <v>7.0635527029002124E-2</v>
      </c>
      <c r="O306">
        <v>8.8492832955700124E-3</v>
      </c>
      <c r="P306">
        <v>1.2893593066743076E-2</v>
      </c>
      <c r="Q306">
        <v>3.0641782623354367E-3</v>
      </c>
      <c r="R306">
        <v>6.3384226221615647E-4</v>
      </c>
      <c r="S306">
        <v>8.3959302221251322E-2</v>
      </c>
      <c r="T306">
        <v>0.81338891849807615</v>
      </c>
      <c r="U306">
        <v>1.6920762466583333E-2</v>
      </c>
      <c r="V306">
        <v>1.0413193050485627E-2</v>
      </c>
      <c r="W306">
        <v>4.1358688828970751E-2</v>
      </c>
      <c r="X306">
        <v>1.0336191233744329E-2</v>
      </c>
      <c r="Y306">
        <v>1.7251096917067941E-3</v>
      </c>
    </row>
    <row r="307" spans="1:25">
      <c r="A307" s="876"/>
      <c r="B307" s="1202">
        <v>57</v>
      </c>
      <c r="C307" s="880">
        <v>1.0178014155508361</v>
      </c>
      <c r="D307" s="880">
        <v>0.99267555453283152</v>
      </c>
      <c r="E307" s="880">
        <v>1.0194732417598873</v>
      </c>
      <c r="F307" s="880">
        <v>1.0292405075222348</v>
      </c>
      <c r="G307" s="880">
        <v>0.97292628964824435</v>
      </c>
      <c r="H307" s="880">
        <v>0.99647280452865494</v>
      </c>
      <c r="I307" s="880">
        <v>0.98946696166063264</v>
      </c>
      <c r="K307">
        <v>1.0703053611894568</v>
      </c>
      <c r="L307">
        <v>0</v>
      </c>
      <c r="M307">
        <v>6.509798529835849E-4</v>
      </c>
      <c r="N307">
        <v>6.8912019572044486E-2</v>
      </c>
      <c r="O307">
        <v>8.6677700753099666E-3</v>
      </c>
      <c r="P307">
        <v>1.2788530747641443E-2</v>
      </c>
      <c r="Q307">
        <v>2.9696839676622952E-3</v>
      </c>
      <c r="R307">
        <v>6.3994871244653091E-4</v>
      </c>
      <c r="S307">
        <v>8.3278237002401848E-2</v>
      </c>
      <c r="T307">
        <v>0.81427102943532426</v>
      </c>
      <c r="U307">
        <v>1.6614860824103204E-2</v>
      </c>
      <c r="V307">
        <v>1.0411434518574741E-2</v>
      </c>
      <c r="W307">
        <v>4.0650262794695607E-2</v>
      </c>
      <c r="X307">
        <v>1.0010833955992674E-2</v>
      </c>
      <c r="Y307">
        <v>1.7417294362430953E-3</v>
      </c>
    </row>
    <row r="308" spans="1:25">
      <c r="A308" s="876"/>
      <c r="B308" s="1202">
        <v>58</v>
      </c>
      <c r="C308" s="880">
        <v>1.0024813027091291</v>
      </c>
      <c r="D308" s="880">
        <v>1.002810193151183</v>
      </c>
      <c r="E308" s="880">
        <v>1.0144332445897519</v>
      </c>
      <c r="F308" s="880">
        <v>1.0302602260088405</v>
      </c>
      <c r="G308" s="880">
        <v>0.98769529823480207</v>
      </c>
      <c r="H308" s="880">
        <v>1.0137675123131218</v>
      </c>
      <c r="I308" s="880">
        <v>0.99189021433725777</v>
      </c>
      <c r="K308">
        <v>1.0754007875696743</v>
      </c>
      <c r="L308">
        <v>0</v>
      </c>
      <c r="M308">
        <v>6.7592941726071635E-4</v>
      </c>
      <c r="N308">
        <v>7.0461159347938743E-2</v>
      </c>
      <c r="O308">
        <v>8.7526825922220591E-3</v>
      </c>
      <c r="P308">
        <v>1.2773232881221184E-2</v>
      </c>
      <c r="Q308">
        <v>2.9860299931199243E-3</v>
      </c>
      <c r="R308">
        <v>6.6466248867284936E-4</v>
      </c>
      <c r="S308">
        <v>8.4941061234797763E-2</v>
      </c>
      <c r="T308">
        <v>0.8146750278519389</v>
      </c>
      <c r="U308">
        <v>1.6868772335456757E-2</v>
      </c>
      <c r="V308">
        <v>1.0412894175645039E-2</v>
      </c>
      <c r="W308">
        <v>4.1705974963187231E-2</v>
      </c>
      <c r="X308">
        <v>1.0026226934495985E-2</v>
      </c>
      <c r="Y308">
        <v>1.8089921882369915E-3</v>
      </c>
    </row>
    <row r="309" spans="1:25">
      <c r="A309" s="876"/>
      <c r="B309" s="1202">
        <v>59</v>
      </c>
      <c r="C309" s="880">
        <v>1.011000236207243</v>
      </c>
      <c r="D309" s="880">
        <v>0.99893248431113124</v>
      </c>
      <c r="E309" s="880">
        <v>1.0109516848989151</v>
      </c>
      <c r="F309" s="880">
        <v>0.99886256270880081</v>
      </c>
      <c r="G309" s="880">
        <v>1.0159676125611985</v>
      </c>
      <c r="H309" s="880">
        <v>0.99511609832127101</v>
      </c>
      <c r="I309" s="880">
        <v>1.0330472091829597</v>
      </c>
      <c r="K309">
        <v>1.0744503346513332</v>
      </c>
      <c r="L309">
        <v>0</v>
      </c>
      <c r="M309">
        <v>6.6412106103590511E-4</v>
      </c>
      <c r="N309">
        <v>6.8463668662540861E-2</v>
      </c>
      <c r="O309">
        <v>8.6968785820364068E-3</v>
      </c>
      <c r="P309">
        <v>1.2773502628662628E-2</v>
      </c>
      <c r="Q309">
        <v>2.9558441614738395E-3</v>
      </c>
      <c r="R309">
        <v>6.5284668385738143E-4</v>
      </c>
      <c r="S309">
        <v>8.7207835002225217E-2</v>
      </c>
      <c r="T309">
        <v>0.81495460966029953</v>
      </c>
      <c r="U309">
        <v>1.6726631963403335E-2</v>
      </c>
      <c r="V309">
        <v>1.0412077055547041E-2</v>
      </c>
      <c r="W309">
        <v>4.0619459121095457E-2</v>
      </c>
      <c r="X309">
        <v>9.8742687286179371E-3</v>
      </c>
      <c r="Y309">
        <v>1.7768334626082978E-3</v>
      </c>
    </row>
    <row r="310" spans="1:25">
      <c r="A310" s="876"/>
      <c r="B310" s="1202">
        <v>60</v>
      </c>
      <c r="C310" s="880">
        <v>1.0012254271239964</v>
      </c>
      <c r="D310" s="880">
        <v>0.95721144994116947</v>
      </c>
      <c r="E310" s="880">
        <v>1.0436001013419161</v>
      </c>
      <c r="F310" s="880">
        <v>1.0085825778684496</v>
      </c>
      <c r="G310" s="880">
        <v>0.99503383317463268</v>
      </c>
      <c r="H310" s="880">
        <v>1.0340896707627947</v>
      </c>
      <c r="I310" s="880">
        <v>1.029146239265073</v>
      </c>
      <c r="K310">
        <v>1.0886758499788236</v>
      </c>
      <c r="L310">
        <v>0</v>
      </c>
      <c r="M310">
        <v>6.6534301114079617E-4</v>
      </c>
      <c r="N310">
        <v>7.5960440140460772E-2</v>
      </c>
      <c r="O310">
        <v>8.9843048799845664E-3</v>
      </c>
      <c r="P310">
        <v>1.3101375770197599E-2</v>
      </c>
      <c r="Q310">
        <v>3.143730119065E-3</v>
      </c>
      <c r="R310">
        <v>6.5450791724816059E-4</v>
      </c>
      <c r="S310">
        <v>9.1081639464834288E-2</v>
      </c>
      <c r="T310">
        <v>0.81234906273329988</v>
      </c>
      <c r="U310">
        <v>1.6889931485787268E-2</v>
      </c>
      <c r="V310">
        <v>1.0413015812916294E-2</v>
      </c>
      <c r="W310">
        <v>4.4090154652064409E-2</v>
      </c>
      <c r="X310">
        <v>1.0891675221831706E-2</v>
      </c>
      <c r="Y310">
        <v>1.7813547922725589E-3</v>
      </c>
    </row>
    <row r="311" spans="1:25">
      <c r="A311" s="876"/>
      <c r="B311" s="1202">
        <v>61</v>
      </c>
      <c r="C311" s="880">
        <v>0.95909699507423107</v>
      </c>
      <c r="D311" s="880">
        <v>1.0313629376564151</v>
      </c>
      <c r="E311" s="880">
        <v>0.99872138978398406</v>
      </c>
      <c r="F311" s="880">
        <v>1.016167569293877</v>
      </c>
      <c r="G311" s="880">
        <v>1.0053564989783694</v>
      </c>
      <c r="H311" s="880">
        <v>1.0214047717784784</v>
      </c>
      <c r="I311" s="880">
        <v>1.0057369792958051</v>
      </c>
      <c r="K311">
        <v>1.0846688090154002</v>
      </c>
      <c r="L311">
        <v>0</v>
      </c>
      <c r="M311">
        <v>7.2490788006079453E-4</v>
      </c>
      <c r="N311">
        <v>7.1970211451087715E-2</v>
      </c>
      <c r="O311">
        <v>9.01287474141939E-3</v>
      </c>
      <c r="P311">
        <v>1.2708898534695111E-2</v>
      </c>
      <c r="Q311">
        <v>3.0330973428023063E-3</v>
      </c>
      <c r="R311">
        <v>7.1289032060916681E-4</v>
      </c>
      <c r="S311">
        <v>8.9056158396442098E-2</v>
      </c>
      <c r="T311">
        <v>0.81594001577599673</v>
      </c>
      <c r="U311">
        <v>1.7631823426413229E-2</v>
      </c>
      <c r="V311">
        <v>1.0417280715325574E-2</v>
      </c>
      <c r="W311">
        <v>4.3057508676884154E-2</v>
      </c>
      <c r="X311">
        <v>9.9127050653191051E-3</v>
      </c>
      <c r="Y311">
        <v>1.9402524484671221E-3</v>
      </c>
    </row>
    <row r="312" spans="1:25">
      <c r="A312" s="876"/>
      <c r="B312" s="1202">
        <v>62</v>
      </c>
      <c r="C312" s="880">
        <v>1.0190849839225877</v>
      </c>
      <c r="D312" s="880">
        <v>0.99360835323264907</v>
      </c>
      <c r="E312" s="880">
        <v>0.96874693904481723</v>
      </c>
      <c r="F312" s="880">
        <v>0.99348346449195735</v>
      </c>
      <c r="G312" s="880">
        <v>1.010023631013514</v>
      </c>
      <c r="H312" s="880">
        <v>0.9961246787975282</v>
      </c>
      <c r="I312" s="880">
        <v>1.008638706958362</v>
      </c>
      <c r="K312">
        <v>1.0701468544994561</v>
      </c>
      <c r="L312">
        <v>0</v>
      </c>
      <c r="M312">
        <v>7.2277287381392117E-4</v>
      </c>
      <c r="N312">
        <v>6.5336804350773478E-2</v>
      </c>
      <c r="O312">
        <v>8.6525150725254071E-3</v>
      </c>
      <c r="P312">
        <v>1.238433347874217E-2</v>
      </c>
      <c r="Q312">
        <v>2.8168133626329823E-3</v>
      </c>
      <c r="R312">
        <v>7.1052004102923369E-4</v>
      </c>
      <c r="S312">
        <v>8.4732852446326071E-2</v>
      </c>
      <c r="T312">
        <v>0.81837654403379867</v>
      </c>
      <c r="U312">
        <v>1.659393390417864E-2</v>
      </c>
      <c r="V312">
        <v>1.0411314216322732E-2</v>
      </c>
      <c r="W312">
        <v>3.990832329800973E-2</v>
      </c>
      <c r="X312">
        <v>9.0118718401176572E-3</v>
      </c>
      <c r="Y312">
        <v>1.933801328812997E-3</v>
      </c>
    </row>
    <row r="313" spans="1:25">
      <c r="A313" s="876"/>
      <c r="B313" s="1202">
        <v>63</v>
      </c>
      <c r="C313" s="880">
        <v>0.99892896766329153</v>
      </c>
      <c r="D313" s="880">
        <v>0.97185995513925949</v>
      </c>
      <c r="E313" s="880">
        <v>1.0239800342528316</v>
      </c>
      <c r="F313" s="880">
        <v>0.98543936309894209</v>
      </c>
      <c r="G313" s="880">
        <v>1.0267298485549132</v>
      </c>
      <c r="H313" s="880">
        <v>1.0154628765187999</v>
      </c>
      <c r="I313" s="880">
        <v>1.0104267229926822</v>
      </c>
      <c r="K313">
        <v>1.08205962934189</v>
      </c>
      <c r="L313">
        <v>0</v>
      </c>
      <c r="M313">
        <v>6.7711708507557243E-4</v>
      </c>
      <c r="N313">
        <v>7.2714697448122756E-2</v>
      </c>
      <c r="O313">
        <v>8.9320726168726806E-3</v>
      </c>
      <c r="P313">
        <v>1.2899510569923067E-2</v>
      </c>
      <c r="Q313">
        <v>3.0690664215072016E-3</v>
      </c>
      <c r="R313">
        <v>6.6587525659983124E-4</v>
      </c>
      <c r="S313">
        <v>8.8267618893757657E-2</v>
      </c>
      <c r="T313">
        <v>0.81391050523287356</v>
      </c>
      <c r="U313">
        <v>1.6928760115456385E-2</v>
      </c>
      <c r="V313">
        <v>1.0413239026442608E-2</v>
      </c>
      <c r="W313">
        <v>4.2763322073239081E-2</v>
      </c>
      <c r="X313">
        <v>1.0359785829425721E-2</v>
      </c>
      <c r="Y313">
        <v>1.8122929427453961E-3</v>
      </c>
    </row>
    <row r="314" spans="1:25">
      <c r="A314" s="876"/>
      <c r="B314" s="1202">
        <v>64</v>
      </c>
      <c r="C314" s="880">
        <v>1.0098203097443341</v>
      </c>
      <c r="D314" s="880">
        <v>0.97753235275528561</v>
      </c>
      <c r="E314" s="880">
        <v>1.014316137355495</v>
      </c>
      <c r="F314" s="880">
        <v>1.0058850173969702</v>
      </c>
      <c r="G314" s="880">
        <v>0.98092394801907312</v>
      </c>
      <c r="H314" s="880">
        <v>1.0186532301977811</v>
      </c>
      <c r="I314" s="880">
        <v>0.96845774350342317</v>
      </c>
      <c r="K314">
        <v>1.07526470179374</v>
      </c>
      <c r="L314">
        <v>0</v>
      </c>
      <c r="M314">
        <v>6.8364887778289956E-4</v>
      </c>
      <c r="N314">
        <v>7.1247982329907492E-2</v>
      </c>
      <c r="O314">
        <v>8.8082907009478031E-3</v>
      </c>
      <c r="P314">
        <v>1.27514617751245E-2</v>
      </c>
      <c r="Q314">
        <v>2.9989014553209671E-3</v>
      </c>
      <c r="R314">
        <v>6.7232926344069335E-4</v>
      </c>
      <c r="S314">
        <v>8.3556548406108155E-2</v>
      </c>
      <c r="T314">
        <v>0.81468442527629326</v>
      </c>
      <c r="U314">
        <v>1.6746176228356693E-2</v>
      </c>
      <c r="V314">
        <v>1.0412189409352368E-2</v>
      </c>
      <c r="W314">
        <v>4.2175041302422736E-2</v>
      </c>
      <c r="X314">
        <v>1.0065145902444728E-2</v>
      </c>
      <c r="Y314">
        <v>1.829858621803439E-3</v>
      </c>
    </row>
    <row r="315" spans="1:25">
      <c r="A315" s="876"/>
      <c r="B315" s="1202">
        <v>65</v>
      </c>
      <c r="C315" s="880">
        <v>1.0203455528381089</v>
      </c>
      <c r="D315" s="880">
        <v>1.0287438521214085</v>
      </c>
      <c r="E315" s="880">
        <v>1.0189354233330925</v>
      </c>
      <c r="F315" s="880">
        <v>0.98723598722797512</v>
      </c>
      <c r="G315" s="880">
        <v>1.0444202160159699</v>
      </c>
      <c r="H315" s="880">
        <v>1.0315286547598521</v>
      </c>
      <c r="I315" s="880">
        <v>0.97157862966076447</v>
      </c>
      <c r="K315">
        <v>1.0695211122726846</v>
      </c>
      <c r="L315">
        <v>0</v>
      </c>
      <c r="M315">
        <v>6.6032027056991288E-4</v>
      </c>
      <c r="N315">
        <v>6.9821935375312977E-2</v>
      </c>
      <c r="O315">
        <v>8.48331909719768E-3</v>
      </c>
      <c r="P315">
        <v>1.2756246393352388E-2</v>
      </c>
      <c r="Q315">
        <v>2.9126534006986104E-3</v>
      </c>
      <c r="R315">
        <v>6.4948288248437719E-4</v>
      </c>
      <c r="S315">
        <v>8.130898751784929E-2</v>
      </c>
      <c r="T315">
        <v>0.8143140988723504</v>
      </c>
      <c r="U315">
        <v>1.657343320497176E-2</v>
      </c>
      <c r="V315">
        <v>1.0411196364278992E-2</v>
      </c>
      <c r="W315">
        <v>4.120196782490991E-2</v>
      </c>
      <c r="X315">
        <v>9.9804333056993395E-3</v>
      </c>
      <c r="Y315">
        <v>1.767678304147805E-3</v>
      </c>
    </row>
    <row r="316" spans="1:25">
      <c r="A316" s="876"/>
      <c r="B316" s="1202">
        <v>66</v>
      </c>
      <c r="C316" s="880">
        <v>0.97110537223610915</v>
      </c>
      <c r="D316" s="880">
        <v>0.98569749676830265</v>
      </c>
      <c r="E316" s="880">
        <v>1.0142134592351586</v>
      </c>
      <c r="F316" s="880">
        <v>1.0177857461214812</v>
      </c>
      <c r="G316" s="880">
        <v>0.98363919790928867</v>
      </c>
      <c r="H316" s="880">
        <v>0.95928075039195382</v>
      </c>
      <c r="I316" s="880">
        <v>1.0205567715112882</v>
      </c>
      <c r="K316">
        <v>1.0788442822748965</v>
      </c>
      <c r="L316">
        <v>0</v>
      </c>
      <c r="M316">
        <v>6.6665180983558844E-4</v>
      </c>
      <c r="N316">
        <v>6.9381288515924955E-2</v>
      </c>
      <c r="O316">
        <v>9.1188386288114931E-3</v>
      </c>
      <c r="P316">
        <v>1.2834041008761952E-2</v>
      </c>
      <c r="Q316">
        <v>3.1062585891834926E-3</v>
      </c>
      <c r="R316">
        <v>6.5492322459215799E-4</v>
      </c>
      <c r="S316">
        <v>8.8934206931644638E-2</v>
      </c>
      <c r="T316">
        <v>0.81469266520173667</v>
      </c>
      <c r="U316">
        <v>1.7413793960395087E-2</v>
      </c>
      <c r="V316">
        <v>1.0416027332799111E-2</v>
      </c>
      <c r="W316">
        <v>4.1072914187156924E-2</v>
      </c>
      <c r="X316">
        <v>1.010349138176754E-2</v>
      </c>
      <c r="Y316">
        <v>1.7824851219568907E-3</v>
      </c>
    </row>
    <row r="317" spans="1:25">
      <c r="A317" s="876"/>
      <c r="B317" s="1202">
        <v>67</v>
      </c>
      <c r="C317" s="880">
        <v>0.99934146402631274</v>
      </c>
      <c r="D317" s="880">
        <v>0.99499400901548374</v>
      </c>
      <c r="E317" s="880">
        <v>0.97465271598089231</v>
      </c>
      <c r="F317" s="880">
        <v>1.0185613947256329</v>
      </c>
      <c r="G317" s="880">
        <v>0.98729337099743986</v>
      </c>
      <c r="H317" s="880">
        <v>1.0241105862997282</v>
      </c>
      <c r="I317" s="880">
        <v>1.0418296065209165</v>
      </c>
      <c r="K317">
        <v>1.081786124354752</v>
      </c>
      <c r="L317">
        <v>0</v>
      </c>
      <c r="M317">
        <v>7.4788020246854012E-4</v>
      </c>
      <c r="N317">
        <v>6.8895083801721393E-2</v>
      </c>
      <c r="O317">
        <v>8.816900367933405E-3</v>
      </c>
      <c r="P317">
        <v>1.2512126852428231E-2</v>
      </c>
      <c r="Q317">
        <v>2.8879917284425579E-3</v>
      </c>
      <c r="R317">
        <v>7.3554693657215068E-4</v>
      </c>
      <c r="S317">
        <v>9.0234217812429809E-2</v>
      </c>
      <c r="T317">
        <v>0.81789407721703133</v>
      </c>
      <c r="U317">
        <v>1.6921772461857061E-2</v>
      </c>
      <c r="V317">
        <v>1.0413198856629412E-2</v>
      </c>
      <c r="W317">
        <v>4.190865162904106E-2</v>
      </c>
      <c r="X317">
        <v>9.3125206047671265E-3</v>
      </c>
      <c r="Y317">
        <v>2.0019162883669196E-3</v>
      </c>
    </row>
    <row r="318" spans="1:25">
      <c r="A318" s="876"/>
      <c r="B318" s="1202">
        <v>68</v>
      </c>
      <c r="C318" s="880">
        <v>0.99484734895231175</v>
      </c>
      <c r="D318" s="880">
        <v>0.98571315225179479</v>
      </c>
      <c r="E318" s="880">
        <v>1.0313150142142506</v>
      </c>
      <c r="F318" s="880">
        <v>0.97733465711028022</v>
      </c>
      <c r="G318" s="880">
        <v>0.99317345538715496</v>
      </c>
      <c r="H318" s="880">
        <v>1.0101901082508746</v>
      </c>
      <c r="I318" s="880">
        <v>0.99696476745470219</v>
      </c>
      <c r="K318">
        <v>1.0796257178921831</v>
      </c>
      <c r="L318">
        <v>0</v>
      </c>
      <c r="M318">
        <v>6.6094822963241515E-4</v>
      </c>
      <c r="N318">
        <v>7.2605610711924784E-2</v>
      </c>
      <c r="O318">
        <v>8.9011425581467362E-3</v>
      </c>
      <c r="P318">
        <v>1.2938755335161431E-2</v>
      </c>
      <c r="Q318">
        <v>3.0840171805452386E-3</v>
      </c>
      <c r="R318">
        <v>6.4990599076624898E-4</v>
      </c>
      <c r="S318">
        <v>8.6642441084227445E-2</v>
      </c>
      <c r="T318">
        <v>0.81332521976268024</v>
      </c>
      <c r="U318">
        <v>1.6998214734915053E-2</v>
      </c>
      <c r="V318">
        <v>1.041363829910975E-2</v>
      </c>
      <c r="W318">
        <v>4.2489463955790459E-2</v>
      </c>
      <c r="X318">
        <v>1.0469426643135115E-2</v>
      </c>
      <c r="Y318">
        <v>1.7688298654134527E-3</v>
      </c>
    </row>
    <row r="319" spans="1:25">
      <c r="A319" s="876"/>
      <c r="B319" s="1202">
        <v>69</v>
      </c>
      <c r="C319" s="880">
        <v>0.96212174195348121</v>
      </c>
      <c r="D319" s="880">
        <v>1.0422578964249063</v>
      </c>
      <c r="E319" s="880">
        <v>0.98580325989847817</v>
      </c>
      <c r="F319" s="880">
        <v>1.0119777878374943</v>
      </c>
      <c r="G319" s="880">
        <v>1.0383521737088</v>
      </c>
      <c r="H319" s="880">
        <v>1.0191562828447995</v>
      </c>
      <c r="I319" s="880">
        <v>1.0429567070500838</v>
      </c>
      <c r="K319">
        <v>1.0852525452331696</v>
      </c>
      <c r="L319">
        <v>0</v>
      </c>
      <c r="M319">
        <v>7.3678235772759977E-4</v>
      </c>
      <c r="N319">
        <v>7.0262444582106093E-2</v>
      </c>
      <c r="O319">
        <v>8.9345056442435809E-3</v>
      </c>
      <c r="P319">
        <v>1.2632355045821005E-2</v>
      </c>
      <c r="Q319">
        <v>2.9700621047741363E-3</v>
      </c>
      <c r="R319">
        <v>7.2453169302074294E-4</v>
      </c>
      <c r="S319">
        <v>9.1497364834068659E-2</v>
      </c>
      <c r="T319">
        <v>0.81698635870430791</v>
      </c>
      <c r="U319">
        <v>1.7576391976775432E-2</v>
      </c>
      <c r="V319">
        <v>1.0416962057431933E-2</v>
      </c>
      <c r="W319">
        <v>4.2411046637242759E-2</v>
      </c>
      <c r="X319">
        <v>9.6053678845112109E-3</v>
      </c>
      <c r="Y319">
        <v>1.9719364265940479E-3</v>
      </c>
    </row>
    <row r="320" spans="1:25">
      <c r="A320" s="876"/>
      <c r="B320" s="1202">
        <v>70</v>
      </c>
      <c r="C320" s="880">
        <v>1.0042332953414133</v>
      </c>
      <c r="D320" s="880">
        <v>0.99809652576006047</v>
      </c>
      <c r="E320" s="880">
        <v>0.96936796558060057</v>
      </c>
      <c r="F320" s="880">
        <v>0.99357603339045397</v>
      </c>
      <c r="G320" s="880">
        <v>0.99058067468530775</v>
      </c>
      <c r="H320" s="880">
        <v>0.99896864151027387</v>
      </c>
      <c r="I320" s="880">
        <v>1.0331432454936</v>
      </c>
      <c r="K320">
        <v>1.0755685506780777</v>
      </c>
      <c r="L320">
        <v>0</v>
      </c>
      <c r="M320">
        <v>7.3283949019055557E-4</v>
      </c>
      <c r="N320">
        <v>6.6378093334479346E-2</v>
      </c>
      <c r="O320">
        <v>8.7593920953267686E-3</v>
      </c>
      <c r="P320">
        <v>1.2436188608824077E-2</v>
      </c>
      <c r="Q320">
        <v>2.8543809740730363E-3</v>
      </c>
      <c r="R320">
        <v>7.2044726342868418E-4</v>
      </c>
      <c r="S320">
        <v>8.7982118085853253E-2</v>
      </c>
      <c r="T320">
        <v>0.81832575446578382</v>
      </c>
      <c r="U320">
        <v>1.6839342953873272E-2</v>
      </c>
      <c r="V320">
        <v>1.0412724995426786E-2</v>
      </c>
      <c r="W320">
        <v>4.05267495493217E-2</v>
      </c>
      <c r="X320">
        <v>9.1053778862013497E-3</v>
      </c>
      <c r="Y320">
        <v>1.9608199556763175E-3</v>
      </c>
    </row>
    <row r="321" spans="1:25">
      <c r="A321" s="876"/>
      <c r="B321" s="1202">
        <v>71</v>
      </c>
      <c r="C321" s="880">
        <v>0.99070915225748202</v>
      </c>
      <c r="D321" s="880">
        <v>0.99243249866007033</v>
      </c>
      <c r="E321" s="880">
        <v>1.0105962669738384</v>
      </c>
      <c r="F321" s="880">
        <v>1.0048641057997716</v>
      </c>
      <c r="G321" s="880">
        <v>1.0126126089396281</v>
      </c>
      <c r="H321" s="880">
        <v>1.0093261287027326</v>
      </c>
      <c r="I321" s="880">
        <v>1.0215711294299961</v>
      </c>
      <c r="K321">
        <v>1.0811962952756429</v>
      </c>
      <c r="L321">
        <v>0</v>
      </c>
      <c r="M321">
        <v>6.9031075518672616E-4</v>
      </c>
      <c r="N321">
        <v>7.1102823420786568E-2</v>
      </c>
      <c r="O321">
        <v>8.9059655588639777E-3</v>
      </c>
      <c r="P321">
        <v>1.2797427250711275E-2</v>
      </c>
      <c r="Q321">
        <v>3.024354858637994E-3</v>
      </c>
      <c r="R321">
        <v>6.7876230755025823E-4</v>
      </c>
      <c r="S321">
        <v>8.8818100899389907E-2</v>
      </c>
      <c r="T321">
        <v>0.81498317421976418</v>
      </c>
      <c r="U321">
        <v>1.7069216356201955E-2</v>
      </c>
      <c r="V321">
        <v>1.0414046465001736E-2</v>
      </c>
      <c r="W321">
        <v>4.2195451823932854E-2</v>
      </c>
      <c r="X321">
        <v>1.0049915622770675E-2</v>
      </c>
      <c r="Y321">
        <v>1.847367247217254E-3</v>
      </c>
    </row>
    <row r="322" spans="1:25">
      <c r="A322" s="876"/>
      <c r="B322" s="1202">
        <v>72</v>
      </c>
      <c r="C322" s="880">
        <v>0.98528281650893956</v>
      </c>
      <c r="D322" s="880">
        <v>1.0257663708485045</v>
      </c>
      <c r="E322" s="880">
        <v>1.0280011477669813</v>
      </c>
      <c r="F322" s="880">
        <v>0.9833076099699678</v>
      </c>
      <c r="G322" s="880">
        <v>1.0026560112817988</v>
      </c>
      <c r="H322" s="880">
        <v>0.98792553326687105</v>
      </c>
      <c r="I322" s="880">
        <v>1.0298065892800268</v>
      </c>
      <c r="K322">
        <v>1.0766395615124191</v>
      </c>
      <c r="L322">
        <v>0</v>
      </c>
      <c r="M322">
        <v>6.4347367818452729E-4</v>
      </c>
      <c r="N322">
        <v>6.9932244173993338E-2</v>
      </c>
      <c r="O322">
        <v>8.7987652239623695E-3</v>
      </c>
      <c r="P322">
        <v>1.2929301599211868E-2</v>
      </c>
      <c r="Q322">
        <v>3.0476036522833106E-3</v>
      </c>
      <c r="R322">
        <v>6.3244898501540634E-4</v>
      </c>
      <c r="S322">
        <v>8.7769953280320584E-2</v>
      </c>
      <c r="T322">
        <v>0.81358941815349761</v>
      </c>
      <c r="U322">
        <v>1.71632231706529E-2</v>
      </c>
      <c r="V322">
        <v>1.0414586880482064E-2</v>
      </c>
      <c r="W322">
        <v>4.1015989153621327E-2</v>
      </c>
      <c r="X322">
        <v>1.0268183267102821E-2</v>
      </c>
      <c r="Y322">
        <v>1.721317650460058E-3</v>
      </c>
    </row>
    <row r="323" spans="1:25">
      <c r="A323" s="876"/>
      <c r="B323" s="1202">
        <v>73</v>
      </c>
      <c r="C323" s="880">
        <v>1.0184294048087179</v>
      </c>
      <c r="D323" s="880">
        <v>1.0087287140779941</v>
      </c>
      <c r="E323" s="880">
        <v>1.0007937728691052</v>
      </c>
      <c r="F323" s="880">
        <v>0.98597440448089624</v>
      </c>
      <c r="G323" s="880">
        <v>1.0102198935357904</v>
      </c>
      <c r="H323" s="880">
        <v>1.0421156904752229</v>
      </c>
      <c r="I323" s="880">
        <v>1.0040525043475061</v>
      </c>
      <c r="K323">
        <v>1.075957227821265</v>
      </c>
      <c r="L323">
        <v>0</v>
      </c>
      <c r="M323">
        <v>7.0170501406363801E-4</v>
      </c>
      <c r="N323">
        <v>7.0142577069273876E-2</v>
      </c>
      <c r="O323">
        <v>8.5886407237485713E-3</v>
      </c>
      <c r="P323">
        <v>1.266203786740959E-2</v>
      </c>
      <c r="Q323">
        <v>2.8916025154890079E-3</v>
      </c>
      <c r="R323">
        <v>6.9032170839175837E-4</v>
      </c>
      <c r="S323">
        <v>8.5383134959006596E-2</v>
      </c>
      <c r="T323">
        <v>0.81577268410822767</v>
      </c>
      <c r="U323">
        <v>1.660461568185825E-2</v>
      </c>
      <c r="V323">
        <v>1.041137562248835E-2</v>
      </c>
      <c r="W323">
        <v>4.1904619268462444E-2</v>
      </c>
      <c r="X323">
        <v>9.7284951852186288E-3</v>
      </c>
      <c r="Y323">
        <v>1.8788281257523542E-3</v>
      </c>
    </row>
    <row r="324" spans="1:25">
      <c r="A324" s="876"/>
      <c r="B324" s="1202">
        <v>74</v>
      </c>
      <c r="C324" s="880">
        <v>0.97171078102809372</v>
      </c>
      <c r="D324" s="880">
        <v>1.0198959338265012</v>
      </c>
      <c r="E324" s="880">
        <v>0.97326278747841011</v>
      </c>
      <c r="F324" s="880">
        <v>1.0139939863010679</v>
      </c>
      <c r="G324" s="880">
        <v>1.0027540770760286</v>
      </c>
      <c r="H324" s="880">
        <v>0.99101342657131863</v>
      </c>
      <c r="I324" s="880">
        <v>1.0203553426403706</v>
      </c>
      <c r="K324">
        <v>1.0786229653188724</v>
      </c>
      <c r="L324">
        <v>0</v>
      </c>
      <c r="M324">
        <v>7.367163245691437E-4</v>
      </c>
      <c r="N324">
        <v>6.7533299688622789E-2</v>
      </c>
      <c r="O324">
        <v>8.9489480017297257E-3</v>
      </c>
      <c r="P324">
        <v>1.2484237208272216E-2</v>
      </c>
      <c r="Q324">
        <v>2.9324842115095763E-3</v>
      </c>
      <c r="R324">
        <v>7.2413867623975629E-4</v>
      </c>
      <c r="S324">
        <v>8.8545515918153281E-2</v>
      </c>
      <c r="T324">
        <v>0.81800752012014155</v>
      </c>
      <c r="U324">
        <v>1.7402944575813529E-2</v>
      </c>
      <c r="V324">
        <v>1.0415964963114374E-2</v>
      </c>
      <c r="W324">
        <v>4.1120090913540186E-2</v>
      </c>
      <c r="X324">
        <v>9.273670601829492E-3</v>
      </c>
      <c r="Y324">
        <v>1.9708667644741497E-3</v>
      </c>
    </row>
    <row r="325" spans="1:25">
      <c r="A325" s="876"/>
      <c r="B325" s="1202">
        <v>75</v>
      </c>
      <c r="C325" s="880">
        <v>1.0430921693507222</v>
      </c>
      <c r="D325" s="880">
        <v>1.001634780967019</v>
      </c>
      <c r="E325" s="880">
        <v>1.0019320016477733</v>
      </c>
      <c r="F325" s="880">
        <v>1.027516607249406</v>
      </c>
      <c r="G325" s="880">
        <v>0.97131937072188812</v>
      </c>
      <c r="H325" s="880">
        <v>1.0050119826082804</v>
      </c>
      <c r="I325" s="880">
        <v>0.99722241935092804</v>
      </c>
      <c r="K325">
        <v>1.0652034661167982</v>
      </c>
      <c r="L325">
        <v>0</v>
      </c>
      <c r="M325">
        <v>6.6161704521762032E-4</v>
      </c>
      <c r="N325">
        <v>6.6330144283124198E-2</v>
      </c>
      <c r="O325">
        <v>8.417174566585986E-3</v>
      </c>
      <c r="P325">
        <v>1.2617467785523064E-2</v>
      </c>
      <c r="Q325">
        <v>2.8356236500082935E-3</v>
      </c>
      <c r="R325">
        <v>6.5049356608099028E-4</v>
      </c>
      <c r="S325">
        <v>8.1821832229546615E-2</v>
      </c>
      <c r="T325">
        <v>0.81568084150954789</v>
      </c>
      <c r="U325">
        <v>1.6212017847357117E-2</v>
      </c>
      <c r="V325">
        <v>1.0409118701556089E-2</v>
      </c>
      <c r="W325">
        <v>3.9596172389641908E-2</v>
      </c>
      <c r="X325">
        <v>9.5237675813184298E-3</v>
      </c>
      <c r="Y325">
        <v>1.7704290517260276E-3</v>
      </c>
    </row>
    <row r="326" spans="1:25">
      <c r="A326" s="876"/>
      <c r="B326" s="1202">
        <v>76</v>
      </c>
      <c r="C326" s="880">
        <v>0.99827378149570289</v>
      </c>
      <c r="D326" s="880">
        <v>1.015429691522699</v>
      </c>
      <c r="E326" s="880">
        <v>0.98404753129024158</v>
      </c>
      <c r="F326" s="880">
        <v>1.0114808681197967</v>
      </c>
      <c r="G326" s="880">
        <v>0.98821068331722339</v>
      </c>
      <c r="H326" s="880">
        <v>0.99800277320040331</v>
      </c>
      <c r="I326" s="880">
        <v>1.0370022852172713</v>
      </c>
      <c r="K326">
        <v>1.075612269274824</v>
      </c>
      <c r="L326">
        <v>0</v>
      </c>
      <c r="M326">
        <v>7.0765496835801221E-4</v>
      </c>
      <c r="N326">
        <v>6.7094854389663033E-2</v>
      </c>
      <c r="O326">
        <v>8.7312024118365011E-3</v>
      </c>
      <c r="P326">
        <v>1.2562298399029314E-2</v>
      </c>
      <c r="Q326">
        <v>2.8917490570746999E-3</v>
      </c>
      <c r="R326">
        <v>6.9566191930826339E-4</v>
      </c>
      <c r="S326">
        <v>8.804434024196009E-2</v>
      </c>
      <c r="T326">
        <v>0.81712900599589178</v>
      </c>
      <c r="U326">
        <v>1.6939870784360742E-2</v>
      </c>
      <c r="V326">
        <v>1.0413302898168381E-2</v>
      </c>
      <c r="W326">
        <v>4.0548259532350653E-2</v>
      </c>
      <c r="X326">
        <v>9.3760161940713137E-3</v>
      </c>
      <c r="Y326">
        <v>1.8933624194670256E-3</v>
      </c>
    </row>
    <row r="327" spans="1:25">
      <c r="A327" s="876"/>
      <c r="B327" s="1202">
        <v>77</v>
      </c>
      <c r="C327" s="880">
        <v>0.97843946550431804</v>
      </c>
      <c r="D327" s="880">
        <v>0.99608844118943374</v>
      </c>
      <c r="E327" s="880">
        <v>0.96042698431794504</v>
      </c>
      <c r="F327" s="880">
        <v>1.018917629909514</v>
      </c>
      <c r="G327" s="880">
        <v>0.99502829306039597</v>
      </c>
      <c r="H327" s="880">
        <v>0.98471715129676052</v>
      </c>
      <c r="I327" s="880">
        <v>1.0166640441053063</v>
      </c>
      <c r="K327">
        <v>1.0780110055049004</v>
      </c>
      <c r="L327">
        <v>0</v>
      </c>
      <c r="M327">
        <v>7.562519986237656E-4</v>
      </c>
      <c r="N327">
        <v>6.6598345980629026E-2</v>
      </c>
      <c r="O327">
        <v>8.9999722407833015E-3</v>
      </c>
      <c r="P327">
        <v>1.2372149000593623E-2</v>
      </c>
      <c r="Q327">
        <v>2.9055855084500364E-3</v>
      </c>
      <c r="R327">
        <v>7.4328071153047031E-4</v>
      </c>
      <c r="S327">
        <v>8.8419814760599194E-2</v>
      </c>
      <c r="T327">
        <v>0.81905823104217879</v>
      </c>
      <c r="U327">
        <v>1.7283265303731511E-2</v>
      </c>
      <c r="V327">
        <v>1.041527696478484E-2</v>
      </c>
      <c r="W327">
        <v>4.0916984460282774E-2</v>
      </c>
      <c r="X327">
        <v>9.0313864555949547E-3</v>
      </c>
      <c r="Y327">
        <v>2.0229650743652356E-3</v>
      </c>
    </row>
    <row r="328" spans="1:25">
      <c r="A328" s="876"/>
      <c r="B328" s="1202">
        <v>78</v>
      </c>
      <c r="C328" s="880">
        <v>0.97877362672685797</v>
      </c>
      <c r="D328" s="880">
        <v>1.0102715124799801</v>
      </c>
      <c r="E328" s="880">
        <v>0.96058841772488801</v>
      </c>
      <c r="F328" s="880">
        <v>0.97508859948529258</v>
      </c>
      <c r="G328" s="880">
        <v>0.97308375781688028</v>
      </c>
      <c r="H328" s="880">
        <v>1.0286029150874227</v>
      </c>
      <c r="I328" s="880">
        <v>1.0041903801567498</v>
      </c>
      <c r="K328">
        <v>1.0819229428631374</v>
      </c>
      <c r="L328">
        <v>0</v>
      </c>
      <c r="M328">
        <v>7.8350562179976737E-4</v>
      </c>
      <c r="N328">
        <v>6.9083368529539363E-2</v>
      </c>
      <c r="O328">
        <v>8.9293425534638406E-3</v>
      </c>
      <c r="P328">
        <v>1.2371775938168586E-2</v>
      </c>
      <c r="Q328">
        <v>2.8863035517107945E-3</v>
      </c>
      <c r="R328">
        <v>7.7062690314470155E-4</v>
      </c>
      <c r="S328">
        <v>8.8294077867955192E-2</v>
      </c>
      <c r="T328">
        <v>0.81904498197439968</v>
      </c>
      <c r="U328">
        <v>1.7277364657345369E-2</v>
      </c>
      <c r="V328">
        <v>1.0415243043832723E-2</v>
      </c>
      <c r="W328">
        <v>4.2438923694161385E-2</v>
      </c>
      <c r="X328">
        <v>9.0970473779456267E-3</v>
      </c>
      <c r="Y328">
        <v>2.0973923932695294E-3</v>
      </c>
    </row>
    <row r="329" spans="1:25">
      <c r="A329" s="876"/>
      <c r="B329" s="1202">
        <v>79</v>
      </c>
      <c r="C329" s="880">
        <v>1.0295671408288167</v>
      </c>
      <c r="D329" s="880">
        <v>0.96798134575432093</v>
      </c>
      <c r="E329" s="880">
        <v>1.0143837689828283</v>
      </c>
      <c r="F329" s="880">
        <v>1.0035492427028769</v>
      </c>
      <c r="G329" s="880">
        <v>1.0109524435517485</v>
      </c>
      <c r="H329" s="880">
        <v>1.0129888116344159</v>
      </c>
      <c r="I329" s="880">
        <v>1.0122776832222742</v>
      </c>
      <c r="K329">
        <v>1.0747828137262321</v>
      </c>
      <c r="L329">
        <v>0</v>
      </c>
      <c r="M329">
        <v>6.702137497606492E-4</v>
      </c>
      <c r="N329">
        <v>6.985677874289202E-2</v>
      </c>
      <c r="O329">
        <v>8.6848237910111033E-3</v>
      </c>
      <c r="P329">
        <v>1.2779631195170034E-2</v>
      </c>
      <c r="Q329">
        <v>2.9548711284051389E-3</v>
      </c>
      <c r="R329">
        <v>6.5906267576343346E-4</v>
      </c>
      <c r="S329">
        <v>8.5881054031448967E-2</v>
      </c>
      <c r="T329">
        <v>0.81467899803023214</v>
      </c>
      <c r="U329">
        <v>1.642498890586102E-2</v>
      </c>
      <c r="V329">
        <v>1.0410343004895687E-2</v>
      </c>
      <c r="W329">
        <v>4.1349627767367683E-2</v>
      </c>
      <c r="X329">
        <v>9.9790968594700106E-3</v>
      </c>
      <c r="Y329">
        <v>1.7937513434753902E-3</v>
      </c>
    </row>
    <row r="330" spans="1:25">
      <c r="A330" s="876"/>
      <c r="B330" s="1202">
        <v>80</v>
      </c>
      <c r="C330" s="880">
        <v>1.033891335379413</v>
      </c>
      <c r="D330" s="880">
        <v>0.975698483114114</v>
      </c>
      <c r="E330" s="880">
        <v>1.0116096244350605</v>
      </c>
      <c r="F330" s="880">
        <v>1.0043190309579919</v>
      </c>
      <c r="G330" s="880">
        <v>0.97096809305192189</v>
      </c>
      <c r="H330" s="880">
        <v>1.0356661600761501</v>
      </c>
      <c r="I330" s="880">
        <v>1.0188194461672704</v>
      </c>
      <c r="K330">
        <v>1.0768264409635873</v>
      </c>
      <c r="L330">
        <v>0</v>
      </c>
      <c r="M330">
        <v>6.8345645023254432E-4</v>
      </c>
      <c r="N330">
        <v>7.0650956311380589E-2</v>
      </c>
      <c r="O330">
        <v>8.6118550917920981E-3</v>
      </c>
      <c r="P330">
        <v>1.2764711915021732E-2</v>
      </c>
      <c r="Q330">
        <v>2.9236989575188018E-3</v>
      </c>
      <c r="R330">
        <v>6.7232746786884622E-4</v>
      </c>
      <c r="S330">
        <v>8.6543052898626266E-2</v>
      </c>
      <c r="T330">
        <v>0.81490174311088692</v>
      </c>
      <c r="U330">
        <v>1.6356292278768936E-2</v>
      </c>
      <c r="V330">
        <v>1.0409948089687232E-2</v>
      </c>
      <c r="W330">
        <v>4.1898457095314284E-2</v>
      </c>
      <c r="X330">
        <v>9.9470004621037885E-3</v>
      </c>
      <c r="Y330">
        <v>1.8298537348487819E-3</v>
      </c>
    </row>
    <row r="331" spans="1:25">
      <c r="A331" s="876"/>
      <c r="B331" s="1202">
        <v>81</v>
      </c>
      <c r="C331" s="880">
        <v>0.99756891806588543</v>
      </c>
      <c r="D331" s="880">
        <v>1.0237511842094849</v>
      </c>
      <c r="E331" s="880">
        <v>1.0042645787442719</v>
      </c>
      <c r="F331" s="880">
        <v>0.99744675683931239</v>
      </c>
      <c r="G331" s="880">
        <v>1.0260110787320496</v>
      </c>
      <c r="H331" s="880">
        <v>1.0146033621662638</v>
      </c>
      <c r="I331" s="880">
        <v>0.96128306868494029</v>
      </c>
      <c r="K331">
        <v>1.0713938823399733</v>
      </c>
      <c r="L331">
        <v>0</v>
      </c>
      <c r="M331">
        <v>6.8696884597079487E-4</v>
      </c>
      <c r="N331">
        <v>6.9382615710232104E-2</v>
      </c>
      <c r="O331">
        <v>8.6994961813765953E-3</v>
      </c>
      <c r="P331">
        <v>1.2648193718605129E-2</v>
      </c>
      <c r="Q331">
        <v>2.9423713866171645E-3</v>
      </c>
      <c r="R331">
        <v>6.7551005935871254E-4</v>
      </c>
      <c r="S331">
        <v>8.1907485222595264E-2</v>
      </c>
      <c r="T331">
        <v>0.81549276567818696</v>
      </c>
      <c r="U331">
        <v>1.6951840178360003E-2</v>
      </c>
      <c r="V331">
        <v>1.0413371706433468E-2</v>
      </c>
      <c r="W331">
        <v>4.1352453005225193E-2</v>
      </c>
      <c r="X331">
        <v>9.7762326392089264E-3</v>
      </c>
      <c r="Y331">
        <v>1.838515699743195E-3</v>
      </c>
    </row>
    <row r="332" spans="1:25">
      <c r="A332" s="876"/>
      <c r="B332" s="1202">
        <v>82</v>
      </c>
      <c r="C332" s="880">
        <v>0.97633100620550006</v>
      </c>
      <c r="D332" s="880">
        <v>0.97367899172325312</v>
      </c>
      <c r="E332" s="880">
        <v>1.0279387485800664</v>
      </c>
      <c r="F332" s="880">
        <v>1.029200948757754</v>
      </c>
      <c r="G332" s="880">
        <v>0.97856201199745885</v>
      </c>
      <c r="H332" s="880">
        <v>0.96009885013369622</v>
      </c>
      <c r="I332" s="880">
        <v>0.98720025506025189</v>
      </c>
      <c r="K332">
        <v>1.0765590686223991</v>
      </c>
      <c r="L332">
        <v>0</v>
      </c>
      <c r="M332">
        <v>6.4891094100096318E-4</v>
      </c>
      <c r="N332">
        <v>7.0478709246520763E-2</v>
      </c>
      <c r="O332">
        <v>9.1296799681091414E-3</v>
      </c>
      <c r="P332">
        <v>1.2908030830191914E-2</v>
      </c>
      <c r="Q332">
        <v>3.1497390035220693E-3</v>
      </c>
      <c r="R332">
        <v>6.3751456603651773E-4</v>
      </c>
      <c r="S332">
        <v>8.6122073129008964E-2</v>
      </c>
      <c r="T332">
        <v>0.81359439653184529</v>
      </c>
      <c r="U332">
        <v>1.7320589798407962E-2</v>
      </c>
      <c r="V332">
        <v>1.0415491531514234E-2</v>
      </c>
      <c r="W332">
        <v>4.1338227547128986E-2</v>
      </c>
      <c r="X332">
        <v>1.0378422918983455E-2</v>
      </c>
      <c r="Y332">
        <v>1.7351044921311883E-3</v>
      </c>
    </row>
    <row r="333" spans="1:25">
      <c r="A333" s="876"/>
      <c r="B333" s="1202">
        <v>83</v>
      </c>
      <c r="C333" s="880">
        <v>0.98615068423254448</v>
      </c>
      <c r="D333" s="880">
        <v>0.97972609618208695</v>
      </c>
      <c r="E333" s="880">
        <v>0.97132467751662999</v>
      </c>
      <c r="F333" s="880">
        <v>1.0213010472430157</v>
      </c>
      <c r="G333" s="880">
        <v>1.0343466914752231</v>
      </c>
      <c r="H333" s="880">
        <v>1.0062941591926762</v>
      </c>
      <c r="I333" s="880">
        <v>1.0241350487187129</v>
      </c>
      <c r="K333">
        <v>1.0823264414652731</v>
      </c>
      <c r="L333">
        <v>0</v>
      </c>
      <c r="M333">
        <v>7.561166085075456E-4</v>
      </c>
      <c r="N333">
        <v>6.8915804410632858E-2</v>
      </c>
      <c r="O333">
        <v>9.0089096767777908E-3</v>
      </c>
      <c r="P333">
        <v>1.2482712184620085E-2</v>
      </c>
      <c r="Q333">
        <v>2.937467498219686E-3</v>
      </c>
      <c r="R333">
        <v>7.4344123179869814E-4</v>
      </c>
      <c r="S333">
        <v>8.9915880496915498E-2</v>
      </c>
      <c r="T333">
        <v>0.81816581331881033</v>
      </c>
      <c r="U333">
        <v>1.714811857491412E-2</v>
      </c>
      <c r="V333">
        <v>1.041450004893257E-2</v>
      </c>
      <c r="W333">
        <v>4.2018655587731032E-2</v>
      </c>
      <c r="X333">
        <v>9.307853086807422E-3</v>
      </c>
      <c r="Y333">
        <v>2.023401957619859E-3</v>
      </c>
    </row>
    <row r="334" spans="1:25">
      <c r="A334" s="876"/>
      <c r="B334" s="1202">
        <v>84</v>
      </c>
      <c r="C334" s="880">
        <v>1.0232961582321962</v>
      </c>
      <c r="D334" s="880">
        <v>0.98442114833734895</v>
      </c>
      <c r="E334" s="880">
        <v>0.99949636415452392</v>
      </c>
      <c r="F334" s="880">
        <v>1.0050452331279001</v>
      </c>
      <c r="G334" s="880">
        <v>1.0178046070466342</v>
      </c>
      <c r="H334" s="880">
        <v>0.97284476342744541</v>
      </c>
      <c r="I334" s="880">
        <v>0.99701902931555775</v>
      </c>
      <c r="K334">
        <v>1.066517972441285</v>
      </c>
      <c r="L334">
        <v>0</v>
      </c>
      <c r="M334">
        <v>6.6227148145580695E-4</v>
      </c>
      <c r="N334">
        <v>6.5858793390583162E-2</v>
      </c>
      <c r="O334">
        <v>8.6597440136292666E-3</v>
      </c>
      <c r="P334">
        <v>1.261735615948645E-2</v>
      </c>
      <c r="Q334">
        <v>2.9064338996220044E-3</v>
      </c>
      <c r="R334">
        <v>6.5078351353131138E-4</v>
      </c>
      <c r="S334">
        <v>8.2981542371232883E-2</v>
      </c>
      <c r="T334">
        <v>0.81587742447636113</v>
      </c>
      <c r="U334">
        <v>1.6525644829124029E-2</v>
      </c>
      <c r="V334">
        <v>1.0410921644002185E-2</v>
      </c>
      <c r="W334">
        <v>3.9380339186627193E-2</v>
      </c>
      <c r="X334">
        <v>9.5400422454364597E-3</v>
      </c>
      <c r="Y334">
        <v>1.7712181931046503E-3</v>
      </c>
    </row>
    <row r="335" spans="1:25">
      <c r="A335" s="876"/>
      <c r="B335" s="1202">
        <v>85</v>
      </c>
      <c r="C335" s="880">
        <v>0.96899705578317441</v>
      </c>
      <c r="D335" s="880">
        <v>1.0053411001171004</v>
      </c>
      <c r="E335" s="880">
        <v>0.99732006810018758</v>
      </c>
      <c r="F335" s="880">
        <v>0.99830344960297568</v>
      </c>
      <c r="G335" s="880">
        <v>0.99130387098309414</v>
      </c>
      <c r="H335" s="880">
        <v>1.0204743769470501</v>
      </c>
      <c r="I335" s="880">
        <v>0.98640763454024916</v>
      </c>
      <c r="K335">
        <v>1.0832069894347924</v>
      </c>
      <c r="L335">
        <v>0</v>
      </c>
      <c r="M335">
        <v>7.2879016802203801E-4</v>
      </c>
      <c r="N335">
        <v>7.2041999916002866E-2</v>
      </c>
      <c r="O335">
        <v>9.0429777640929267E-3</v>
      </c>
      <c r="P335">
        <v>1.2673789469818137E-2</v>
      </c>
      <c r="Q335">
        <v>3.0331900055731399E-3</v>
      </c>
      <c r="R335">
        <v>7.1671972517081261E-4</v>
      </c>
      <c r="S335">
        <v>8.7524289443312489E-2</v>
      </c>
      <c r="T335">
        <v>0.81605324621116204</v>
      </c>
      <c r="U335">
        <v>1.7451682401949782E-2</v>
      </c>
      <c r="V335">
        <v>1.0416245141480967E-2</v>
      </c>
      <c r="W335">
        <v>4.3141861013390875E-2</v>
      </c>
      <c r="X335">
        <v>9.8891036855394115E-3</v>
      </c>
      <c r="Y335">
        <v>1.9506748253210469E-3</v>
      </c>
    </row>
    <row r="336" spans="1:25">
      <c r="A336" s="876"/>
      <c r="B336" s="1202">
        <v>86</v>
      </c>
      <c r="C336" s="880">
        <v>0.96868686785461988</v>
      </c>
      <c r="D336" s="880">
        <v>0.98925713847595187</v>
      </c>
      <c r="E336" s="880">
        <v>1.021645521495425</v>
      </c>
      <c r="F336" s="880">
        <v>1.001552920362184</v>
      </c>
      <c r="G336" s="880">
        <v>0.99234640186944711</v>
      </c>
      <c r="H336" s="880">
        <v>0.96793380634230219</v>
      </c>
      <c r="I336" s="880">
        <v>1.0149721437887378</v>
      </c>
      <c r="K336">
        <v>1.080154769437834</v>
      </c>
      <c r="L336">
        <v>0</v>
      </c>
      <c r="M336">
        <v>6.6257051284919087E-4</v>
      </c>
      <c r="N336">
        <v>7.0578317375426358E-2</v>
      </c>
      <c r="O336">
        <v>9.1240282044156434E-3</v>
      </c>
      <c r="P336">
        <v>1.2895321573773032E-2</v>
      </c>
      <c r="Q336">
        <v>3.1319493548983847E-3</v>
      </c>
      <c r="R336">
        <v>6.5101486425926886E-4</v>
      </c>
      <c r="S336">
        <v>8.8835296429131169E-2</v>
      </c>
      <c r="T336">
        <v>0.81409716984182012</v>
      </c>
      <c r="U336">
        <v>1.7457270689964905E-2</v>
      </c>
      <c r="V336">
        <v>1.0416277266783461E-2</v>
      </c>
      <c r="W336">
        <v>4.1572231340391064E-2</v>
      </c>
      <c r="X336">
        <v>1.0286615156298586E-2</v>
      </c>
      <c r="Y336">
        <v>1.7718478535214033E-3</v>
      </c>
    </row>
    <row r="337" spans="1:25">
      <c r="A337" s="876"/>
      <c r="B337" s="1202">
        <v>87</v>
      </c>
      <c r="C337" s="880">
        <v>1.0141329447801188</v>
      </c>
      <c r="D337" s="880">
        <v>1.0061307094740108</v>
      </c>
      <c r="E337" s="880">
        <v>1.0193677125621277</v>
      </c>
      <c r="F337" s="880">
        <v>0.9783904168159665</v>
      </c>
      <c r="G337" s="880">
        <v>0.98579225718049157</v>
      </c>
      <c r="H337" s="880">
        <v>0.9795863453913477</v>
      </c>
      <c r="I337" s="880">
        <v>0.97479585683869896</v>
      </c>
      <c r="K337">
        <v>1.0658409120121501</v>
      </c>
      <c r="L337">
        <v>0</v>
      </c>
      <c r="M337">
        <v>6.3782115836624102E-4</v>
      </c>
      <c r="N337">
        <v>6.7475695114729714E-2</v>
      </c>
      <c r="O337">
        <v>8.6368882721576338E-3</v>
      </c>
      <c r="P337">
        <v>1.2759879915458681E-2</v>
      </c>
      <c r="Q337">
        <v>2.9617705780638271E-3</v>
      </c>
      <c r="R337">
        <v>6.2681580536009965E-4</v>
      </c>
      <c r="S337">
        <v>8.1211431694104816E-2</v>
      </c>
      <c r="T337">
        <v>0.81427947961986213</v>
      </c>
      <c r="U337">
        <v>1.6674962541147802E-2</v>
      </c>
      <c r="V337">
        <v>1.0411780024360417E-2</v>
      </c>
      <c r="W337">
        <v>3.9805830103793988E-2</v>
      </c>
      <c r="X337">
        <v>9.9282135090607154E-3</v>
      </c>
      <c r="Y337">
        <v>1.7059859924154874E-3</v>
      </c>
    </row>
    <row r="338" spans="1:25">
      <c r="A338" s="876"/>
      <c r="B338" s="1202">
        <v>88</v>
      </c>
      <c r="C338" s="880">
        <v>0.99369971670376944</v>
      </c>
      <c r="D338" s="880">
        <v>0.97407486075933791</v>
      </c>
      <c r="E338" s="880">
        <v>0.99235998862715158</v>
      </c>
      <c r="F338" s="880">
        <v>0.98370668442541809</v>
      </c>
      <c r="G338" s="880">
        <v>1.0014955688685883</v>
      </c>
      <c r="H338" s="880">
        <v>1.0199116878092014</v>
      </c>
      <c r="I338" s="880">
        <v>1.0050476948694793</v>
      </c>
      <c r="K338">
        <v>1.0822229434217792</v>
      </c>
      <c r="L338">
        <v>0</v>
      </c>
      <c r="M338">
        <v>7.2991122776456369E-4</v>
      </c>
      <c r="N338">
        <v>7.1049656500042552E-2</v>
      </c>
      <c r="O338">
        <v>8.968154694245261E-3</v>
      </c>
      <c r="P338">
        <v>1.2637062660997924E-2</v>
      </c>
      <c r="Q338">
        <v>2.9860031828074758E-3</v>
      </c>
      <c r="R338">
        <v>7.1784370378292237E-4</v>
      </c>
      <c r="S338">
        <v>8.832251959331032E-2</v>
      </c>
      <c r="T338">
        <v>0.81645456916414316</v>
      </c>
      <c r="U338">
        <v>1.7017846117584803E-2</v>
      </c>
      <c r="V338">
        <v>1.0413751153727335E-2</v>
      </c>
      <c r="W338">
        <v>4.2692773564493067E-2</v>
      </c>
      <c r="X338">
        <v>9.7389403898252968E-3</v>
      </c>
      <c r="Y338">
        <v>1.9537339245837607E-3</v>
      </c>
    </row>
    <row r="339" spans="1:25">
      <c r="A339" s="876"/>
      <c r="B339" s="1202">
        <v>89</v>
      </c>
      <c r="C339" s="880">
        <v>1.0157255438631765</v>
      </c>
      <c r="D339" s="880">
        <v>0.97961721505197663</v>
      </c>
      <c r="E339" s="880">
        <v>1.0267504462339307</v>
      </c>
      <c r="F339" s="880">
        <v>1.0376985280259763</v>
      </c>
      <c r="G339" s="880">
        <v>0.96707129585843254</v>
      </c>
      <c r="H339" s="880">
        <v>0.98866638750499025</v>
      </c>
      <c r="I339" s="880">
        <v>1.0112023346482821</v>
      </c>
      <c r="K339">
        <v>1.0731387060587656</v>
      </c>
      <c r="L339">
        <v>0</v>
      </c>
      <c r="M339">
        <v>6.4183439089110506E-4</v>
      </c>
      <c r="N339">
        <v>6.9488731568967996E-2</v>
      </c>
      <c r="O339">
        <v>8.7471168628111134E-3</v>
      </c>
      <c r="P339">
        <v>1.2881027062095067E-2</v>
      </c>
      <c r="Q339">
        <v>3.0155894214936212E-3</v>
      </c>
      <c r="R339">
        <v>6.3088306537295309E-4</v>
      </c>
      <c r="S339">
        <v>8.5565814984739114E-2</v>
      </c>
      <c r="T339">
        <v>0.81368922791539833</v>
      </c>
      <c r="U339">
        <v>1.6648817161410593E-2</v>
      </c>
      <c r="V339">
        <v>1.0411629722831396E-2</v>
      </c>
      <c r="W339">
        <v>4.0790098996627305E-2</v>
      </c>
      <c r="X339">
        <v>1.0194547954511277E-2</v>
      </c>
      <c r="Y339">
        <v>1.7170557333985709E-3</v>
      </c>
    </row>
    <row r="340" spans="1:25">
      <c r="A340" s="876"/>
      <c r="B340" s="1202">
        <v>90</v>
      </c>
      <c r="C340" s="880">
        <v>0.99346755134447318</v>
      </c>
      <c r="D340" s="880">
        <v>1.0074407624369948</v>
      </c>
      <c r="E340" s="880">
        <v>1.0112570081701895</v>
      </c>
      <c r="F340" s="880">
        <v>0.98935463979709337</v>
      </c>
      <c r="G340" s="880">
        <v>1.0159522606749125</v>
      </c>
      <c r="H340" s="880">
        <v>1.0294832309809749</v>
      </c>
      <c r="I340" s="880">
        <v>0.96544021573057148</v>
      </c>
      <c r="K340">
        <v>1.0769925530873472</v>
      </c>
      <c r="L340">
        <v>0</v>
      </c>
      <c r="M340">
        <v>6.9558728341347434E-4</v>
      </c>
      <c r="N340">
        <v>7.1816219162395972E-2</v>
      </c>
      <c r="O340">
        <v>8.8104348351743939E-3</v>
      </c>
      <c r="P340">
        <v>1.2732944493444065E-2</v>
      </c>
      <c r="Q340">
        <v>2.9972479895880207E-3</v>
      </c>
      <c r="R340">
        <v>6.8416582641293812E-4</v>
      </c>
      <c r="S340">
        <v>8.3778834695468068E-2</v>
      </c>
      <c r="T340">
        <v>0.8149300745887077</v>
      </c>
      <c r="U340">
        <v>1.7021823051056876E-2</v>
      </c>
      <c r="V340">
        <v>1.0413774015861596E-2</v>
      </c>
      <c r="W340">
        <v>4.25996936100317E-2</v>
      </c>
      <c r="X340">
        <v>1.0040854258326624E-2</v>
      </c>
      <c r="Y340">
        <v>1.8620738442919542E-3</v>
      </c>
    </row>
    <row r="341" spans="1:25">
      <c r="A341" s="876"/>
      <c r="B341" s="1202">
        <v>91</v>
      </c>
      <c r="C341" s="880">
        <v>0.98424504500608656</v>
      </c>
      <c r="D341" s="880">
        <v>1.0234076076339316</v>
      </c>
      <c r="E341" s="880">
        <v>1.0124208122372764</v>
      </c>
      <c r="F341" s="880">
        <v>1.0054904500018844</v>
      </c>
      <c r="G341" s="880">
        <v>1.0218485740785026</v>
      </c>
      <c r="H341" s="880">
        <v>0.97923945355219366</v>
      </c>
      <c r="I341" s="880">
        <v>1.0162394859499702</v>
      </c>
      <c r="K341">
        <v>1.0741533157636216</v>
      </c>
      <c r="L341">
        <v>0</v>
      </c>
      <c r="M341">
        <v>6.6065919207909435E-4</v>
      </c>
      <c r="N341">
        <v>6.839723698807236E-2</v>
      </c>
      <c r="O341">
        <v>8.8188374795452589E-3</v>
      </c>
      <c r="P341">
        <v>1.2782130702889949E-2</v>
      </c>
      <c r="Q341">
        <v>3.0071017312725762E-3</v>
      </c>
      <c r="R341">
        <v>6.4924156459080483E-4</v>
      </c>
      <c r="S341">
        <v>8.648739394794365E-2</v>
      </c>
      <c r="T341">
        <v>0.81483658309338336</v>
      </c>
      <c r="U341">
        <v>1.7181319785915489E-2</v>
      </c>
      <c r="V341">
        <v>1.0414690912206623E-2</v>
      </c>
      <c r="W341">
        <v>4.0539603814040412E-2</v>
      </c>
      <c r="X341">
        <v>9.9328134194483931E-3</v>
      </c>
      <c r="Y341">
        <v>1.7670215163919228E-3</v>
      </c>
    </row>
    <row r="342" spans="1:25">
      <c r="A342" s="876"/>
      <c r="B342" s="1202">
        <v>92</v>
      </c>
      <c r="C342" s="880">
        <v>1.0049738630036313</v>
      </c>
      <c r="D342" s="880">
        <v>0.97837059232861334</v>
      </c>
      <c r="E342" s="880">
        <v>1.0283747202898266</v>
      </c>
      <c r="F342" s="880">
        <v>0.99849015129219976</v>
      </c>
      <c r="G342" s="880">
        <v>0.99600827481849386</v>
      </c>
      <c r="H342" s="880">
        <v>1.0260652519950459</v>
      </c>
      <c r="I342" s="880">
        <v>1.0062011976858098</v>
      </c>
      <c r="K342">
        <v>1.0812657392155514</v>
      </c>
      <c r="L342">
        <v>0</v>
      </c>
      <c r="M342">
        <v>6.7138684725555429E-4</v>
      </c>
      <c r="N342">
        <v>7.3102083533537254E-2</v>
      </c>
      <c r="O342">
        <v>8.8467150968212262E-3</v>
      </c>
      <c r="P342">
        <v>1.2923410153947873E-2</v>
      </c>
      <c r="Q342">
        <v>3.0545413618993872E-3</v>
      </c>
      <c r="R342">
        <v>6.6034986511324511E-4</v>
      </c>
      <c r="S342">
        <v>8.7462721163146517E-2</v>
      </c>
      <c r="T342">
        <v>0.81355961629206541</v>
      </c>
      <c r="U342">
        <v>1.682693400145796E-2</v>
      </c>
      <c r="V342">
        <v>1.0412653660279233E-2</v>
      </c>
      <c r="W342">
        <v>4.2864387579036704E-2</v>
      </c>
      <c r="X342">
        <v>1.0426458706938594E-2</v>
      </c>
      <c r="Y342">
        <v>1.7972546485637228E-3</v>
      </c>
    </row>
    <row r="343" spans="1:25">
      <c r="A343" s="876"/>
      <c r="B343" s="1202">
        <v>93</v>
      </c>
      <c r="C343" s="880">
        <v>1.0084869703500097</v>
      </c>
      <c r="D343" s="880">
        <v>1.0018923818946144</v>
      </c>
      <c r="E343" s="880">
        <v>1.0035342975298669</v>
      </c>
      <c r="F343" s="880">
        <v>1.0115309939075483</v>
      </c>
      <c r="G343" s="880">
        <v>1.0116555159609628</v>
      </c>
      <c r="H343" s="880">
        <v>0.97837519858855315</v>
      </c>
      <c r="I343" s="880">
        <v>1.0124653110004753</v>
      </c>
      <c r="K343">
        <v>1.07017083022215</v>
      </c>
      <c r="L343">
        <v>0</v>
      </c>
      <c r="M343">
        <v>6.6384670060370022E-4</v>
      </c>
      <c r="N343">
        <v>6.6855041466109835E-2</v>
      </c>
      <c r="O343">
        <v>8.7048077465674036E-3</v>
      </c>
      <c r="P343">
        <v>1.268132767069511E-2</v>
      </c>
      <c r="Q343">
        <v>2.9372992183425589E-3</v>
      </c>
      <c r="R343">
        <v>6.5238165572216998E-4</v>
      </c>
      <c r="S343">
        <v>8.4956877817579685E-2</v>
      </c>
      <c r="T343">
        <v>0.81555162840552309</v>
      </c>
      <c r="U343">
        <v>1.6768316659642409E-2</v>
      </c>
      <c r="V343">
        <v>1.0412316687697864E-2</v>
      </c>
      <c r="W343">
        <v>3.9865865093805616E-2</v>
      </c>
      <c r="X343">
        <v>9.6732466917471439E-3</v>
      </c>
      <c r="Y343">
        <v>1.7755678093207361E-3</v>
      </c>
    </row>
    <row r="344" spans="1:25">
      <c r="A344" s="876"/>
      <c r="B344" s="1202">
        <v>94</v>
      </c>
      <c r="C344" s="880">
        <v>1.0256839463859948</v>
      </c>
      <c r="D344" s="880">
        <v>0.99549877175468748</v>
      </c>
      <c r="E344" s="880">
        <v>1.032108442306833</v>
      </c>
      <c r="F344" s="880">
        <v>0.98576890139421258</v>
      </c>
      <c r="G344" s="880">
        <v>1.0008638687389988</v>
      </c>
      <c r="H344" s="880">
        <v>0.9731224834461828</v>
      </c>
      <c r="I344" s="880">
        <v>0.95696825763761229</v>
      </c>
      <c r="K344">
        <v>1.0623016778405685</v>
      </c>
      <c r="L344">
        <v>0</v>
      </c>
      <c r="M344">
        <v>6.1328328955785063E-4</v>
      </c>
      <c r="N344">
        <v>6.749112093763876E-2</v>
      </c>
      <c r="O344">
        <v>8.5881331683145216E-3</v>
      </c>
      <c r="P344">
        <v>1.2831775834492271E-2</v>
      </c>
      <c r="Q344">
        <v>2.9801073931139716E-3</v>
      </c>
      <c r="R344">
        <v>6.0263934154123505E-4</v>
      </c>
      <c r="S344">
        <v>7.903014518728127E-2</v>
      </c>
      <c r="T344">
        <v>0.81326201924761821</v>
      </c>
      <c r="U344">
        <v>1.6487173193591564E-2</v>
      </c>
      <c r="V344">
        <v>1.0410700482722369E-2</v>
      </c>
      <c r="W344">
        <v>3.9475448649788657E-2</v>
      </c>
      <c r="X344">
        <v>1.0115512066353093E-2</v>
      </c>
      <c r="Y344">
        <v>1.6401856276696933E-3</v>
      </c>
    </row>
    <row r="345" spans="1:25">
      <c r="A345" s="876"/>
      <c r="B345" s="1202">
        <v>95</v>
      </c>
      <c r="C345" s="880">
        <v>0.98394250565912178</v>
      </c>
      <c r="D345" s="880">
        <v>1.0115700021395555</v>
      </c>
      <c r="E345" s="880">
        <v>0.99970884495634693</v>
      </c>
      <c r="F345" s="880">
        <v>1.0009165824549706</v>
      </c>
      <c r="G345" s="880">
        <v>0.99058964510069525</v>
      </c>
      <c r="H345" s="880">
        <v>0.9964219114537809</v>
      </c>
      <c r="I345" s="880">
        <v>1.0296018118500201</v>
      </c>
      <c r="K345">
        <v>1.0790007379324709</v>
      </c>
      <c r="L345">
        <v>0</v>
      </c>
      <c r="M345">
        <v>6.9500219281992085E-4</v>
      </c>
      <c r="N345">
        <v>6.9185865448224929E-2</v>
      </c>
      <c r="O345">
        <v>8.8763588817114877E-3</v>
      </c>
      <c r="P345">
        <v>1.2707569346958979E-2</v>
      </c>
      <c r="Q345">
        <v>2.9858384004654024E-3</v>
      </c>
      <c r="R345">
        <v>6.8320817000160918E-4</v>
      </c>
      <c r="S345">
        <v>8.8798596018788159E-2</v>
      </c>
      <c r="T345">
        <v>0.81586026689278068</v>
      </c>
      <c r="U345">
        <v>1.7186602640592609E-2</v>
      </c>
      <c r="V345">
        <v>1.0414721281669368E-2</v>
      </c>
      <c r="W345">
        <v>4.1363749743587128E-2</v>
      </c>
      <c r="X345">
        <v>9.7734958812785381E-3</v>
      </c>
      <c r="Y345">
        <v>1.8594674192316683E-3</v>
      </c>
    </row>
    <row r="346" spans="1:25">
      <c r="A346" s="876"/>
      <c r="B346" s="1202">
        <v>96</v>
      </c>
      <c r="C346" s="880">
        <v>1.0465442022533276</v>
      </c>
      <c r="D346" s="880">
        <v>0.99960762786367852</v>
      </c>
      <c r="E346" s="880">
        <v>1.010643964058235</v>
      </c>
      <c r="F346" s="880">
        <v>0.98477136904880658</v>
      </c>
      <c r="G346" s="880">
        <v>1.0174509506980722</v>
      </c>
      <c r="H346" s="880">
        <v>0.98840725828252574</v>
      </c>
      <c r="I346" s="880">
        <v>0.97284836349614001</v>
      </c>
      <c r="K346">
        <v>1.0604462239861345</v>
      </c>
      <c r="L346">
        <v>0</v>
      </c>
      <c r="M346">
        <v>6.3742471739601427E-4</v>
      </c>
      <c r="N346">
        <v>6.5640984856501994E-2</v>
      </c>
      <c r="O346">
        <v>8.3984782691626323E-3</v>
      </c>
      <c r="P346">
        <v>1.2651365091364459E-2</v>
      </c>
      <c r="Q346">
        <v>2.8536921325015966E-3</v>
      </c>
      <c r="R346">
        <v>6.2652955807105499E-4</v>
      </c>
      <c r="S346">
        <v>7.9086987828591471E-2</v>
      </c>
      <c r="T346">
        <v>0.81497934060614741</v>
      </c>
      <c r="U346">
        <v>1.6158542400351455E-2</v>
      </c>
      <c r="V346">
        <v>1.0408811288103706E-2</v>
      </c>
      <c r="W346">
        <v>3.8952901654708043E-2</v>
      </c>
      <c r="X346">
        <v>9.6208080963701096E-3</v>
      </c>
      <c r="Y346">
        <v>1.7052069216561014E-3</v>
      </c>
    </row>
    <row r="347" spans="1:25">
      <c r="A347" s="876"/>
      <c r="B347" s="1202">
        <v>97</v>
      </c>
      <c r="C347" s="880">
        <v>0.9971929705536744</v>
      </c>
      <c r="D347" s="880">
        <v>0.98634144943099022</v>
      </c>
      <c r="E347" s="880">
        <v>1.0356805324414187</v>
      </c>
      <c r="F347" s="880">
        <v>0.98823714337681368</v>
      </c>
      <c r="G347" s="880">
        <v>1.0354121048493881</v>
      </c>
      <c r="H347" s="880">
        <v>1.0042617150437227</v>
      </c>
      <c r="I347" s="880">
        <v>1.0331565301252328</v>
      </c>
      <c r="K347">
        <v>1.0813879874080743</v>
      </c>
      <c r="L347">
        <v>0</v>
      </c>
      <c r="M347">
        <v>6.492741778336375E-4</v>
      </c>
      <c r="N347">
        <v>7.2288760610499034E-2</v>
      </c>
      <c r="O347">
        <v>8.8771840540957849E-3</v>
      </c>
      <c r="P347">
        <v>1.3011949956103538E-2</v>
      </c>
      <c r="Q347">
        <v>3.0891425188333886E-3</v>
      </c>
      <c r="R347">
        <v>6.3836242615110731E-4</v>
      </c>
      <c r="S347">
        <v>8.9326825583095917E-2</v>
      </c>
      <c r="T347">
        <v>0.81297775070235456</v>
      </c>
      <c r="U347">
        <v>1.6958231120063987E-2</v>
      </c>
      <c r="V347">
        <v>1.0413408445938457E-2</v>
      </c>
      <c r="W347">
        <v>4.2180763173122152E-2</v>
      </c>
      <c r="X347">
        <v>1.0537470907784219E-2</v>
      </c>
      <c r="Y347">
        <v>1.7374120878660901E-3</v>
      </c>
    </row>
    <row r="348" spans="1:25">
      <c r="A348" s="876"/>
      <c r="B348" s="1202">
        <v>98</v>
      </c>
      <c r="C348" s="880">
        <v>0.99480998477557547</v>
      </c>
      <c r="D348" s="880">
        <v>1.018715007355256</v>
      </c>
      <c r="E348" s="880">
        <v>0.99364429749925853</v>
      </c>
      <c r="F348" s="880">
        <v>0.99987240700138302</v>
      </c>
      <c r="G348" s="880">
        <v>1.0145395454758206</v>
      </c>
      <c r="H348" s="880">
        <v>1.0039556410626083</v>
      </c>
      <c r="I348" s="880">
        <v>0.9994966761318701</v>
      </c>
      <c r="K348">
        <v>1.0739802600058825</v>
      </c>
      <c r="L348">
        <v>0</v>
      </c>
      <c r="M348">
        <v>6.9888682651880502E-4</v>
      </c>
      <c r="N348">
        <v>6.828014435460808E-2</v>
      </c>
      <c r="O348">
        <v>8.7465483039843687E-3</v>
      </c>
      <c r="P348">
        <v>1.2605596978883495E-2</v>
      </c>
      <c r="Q348">
        <v>2.9257866723851143E-3</v>
      </c>
      <c r="R348">
        <v>6.8710983445117578E-4</v>
      </c>
      <c r="S348">
        <v>8.5230594606133581E-2</v>
      </c>
      <c r="T348">
        <v>0.81635057486413631</v>
      </c>
      <c r="U348">
        <v>1.6998853172716537E-2</v>
      </c>
      <c r="V348">
        <v>1.0413641969287006E-2</v>
      </c>
      <c r="W348">
        <v>4.0992395558147668E-2</v>
      </c>
      <c r="X348">
        <v>9.577814053986904E-3</v>
      </c>
      <c r="Y348">
        <v>1.8700864636800485E-3</v>
      </c>
    </row>
    <row r="349" spans="1:25">
      <c r="A349" s="876"/>
      <c r="B349" s="1202">
        <v>99</v>
      </c>
      <c r="C349" s="880">
        <v>1.0192813927603386</v>
      </c>
      <c r="D349" s="880">
        <v>0.95612063808056313</v>
      </c>
      <c r="E349" s="880">
        <v>0.97392703466999198</v>
      </c>
      <c r="F349" s="880">
        <v>1.000950901378878</v>
      </c>
      <c r="G349" s="880">
        <v>0.9885826034235784</v>
      </c>
      <c r="H349" s="880">
        <v>0.9984513791189249</v>
      </c>
      <c r="I349" s="880">
        <v>1.0264608256435723</v>
      </c>
      <c r="K349">
        <v>1.0763715961385567</v>
      </c>
      <c r="L349">
        <v>0</v>
      </c>
      <c r="M349">
        <v>7.313455094010733E-4</v>
      </c>
      <c r="N349">
        <v>6.7194127345966359E-2</v>
      </c>
      <c r="O349">
        <v>8.8305437535580716E-3</v>
      </c>
      <c r="P349">
        <v>1.2471243375877133E-2</v>
      </c>
      <c r="Q349">
        <v>2.8816376959823115E-3</v>
      </c>
      <c r="R349">
        <v>7.1901151084885245E-4</v>
      </c>
      <c r="S349">
        <v>8.7971465768951804E-2</v>
      </c>
      <c r="T349">
        <v>0.81795329758482282</v>
      </c>
      <c r="U349">
        <v>1.6590736361973946E-2</v>
      </c>
      <c r="V349">
        <v>1.0411295834662687E-2</v>
      </c>
      <c r="W349">
        <v>4.0894635219920365E-2</v>
      </c>
      <c r="X349">
        <v>9.2280348849421261E-3</v>
      </c>
      <c r="Y349">
        <v>1.9569123104497261E-3</v>
      </c>
    </row>
    <row r="350" spans="1:25">
      <c r="A350" s="876"/>
      <c r="B350" s="1202">
        <v>100</v>
      </c>
      <c r="C350" s="880">
        <v>1.0315316742808662</v>
      </c>
      <c r="D350" s="880">
        <v>0.99058033960708991</v>
      </c>
      <c r="E350" s="880">
        <v>1.0262169215332229</v>
      </c>
      <c r="F350" s="880">
        <v>0.98862266176144442</v>
      </c>
      <c r="G350" s="880">
        <v>1.0204675404586228</v>
      </c>
      <c r="H350" s="880">
        <v>0.98543554993691729</v>
      </c>
      <c r="I350" s="880">
        <v>1.012125477408975</v>
      </c>
      <c r="K350">
        <v>1.0679027958676646</v>
      </c>
      <c r="L350">
        <v>0</v>
      </c>
      <c r="M350">
        <v>6.2691716875480175E-4</v>
      </c>
      <c r="N350">
        <v>6.7756531828221625E-2</v>
      </c>
      <c r="O350">
        <v>8.5620467763380219E-3</v>
      </c>
      <c r="P350">
        <v>1.2847783708852121E-2</v>
      </c>
      <c r="Q350">
        <v>2.9526957652349331E-3</v>
      </c>
      <c r="R350">
        <v>6.1617646761515511E-4</v>
      </c>
      <c r="S350">
        <v>8.3750846151667044E-2</v>
      </c>
      <c r="T350">
        <v>0.81373182104195207</v>
      </c>
      <c r="U350">
        <v>1.6393707811000222E-2</v>
      </c>
      <c r="V350">
        <v>1.0410163179762776E-2</v>
      </c>
      <c r="W350">
        <v>3.9787549536323699E-2</v>
      </c>
      <c r="X350">
        <v>1.0043361547120279E-2</v>
      </c>
      <c r="Y350">
        <v>1.6770292223304934E-3</v>
      </c>
    </row>
    <row r="351" spans="1:25">
      <c r="A351" s="876"/>
      <c r="B351" s="1202">
        <v>101</v>
      </c>
      <c r="C351" s="880">
        <v>0.96445495236249601</v>
      </c>
      <c r="D351" s="880">
        <v>1.0045595361722117</v>
      </c>
      <c r="E351" s="880">
        <v>1.0123408742951039</v>
      </c>
      <c r="F351" s="880">
        <v>1.0124093611163878</v>
      </c>
      <c r="G351" s="880">
        <v>1.0391234107753942</v>
      </c>
      <c r="H351" s="880">
        <v>0.98080474840260323</v>
      </c>
      <c r="I351" s="880">
        <v>0.99150865245127351</v>
      </c>
      <c r="K351">
        <v>1.0791158813960966</v>
      </c>
      <c r="L351">
        <v>0</v>
      </c>
      <c r="M351">
        <v>6.8211078419163761E-4</v>
      </c>
      <c r="N351">
        <v>7.0604212092122198E-2</v>
      </c>
      <c r="O351">
        <v>9.0893327539448825E-3</v>
      </c>
      <c r="P351">
        <v>1.2793007027376017E-2</v>
      </c>
      <c r="Q351">
        <v>3.0948154381273785E-3</v>
      </c>
      <c r="R351">
        <v>6.7035719758444068E-4</v>
      </c>
      <c r="S351">
        <v>8.6970862562086096E-2</v>
      </c>
      <c r="T351">
        <v>0.81484300324713677</v>
      </c>
      <c r="U351">
        <v>1.7533871151295014E-2</v>
      </c>
      <c r="V351">
        <v>1.0416717618638219E-2</v>
      </c>
      <c r="W351">
        <v>4.1849965403027878E-2</v>
      </c>
      <c r="X351">
        <v>1.0107356380315371E-2</v>
      </c>
      <c r="Y351">
        <v>1.8244913086340544E-3</v>
      </c>
    </row>
    <row r="352" spans="1:25">
      <c r="A352" s="876"/>
      <c r="B352" s="1202">
        <v>102</v>
      </c>
      <c r="C352" s="880">
        <v>0.97046606776345712</v>
      </c>
      <c r="D352" s="880">
        <v>0.99052928977714516</v>
      </c>
      <c r="E352" s="880">
        <v>1.0019386693485959</v>
      </c>
      <c r="F352" s="880">
        <v>1.0172092666174244</v>
      </c>
      <c r="G352" s="880">
        <v>1.0295381378150494</v>
      </c>
      <c r="H352" s="880">
        <v>1.0169100511596372</v>
      </c>
      <c r="I352" s="880">
        <v>0.97625515152052156</v>
      </c>
      <c r="K352">
        <v>1.0832417226383839</v>
      </c>
      <c r="L352">
        <v>0</v>
      </c>
      <c r="M352">
        <v>7.2382101511927772E-4</v>
      </c>
      <c r="N352">
        <v>7.2583407075141645E-2</v>
      </c>
      <c r="O352">
        <v>9.1010553502768998E-3</v>
      </c>
      <c r="P352">
        <v>1.2705053853241499E-2</v>
      </c>
      <c r="Q352">
        <v>3.0634771497777529E-3</v>
      </c>
      <c r="R352">
        <v>7.1180396998437115E-4</v>
      </c>
      <c r="S352">
        <v>8.7005848179175796E-2</v>
      </c>
      <c r="T352">
        <v>0.81568030362883071</v>
      </c>
      <c r="U352">
        <v>1.7425265475715952E-2</v>
      </c>
      <c r="V352">
        <v>1.0416093278916934E-2</v>
      </c>
      <c r="W352">
        <v>4.3328897227104438E-2</v>
      </c>
      <c r="X352">
        <v>1.0007042705154652E-2</v>
      </c>
      <c r="Y352">
        <v>1.937295760181815E-3</v>
      </c>
    </row>
    <row r="353" spans="1:25">
      <c r="A353" s="876"/>
      <c r="B353" s="1202">
        <v>103</v>
      </c>
      <c r="C353" s="880">
        <v>1.0434263313372876</v>
      </c>
      <c r="D353" s="880">
        <v>1.0198696213277996</v>
      </c>
      <c r="E353" s="880">
        <v>1.0235628290919374</v>
      </c>
      <c r="F353" s="880">
        <v>0.99847095238397077</v>
      </c>
      <c r="G353" s="880">
        <v>0.9823209913650266</v>
      </c>
      <c r="H353" s="880">
        <v>1.0205534606226543</v>
      </c>
      <c r="I353" s="880">
        <v>1.0342192972474951</v>
      </c>
      <c r="K353">
        <v>1.0691262744134422</v>
      </c>
      <c r="L353">
        <v>0</v>
      </c>
      <c r="M353">
        <v>6.3554431146023828E-4</v>
      </c>
      <c r="N353">
        <v>6.8163549959222552E-2</v>
      </c>
      <c r="O353">
        <v>8.3339938861240834E-3</v>
      </c>
      <c r="P353">
        <v>1.2835261376906463E-2</v>
      </c>
      <c r="Q353">
        <v>2.8727284484661247E-3</v>
      </c>
      <c r="R353">
        <v>6.2500801569350534E-4</v>
      </c>
      <c r="S353">
        <v>8.461716337514727E-2</v>
      </c>
      <c r="T353">
        <v>0.81394385077412212</v>
      </c>
      <c r="U353">
        <v>1.6206825875554814E-2</v>
      </c>
      <c r="V353">
        <v>1.0409088854550309E-2</v>
      </c>
      <c r="W353">
        <v>4.0098061577021275E-2</v>
      </c>
      <c r="X353">
        <v>9.9552207972123698E-3</v>
      </c>
      <c r="Y353">
        <v>1.701065784880721E-3</v>
      </c>
    </row>
    <row r="354" spans="1:25">
      <c r="A354" s="876"/>
      <c r="B354" s="1202">
        <v>104</v>
      </c>
      <c r="C354" s="880">
        <v>1.0048676313504945</v>
      </c>
      <c r="D354" s="880">
        <v>1.0108091556529879</v>
      </c>
      <c r="E354" s="880">
        <v>0.96589460057628018</v>
      </c>
      <c r="F354" s="880">
        <v>0.96742144457615376</v>
      </c>
      <c r="G354" s="880">
        <v>0.96887437394664155</v>
      </c>
      <c r="H354" s="880">
        <v>1.0028410707221944</v>
      </c>
      <c r="I354" s="880">
        <v>1.0007899985178821</v>
      </c>
      <c r="K354">
        <v>1.0717230097620345</v>
      </c>
      <c r="L354">
        <v>0</v>
      </c>
      <c r="M354">
        <v>7.356179898205757E-4</v>
      </c>
      <c r="N354">
        <v>6.5915251674254854E-2</v>
      </c>
      <c r="O354">
        <v>8.6950041158248507E-3</v>
      </c>
      <c r="P354">
        <v>1.236399263141858E-2</v>
      </c>
      <c r="Q354">
        <v>2.8260101576017952E-3</v>
      </c>
      <c r="R354">
        <v>7.2321531353387869E-4</v>
      </c>
      <c r="S354">
        <v>8.4775245134463231E-2</v>
      </c>
      <c r="T354">
        <v>0.81860998464293266</v>
      </c>
      <c r="U354">
        <v>1.6828712895473916E-2</v>
      </c>
      <c r="V354">
        <v>1.0412663886579021E-2</v>
      </c>
      <c r="W354">
        <v>4.0342124643008334E-2</v>
      </c>
      <c r="X354">
        <v>8.9980689811877557E-3</v>
      </c>
      <c r="Y354">
        <v>1.9683536755751847E-3</v>
      </c>
    </row>
    <row r="355" spans="1:25">
      <c r="A355" s="876"/>
      <c r="B355" s="1202">
        <v>105</v>
      </c>
      <c r="C355" s="880">
        <v>0.97443492117468133</v>
      </c>
      <c r="D355" s="880">
        <v>1.007069001250293</v>
      </c>
      <c r="E355" s="880">
        <v>0.99661473038185355</v>
      </c>
      <c r="F355" s="880">
        <v>1.0040607850761971</v>
      </c>
      <c r="G355" s="880">
        <v>0.97474389872113631</v>
      </c>
      <c r="H355" s="880">
        <v>0.99293060239442643</v>
      </c>
      <c r="I355" s="880">
        <v>1.0138444503935804</v>
      </c>
      <c r="K355">
        <v>1.0797901826912282</v>
      </c>
      <c r="L355">
        <v>0</v>
      </c>
      <c r="M355">
        <v>7.0556523996429313E-4</v>
      </c>
      <c r="N355">
        <v>6.9560600934665054E-2</v>
      </c>
      <c r="O355">
        <v>8.9842868501069234E-3</v>
      </c>
      <c r="P355">
        <v>1.2677908633064018E-2</v>
      </c>
      <c r="Q355">
        <v>3.0117497935250293E-3</v>
      </c>
      <c r="R355">
        <v>6.9355378270942816E-4</v>
      </c>
      <c r="S355">
        <v>8.8359468348166423E-2</v>
      </c>
      <c r="T355">
        <v>0.81611026456398295</v>
      </c>
      <c r="U355">
        <v>1.7354292727488271E-2</v>
      </c>
      <c r="V355">
        <v>1.041568527900706E-2</v>
      </c>
      <c r="W355">
        <v>4.1676043645757131E-2</v>
      </c>
      <c r="X355">
        <v>9.7642686061270266E-3</v>
      </c>
      <c r="Y355">
        <v>1.8876247665920388E-3</v>
      </c>
    </row>
    <row r="356" spans="1:25">
      <c r="A356" s="876"/>
      <c r="B356" s="1202">
        <v>106</v>
      </c>
      <c r="C356" s="880">
        <v>0.99996695920249279</v>
      </c>
      <c r="D356" s="880">
        <v>0.96949957724113878</v>
      </c>
      <c r="E356" s="880">
        <v>1.0051820438853825</v>
      </c>
      <c r="F356" s="880">
        <v>0.99705258608251102</v>
      </c>
      <c r="G356" s="880">
        <v>0.96848242721416145</v>
      </c>
      <c r="H356" s="880">
        <v>1.003193153367776</v>
      </c>
      <c r="I356" s="880">
        <v>1.006209370039816</v>
      </c>
      <c r="K356">
        <v>1.0791693200934156</v>
      </c>
      <c r="L356">
        <v>0</v>
      </c>
      <c r="M356">
        <v>6.961896669747667E-4</v>
      </c>
      <c r="N356">
        <v>7.0506047893776055E-2</v>
      </c>
      <c r="O356">
        <v>8.934411887460603E-3</v>
      </c>
      <c r="P356">
        <v>1.2731409623953161E-2</v>
      </c>
      <c r="Q356">
        <v>3.0123105436712368E-3</v>
      </c>
      <c r="R356">
        <v>6.8449193418726646E-4</v>
      </c>
      <c r="S356">
        <v>8.7466013631851178E-2</v>
      </c>
      <c r="T356">
        <v>0.81541884110110241</v>
      </c>
      <c r="U356">
        <v>1.691118762507832E-2</v>
      </c>
      <c r="V356">
        <v>1.0413138007746441E-2</v>
      </c>
      <c r="W356">
        <v>4.1995740267410382E-2</v>
      </c>
      <c r="X356">
        <v>9.9289558420000337E-3</v>
      </c>
      <c r="Y356">
        <v>1.8629614021522772E-3</v>
      </c>
    </row>
    <row r="357" spans="1:25">
      <c r="A357" s="876"/>
      <c r="B357" s="1202">
        <v>107</v>
      </c>
      <c r="C357" s="880">
        <v>0.95135421769944217</v>
      </c>
      <c r="D357" s="880">
        <v>0.98306207224446629</v>
      </c>
      <c r="E357" s="880">
        <v>1.0336348762702916</v>
      </c>
      <c r="F357" s="880">
        <v>0.97654957588543156</v>
      </c>
      <c r="G357" s="880">
        <v>1.0202011792418901</v>
      </c>
      <c r="H357" s="880">
        <v>1.0131858804178535</v>
      </c>
      <c r="I357" s="880">
        <v>0.99588449822262604</v>
      </c>
      <c r="K357">
        <v>1.0914339597372933</v>
      </c>
      <c r="L357">
        <v>0</v>
      </c>
      <c r="M357">
        <v>6.9081006586118915E-4</v>
      </c>
      <c r="N357">
        <v>7.6438404026004589E-2</v>
      </c>
      <c r="O357">
        <v>9.3214743405049347E-3</v>
      </c>
      <c r="P357">
        <v>1.3026229280687479E-2</v>
      </c>
      <c r="Q357">
        <v>3.2364018980719704E-3</v>
      </c>
      <c r="R357">
        <v>6.7930535089482974E-4</v>
      </c>
      <c r="S357">
        <v>9.0740201335414883E-2</v>
      </c>
      <c r="T357">
        <v>0.81314049161540836</v>
      </c>
      <c r="U357">
        <v>1.7775323377285858E-2</v>
      </c>
      <c r="V357">
        <v>1.0418105651212751E-2</v>
      </c>
      <c r="W357">
        <v>4.4663082338845084E-2</v>
      </c>
      <c r="X357">
        <v>1.0836905356635611E-2</v>
      </c>
      <c r="Y357">
        <v>1.8488452321869875E-3</v>
      </c>
    </row>
    <row r="358" spans="1:25">
      <c r="A358" s="876"/>
      <c r="B358" s="1202">
        <v>108</v>
      </c>
      <c r="C358" s="880">
        <v>1.0249455455382166</v>
      </c>
      <c r="D358" s="880">
        <v>0.96864782187966392</v>
      </c>
      <c r="E358" s="880">
        <v>1.0109649187411123</v>
      </c>
      <c r="F358" s="880">
        <v>0.96724301514969779</v>
      </c>
      <c r="G358" s="880">
        <v>1.0435791313896248</v>
      </c>
      <c r="H358" s="880">
        <v>0.97863311311301127</v>
      </c>
      <c r="I358" s="880">
        <v>1.0065575724189946</v>
      </c>
      <c r="K358">
        <v>1.069904557172525</v>
      </c>
      <c r="L358">
        <v>0</v>
      </c>
      <c r="M358">
        <v>6.5487121752620377E-4</v>
      </c>
      <c r="N358">
        <v>6.7495946346810609E-2</v>
      </c>
      <c r="O358">
        <v>8.7207733162026936E-3</v>
      </c>
      <c r="P358">
        <v>1.2733540432614002E-2</v>
      </c>
      <c r="Q358">
        <v>2.957148311821632E-3</v>
      </c>
      <c r="R358">
        <v>6.4359232997751874E-4</v>
      </c>
      <c r="S358">
        <v>8.4524326775542225E-2</v>
      </c>
      <c r="T358">
        <v>0.8149535461535633</v>
      </c>
      <c r="U358">
        <v>1.6499051036972235E-2</v>
      </c>
      <c r="V358">
        <v>1.0410768764691859E-2</v>
      </c>
      <c r="W358">
        <v>4.0044950118599688E-2</v>
      </c>
      <c r="X358">
        <v>9.8241386412102304E-3</v>
      </c>
      <c r="Y358">
        <v>1.7516461620442488E-3</v>
      </c>
    </row>
    <row r="359" spans="1:25">
      <c r="A359" s="876"/>
      <c r="B359" s="1202">
        <v>109</v>
      </c>
      <c r="C359" s="880">
        <v>0.999360074403289</v>
      </c>
      <c r="D359" s="880">
        <v>0.99788964550211179</v>
      </c>
      <c r="E359" s="880">
        <v>0.98893262573231611</v>
      </c>
      <c r="F359" s="880">
        <v>0.99794649225284748</v>
      </c>
      <c r="G359" s="880">
        <v>1.0059804704395374</v>
      </c>
      <c r="H359" s="880">
        <v>0.9977395797839359</v>
      </c>
      <c r="I359" s="880">
        <v>1.0020685933079132</v>
      </c>
      <c r="K359">
        <v>1.0743626719388113</v>
      </c>
      <c r="L359">
        <v>0</v>
      </c>
      <c r="M359">
        <v>7.0599167373372798E-4</v>
      </c>
      <c r="N359">
        <v>6.7964457975343617E-2</v>
      </c>
      <c r="O359">
        <v>8.8030791450956908E-3</v>
      </c>
      <c r="P359">
        <v>1.2571658107602761E-2</v>
      </c>
      <c r="Q359">
        <v>2.9262144383927981E-3</v>
      </c>
      <c r="R359">
        <v>6.940389163176561E-4</v>
      </c>
      <c r="S359">
        <v>8.5716682051281204E-2</v>
      </c>
      <c r="T359">
        <v>0.81673236679146821</v>
      </c>
      <c r="U359">
        <v>1.6921457339637649E-2</v>
      </c>
      <c r="V359">
        <v>1.0413197045091312E-2</v>
      </c>
      <c r="W359">
        <v>4.0935435025688929E-2</v>
      </c>
      <c r="X359">
        <v>9.5011316362758821E-3</v>
      </c>
      <c r="Y359">
        <v>1.8889451403493844E-3</v>
      </c>
    </row>
    <row r="360" spans="1:25">
      <c r="A360" s="876"/>
      <c r="B360" s="1202">
        <v>110</v>
      </c>
      <c r="C360" s="880">
        <v>1.0090181212567753</v>
      </c>
      <c r="D360" s="880">
        <v>0.99307298876674954</v>
      </c>
      <c r="E360" s="880">
        <v>0.97637527229968191</v>
      </c>
      <c r="F360" s="880">
        <v>1.0464727645932328</v>
      </c>
      <c r="G360" s="880">
        <v>1.0193092568319184</v>
      </c>
      <c r="H360" s="880">
        <v>1.0247885315261689</v>
      </c>
      <c r="I360" s="880">
        <v>1.0188996333879508</v>
      </c>
      <c r="K360">
        <v>1.0778638155911404</v>
      </c>
      <c r="L360">
        <v>0</v>
      </c>
      <c r="M360">
        <v>7.3928478342309863E-4</v>
      </c>
      <c r="N360">
        <v>6.8470808615847548E-2</v>
      </c>
      <c r="O360">
        <v>8.7413538231280747E-3</v>
      </c>
      <c r="P360">
        <v>1.2488010816925799E-2</v>
      </c>
      <c r="Q360">
        <v>2.8678611908339101E-3</v>
      </c>
      <c r="R360">
        <v>7.2710306278821646E-4</v>
      </c>
      <c r="S360">
        <v>8.7510765814080432E-2</v>
      </c>
      <c r="T360">
        <v>0.8177535765480507</v>
      </c>
      <c r="U360">
        <v>1.6759489755138846E-2</v>
      </c>
      <c r="V360">
        <v>1.0412265944612224E-2</v>
      </c>
      <c r="W360">
        <v>4.160065574877439E-2</v>
      </c>
      <c r="X360">
        <v>9.292274206933536E-3</v>
      </c>
      <c r="Y360">
        <v>1.9789348474492955E-3</v>
      </c>
    </row>
    <row r="361" spans="1:25">
      <c r="A361" s="876"/>
      <c r="B361" s="1202">
        <v>111</v>
      </c>
      <c r="C361" s="880">
        <v>1.0158558445118344</v>
      </c>
      <c r="D361" s="880">
        <v>0.98532975197915307</v>
      </c>
      <c r="E361" s="880">
        <v>1.0296194702428416</v>
      </c>
      <c r="F361" s="880">
        <v>1.0212733166891115</v>
      </c>
      <c r="G361" s="880">
        <v>0.98912119012178601</v>
      </c>
      <c r="H361" s="880">
        <v>1.005094125406643</v>
      </c>
      <c r="I361" s="880">
        <v>1.0138993970444912</v>
      </c>
      <c r="K361">
        <v>1.0753202869988303</v>
      </c>
      <c r="L361">
        <v>0</v>
      </c>
      <c r="M361">
        <v>6.4646250624090477E-4</v>
      </c>
      <c r="N361">
        <v>7.0635516349532163E-2</v>
      </c>
      <c r="O361">
        <v>8.7188728379122629E-3</v>
      </c>
      <c r="P361">
        <v>1.2912557846550873E-2</v>
      </c>
      <c r="Q361">
        <v>3.0157186579013091E-3</v>
      </c>
      <c r="R361">
        <v>6.35607828667456E-4</v>
      </c>
      <c r="S361">
        <v>8.6125380735694229E-2</v>
      </c>
      <c r="T361">
        <v>0.81346035036701736</v>
      </c>
      <c r="U361">
        <v>1.6646681669758679E-2</v>
      </c>
      <c r="V361">
        <v>1.0411617446564483E-2</v>
      </c>
      <c r="W361">
        <v>4.1383525318631924E-2</v>
      </c>
      <c r="X361">
        <v>1.0291005465271516E-2</v>
      </c>
      <c r="Y361">
        <v>1.729914981568407E-3</v>
      </c>
    </row>
    <row r="362" spans="1:25">
      <c r="A362" s="876"/>
      <c r="B362" s="1202">
        <v>112</v>
      </c>
      <c r="C362" s="880">
        <v>1.0083362817014192</v>
      </c>
      <c r="D362" s="880">
        <v>0.98367314572514586</v>
      </c>
      <c r="E362" s="880">
        <v>0.96083398444774148</v>
      </c>
      <c r="F362" s="880">
        <v>0.98146489808177462</v>
      </c>
      <c r="G362" s="880">
        <v>0.98869771879589297</v>
      </c>
      <c r="H362" s="880">
        <v>0.96112752295127768</v>
      </c>
      <c r="I362" s="880">
        <v>1.0428663292433606</v>
      </c>
      <c r="K362">
        <v>1.0711611142436601</v>
      </c>
      <c r="L362">
        <v>0</v>
      </c>
      <c r="M362">
        <v>7.2043595793459326E-4</v>
      </c>
      <c r="N362">
        <v>6.3498714850563895E-2</v>
      </c>
      <c r="O362">
        <v>8.7917902082539461E-3</v>
      </c>
      <c r="P362">
        <v>1.2358994973430038E-2</v>
      </c>
      <c r="Q362">
        <v>2.8368918143128366E-3</v>
      </c>
      <c r="R362">
        <v>7.0778741022730252E-4</v>
      </c>
      <c r="S362">
        <v>8.7681432037103116E-2</v>
      </c>
      <c r="T362">
        <v>0.81902482964892109</v>
      </c>
      <c r="U362">
        <v>1.677082256468863E-2</v>
      </c>
      <c r="V362">
        <v>1.0412331093354389E-2</v>
      </c>
      <c r="W362">
        <v>3.9001452118295768E-2</v>
      </c>
      <c r="X362">
        <v>8.8701394738613642E-3</v>
      </c>
      <c r="Y362">
        <v>1.9263640085816424E-3</v>
      </c>
    </row>
    <row r="363" spans="1:25">
      <c r="A363" s="876"/>
      <c r="B363" s="1202">
        <v>113</v>
      </c>
      <c r="C363" s="880">
        <v>1.0301793868184739</v>
      </c>
      <c r="D363" s="880">
        <v>1.034249591657866</v>
      </c>
      <c r="E363" s="880">
        <v>1.0107709589838052</v>
      </c>
      <c r="F363" s="880">
        <v>1.0314834413357752</v>
      </c>
      <c r="G363" s="880">
        <v>1.0025222659207482</v>
      </c>
      <c r="H363" s="880">
        <v>1.0217139695659274</v>
      </c>
      <c r="I363" s="880">
        <v>0.96875760926313514</v>
      </c>
      <c r="K363">
        <v>1.0648492664531517</v>
      </c>
      <c r="L363">
        <v>0</v>
      </c>
      <c r="M363">
        <v>6.5719101410439886E-4</v>
      </c>
      <c r="N363">
        <v>6.7738757083439308E-2</v>
      </c>
      <c r="O363">
        <v>8.3785274104098105E-3</v>
      </c>
      <c r="P363">
        <v>1.2665254191668682E-2</v>
      </c>
      <c r="Q363">
        <v>2.8544766770348326E-3</v>
      </c>
      <c r="R363">
        <v>6.4629716100200664E-4</v>
      </c>
      <c r="S363">
        <v>7.9762208048192451E-2</v>
      </c>
      <c r="T363">
        <v>0.81496913387190129</v>
      </c>
      <c r="U363">
        <v>1.6415227369456369E-2</v>
      </c>
      <c r="V363">
        <v>1.0410286888906497E-2</v>
      </c>
      <c r="W363">
        <v>4.0194302088215013E-2</v>
      </c>
      <c r="X363">
        <v>9.7129788565833552E-3</v>
      </c>
      <c r="Y363">
        <v>1.7590078204455968E-3</v>
      </c>
    </row>
    <row r="364" spans="1:25">
      <c r="A364" s="876"/>
      <c r="B364" s="1202">
        <v>114</v>
      </c>
      <c r="C364" s="880">
        <v>1.0171774228955246</v>
      </c>
      <c r="D364" s="880">
        <v>1.0268774466020321</v>
      </c>
      <c r="E364" s="880">
        <v>0.99542668884816099</v>
      </c>
      <c r="F364" s="880">
        <v>0.97333540190308654</v>
      </c>
      <c r="G364" s="880">
        <v>1.0170671529652719</v>
      </c>
      <c r="H364" s="880">
        <v>1.0139422163634095</v>
      </c>
      <c r="I364" s="880">
        <v>0.9805110058737998</v>
      </c>
      <c r="K364">
        <v>1.0679187900097122</v>
      </c>
      <c r="L364">
        <v>0</v>
      </c>
      <c r="M364">
        <v>6.848259650639153E-4</v>
      </c>
      <c r="N364">
        <v>6.7289307481042129E-2</v>
      </c>
      <c r="O364">
        <v>8.5179644891053286E-3</v>
      </c>
      <c r="P364">
        <v>1.2568583979762947E-2</v>
      </c>
      <c r="Q364">
        <v>2.8561340735691679E-3</v>
      </c>
      <c r="R364">
        <v>6.7339294190891315E-4</v>
      </c>
      <c r="S364">
        <v>8.1788771000282173E-2</v>
      </c>
      <c r="T364">
        <v>0.81620634209531762</v>
      </c>
      <c r="U364">
        <v>1.662505329484619E-2</v>
      </c>
      <c r="V364">
        <v>1.0411493111869334E-2</v>
      </c>
      <c r="W364">
        <v>4.0348114204068586E-2</v>
      </c>
      <c r="X364">
        <v>9.4857056990503997E-3</v>
      </c>
      <c r="Y364">
        <v>1.8327536039524207E-3</v>
      </c>
    </row>
    <row r="365" spans="1:25">
      <c r="A365" s="876"/>
      <c r="B365" s="1202">
        <v>115</v>
      </c>
      <c r="C365" s="880">
        <v>1.0065645616248127</v>
      </c>
      <c r="D365" s="880">
        <v>1.0271351048908608</v>
      </c>
      <c r="E365" s="880">
        <v>1.0059336440546427</v>
      </c>
      <c r="F365" s="880">
        <v>0.99517337568879249</v>
      </c>
      <c r="G365" s="880">
        <v>0.97488302729425991</v>
      </c>
      <c r="H365" s="880">
        <v>0.97738728521373675</v>
      </c>
      <c r="I365" s="880">
        <v>1.0120864362238562</v>
      </c>
      <c r="K365">
        <v>1.0677762279778187</v>
      </c>
      <c r="L365">
        <v>0</v>
      </c>
      <c r="M365">
        <v>6.5240960624810625E-4</v>
      </c>
      <c r="N365">
        <v>6.6192048363990147E-2</v>
      </c>
      <c r="O365">
        <v>8.6066262780990256E-3</v>
      </c>
      <c r="P365">
        <v>1.2688741446684623E-2</v>
      </c>
      <c r="Q365">
        <v>2.9165456900694491E-3</v>
      </c>
      <c r="R365">
        <v>6.4111019953370821E-4</v>
      </c>
      <c r="S365">
        <v>8.4006506750831073E-2</v>
      </c>
      <c r="T365">
        <v>0.81535830239406781</v>
      </c>
      <c r="U365">
        <v>1.6800341985669539E-2</v>
      </c>
      <c r="V365">
        <v>1.0412500791180676E-2</v>
      </c>
      <c r="W365">
        <v>3.9405986808724695E-2</v>
      </c>
      <c r="X365">
        <v>9.6550362540049443E-3</v>
      </c>
      <c r="Y365">
        <v>1.7448906212102766E-3</v>
      </c>
    </row>
    <row r="366" spans="1:25">
      <c r="A366" s="876"/>
      <c r="B366" s="1202">
        <v>116</v>
      </c>
      <c r="C366" s="880">
        <v>1.025053014040094</v>
      </c>
      <c r="D366" s="880">
        <v>1.0110156237268602</v>
      </c>
      <c r="E366" s="880">
        <v>0.99809274555915406</v>
      </c>
      <c r="F366" s="880">
        <v>1.0039691630680687</v>
      </c>
      <c r="G366" s="880">
        <v>0.97026079733942794</v>
      </c>
      <c r="H366" s="880">
        <v>1.022607676561283</v>
      </c>
      <c r="I366" s="880">
        <v>0.99029025073451304</v>
      </c>
      <c r="K366">
        <v>1.0700413627040724</v>
      </c>
      <c r="L366">
        <v>0</v>
      </c>
      <c r="M366">
        <v>6.8719453381373857E-4</v>
      </c>
      <c r="N366">
        <v>6.8095650792349138E-2</v>
      </c>
      <c r="O366">
        <v>8.5228544155632555E-3</v>
      </c>
      <c r="P366">
        <v>1.260422641882759E-2</v>
      </c>
      <c r="Q366">
        <v>2.8621533106717163E-3</v>
      </c>
      <c r="R366">
        <v>6.758320753344144E-4</v>
      </c>
      <c r="S366">
        <v>8.2904396194197982E-2</v>
      </c>
      <c r="T366">
        <v>0.81599080361479359</v>
      </c>
      <c r="U366">
        <v>1.6497321245173103E-2</v>
      </c>
      <c r="V366">
        <v>1.0410758820665219E-2</v>
      </c>
      <c r="W366">
        <v>4.0757028311591587E-2</v>
      </c>
      <c r="X366">
        <v>9.5681399176419622E-3</v>
      </c>
      <c r="Y366">
        <v>1.8393921210765173E-3</v>
      </c>
    </row>
    <row r="367" spans="1:25">
      <c r="A367" s="876"/>
      <c r="B367" s="1202">
        <v>117</v>
      </c>
      <c r="C367" s="880">
        <v>0.99618475850624533</v>
      </c>
      <c r="D367" s="880">
        <v>1.020594095612348</v>
      </c>
      <c r="E367" s="880">
        <v>0.99481916489587585</v>
      </c>
      <c r="F367" s="880">
        <v>1.0029173496531674</v>
      </c>
      <c r="G367" s="880">
        <v>0.97037837823714457</v>
      </c>
      <c r="H367" s="880">
        <v>0.96785184900166354</v>
      </c>
      <c r="I367" s="880">
        <v>0.99060237882604663</v>
      </c>
      <c r="K367">
        <v>1.0672675796242401</v>
      </c>
      <c r="L367">
        <v>0</v>
      </c>
      <c r="M367">
        <v>6.705063363710331E-4</v>
      </c>
      <c r="N367">
        <v>6.5705201139980712E-2</v>
      </c>
      <c r="O367">
        <v>8.7259140886719096E-3</v>
      </c>
      <c r="P367">
        <v>1.2584898432570879E-2</v>
      </c>
      <c r="Q367">
        <v>2.9227434106752614E-3</v>
      </c>
      <c r="R367">
        <v>6.5878453579726022E-4</v>
      </c>
      <c r="S367">
        <v>8.3008538021913283E-2</v>
      </c>
      <c r="T367">
        <v>0.81625549138665987</v>
      </c>
      <c r="U367">
        <v>1.6975394093872147E-2</v>
      </c>
      <c r="V367">
        <v>1.0413507110453251E-2</v>
      </c>
      <c r="W367">
        <v>3.9414686914986674E-2</v>
      </c>
      <c r="X367">
        <v>9.4799324868541229E-3</v>
      </c>
      <c r="Y367">
        <v>1.7929943381762823E-3</v>
      </c>
    </row>
    <row r="368" spans="1:25">
      <c r="A368" s="876"/>
      <c r="B368" s="1202">
        <v>118</v>
      </c>
      <c r="C368" s="880">
        <v>1.0217182860428042</v>
      </c>
      <c r="D368" s="880">
        <v>0.99358859717693959</v>
      </c>
      <c r="E368" s="880">
        <v>0.99466156362447389</v>
      </c>
      <c r="F368" s="880">
        <v>0.98201485836426283</v>
      </c>
      <c r="G368" s="880">
        <v>1.0231050468789431</v>
      </c>
      <c r="H368" s="880">
        <v>0.98208441637070687</v>
      </c>
      <c r="I368" s="880">
        <v>1.0002128979550149</v>
      </c>
      <c r="K368">
        <v>1.0674007794358689</v>
      </c>
      <c r="L368">
        <v>0</v>
      </c>
      <c r="M368">
        <v>6.7311219908899693E-4</v>
      </c>
      <c r="N368">
        <v>6.5947480027676447E-2</v>
      </c>
      <c r="O368">
        <v>8.6303062757470787E-3</v>
      </c>
      <c r="P368">
        <v>1.2581965392208589E-2</v>
      </c>
      <c r="Q368">
        <v>2.8844944337557453E-3</v>
      </c>
      <c r="R368">
        <v>6.6153812208069758E-4</v>
      </c>
      <c r="S368">
        <v>8.3316177514110121E-2</v>
      </c>
      <c r="T368">
        <v>0.81626824353264427</v>
      </c>
      <c r="U368">
        <v>1.6551165910369082E-2</v>
      </c>
      <c r="V368">
        <v>1.0411068356636377E-2</v>
      </c>
      <c r="W368">
        <v>3.9564305132402125E-2</v>
      </c>
      <c r="X368">
        <v>9.4566582450049778E-3</v>
      </c>
      <c r="Y368">
        <v>1.8004886923203246E-3</v>
      </c>
    </row>
    <row r="369" spans="1:25">
      <c r="A369" s="876"/>
      <c r="B369" s="1202">
        <v>119</v>
      </c>
      <c r="C369" s="880">
        <v>1.0305884403687515</v>
      </c>
      <c r="D369" s="880">
        <v>0.98843991187350666</v>
      </c>
      <c r="E369" s="880">
        <v>0.99879994287249008</v>
      </c>
      <c r="F369" s="880">
        <v>1.0087196206393032</v>
      </c>
      <c r="G369" s="880">
        <v>0.97378576570455166</v>
      </c>
      <c r="H369" s="880">
        <v>0.97537961667419271</v>
      </c>
      <c r="I369" s="880">
        <v>0.99471867864498142</v>
      </c>
      <c r="K369">
        <v>1.0646563135447173</v>
      </c>
      <c r="L369">
        <v>0</v>
      </c>
      <c r="M369">
        <v>6.5883490796593449E-4</v>
      </c>
      <c r="N369">
        <v>6.5377892798073864E-2</v>
      </c>
      <c r="O369">
        <v>8.5797842961188361E-3</v>
      </c>
      <c r="P369">
        <v>1.2598280447761416E-2</v>
      </c>
      <c r="Q369">
        <v>2.8784622546923393E-3</v>
      </c>
      <c r="R369">
        <v>6.4743282166518368E-4</v>
      </c>
      <c r="S369">
        <v>8.2125514948221456E-2</v>
      </c>
      <c r="T369">
        <v>0.81593367045647103</v>
      </c>
      <c r="U369">
        <v>1.6408711958676391E-2</v>
      </c>
      <c r="V369">
        <v>1.0410249433868082E-2</v>
      </c>
      <c r="W369">
        <v>3.9111428160782197E-2</v>
      </c>
      <c r="X369">
        <v>9.4816221619512878E-3</v>
      </c>
      <c r="Y369">
        <v>1.7620987144003279E-3</v>
      </c>
    </row>
    <row r="370" spans="1:25">
      <c r="A370" s="876"/>
      <c r="B370" s="1202">
        <v>120</v>
      </c>
      <c r="C370" s="880">
        <v>0.98466557602437332</v>
      </c>
      <c r="D370" s="880">
        <v>0.98681778489251781</v>
      </c>
      <c r="E370" s="880">
        <v>1.0125812968273034</v>
      </c>
      <c r="F370" s="880">
        <v>0.98142083641869504</v>
      </c>
      <c r="G370" s="880">
        <v>0.97802507192365573</v>
      </c>
      <c r="H370" s="880">
        <v>0.99457324861402086</v>
      </c>
      <c r="I370" s="880">
        <v>1.0071947866465969</v>
      </c>
      <c r="K370">
        <v>1.0797870669512235</v>
      </c>
      <c r="L370">
        <v>0</v>
      </c>
      <c r="M370">
        <v>6.8359795075332045E-4</v>
      </c>
      <c r="N370">
        <v>7.0829834641644995E-2</v>
      </c>
      <c r="O370">
        <v>8.9878065380278767E-3</v>
      </c>
      <c r="P370">
        <v>1.2801613969798462E-2</v>
      </c>
      <c r="Q370">
        <v>3.0569026112314598E-3</v>
      </c>
      <c r="R370">
        <v>6.7199702317650956E-4</v>
      </c>
      <c r="S370">
        <v>8.7811988923437514E-2</v>
      </c>
      <c r="T370">
        <v>0.81482369455509329</v>
      </c>
      <c r="U370">
        <v>1.7173981987092218E-2</v>
      </c>
      <c r="V370">
        <v>1.0414648729519145E-2</v>
      </c>
      <c r="W370">
        <v>4.1976854670491864E-2</v>
      </c>
      <c r="X370">
        <v>1.0092386879135376E-2</v>
      </c>
      <c r="Y370">
        <v>1.8289543733273049E-3</v>
      </c>
    </row>
    <row r="371" spans="1:25">
      <c r="A371" s="876"/>
      <c r="B371" s="1202">
        <v>121</v>
      </c>
      <c r="C371" s="880">
        <v>1.0289795574891933</v>
      </c>
      <c r="D371" s="880">
        <v>0.99455229260014766</v>
      </c>
      <c r="E371" s="880">
        <v>1.0309492670415732</v>
      </c>
      <c r="F371" s="880">
        <v>0.98571029246306086</v>
      </c>
      <c r="G371" s="880">
        <v>0.98711166533981143</v>
      </c>
      <c r="H371" s="880">
        <v>1.0147937366601076</v>
      </c>
      <c r="I371" s="880">
        <v>0.9742822726988678</v>
      </c>
      <c r="K371">
        <v>1.0694025849870037</v>
      </c>
      <c r="L371">
        <v>0</v>
      </c>
      <c r="M371">
        <v>6.3938631207790934E-4</v>
      </c>
      <c r="N371">
        <v>7.0161953402981564E-2</v>
      </c>
      <c r="O371">
        <v>8.5649726784859243E-3</v>
      </c>
      <c r="P371">
        <v>1.2858174661444972E-2</v>
      </c>
      <c r="Q371">
        <v>2.9684578771115265E-3</v>
      </c>
      <c r="R371">
        <v>6.2874575716161747E-4</v>
      </c>
      <c r="S371">
        <v>8.1655138983572392E-2</v>
      </c>
      <c r="T371">
        <v>0.81335436059242039</v>
      </c>
      <c r="U371">
        <v>1.6434368149369181E-2</v>
      </c>
      <c r="V371">
        <v>1.0410396923203809E-2</v>
      </c>
      <c r="W371">
        <v>4.1069470184219442E-2</v>
      </c>
      <c r="X371">
        <v>1.0224693404099219E-2</v>
      </c>
      <c r="Y371">
        <v>1.7112386850107787E-3</v>
      </c>
    </row>
    <row r="372" spans="1:25">
      <c r="A372" s="876"/>
      <c r="B372" s="1202">
        <v>122</v>
      </c>
      <c r="C372" s="880">
        <v>1.0246056219749309</v>
      </c>
      <c r="D372" s="880">
        <v>1.0275537365486129</v>
      </c>
      <c r="E372" s="880">
        <v>0.97883330533949731</v>
      </c>
      <c r="F372" s="880">
        <v>0.99701404290787932</v>
      </c>
      <c r="G372" s="880">
        <v>0.98685166602477092</v>
      </c>
      <c r="H372" s="880">
        <v>0.99395157230717135</v>
      </c>
      <c r="I372" s="880">
        <v>1.0061249750852426</v>
      </c>
      <c r="K372">
        <v>1.0650393894856593</v>
      </c>
      <c r="L372">
        <v>0</v>
      </c>
      <c r="M372">
        <v>6.8986830351834018E-4</v>
      </c>
      <c r="N372">
        <v>6.4349028362891969E-2</v>
      </c>
      <c r="O372">
        <v>8.4532500589205185E-3</v>
      </c>
      <c r="P372">
        <v>1.2439302673283482E-2</v>
      </c>
      <c r="Q372">
        <v>2.787352799853959E-3</v>
      </c>
      <c r="R372">
        <v>6.7811890083143745E-4</v>
      </c>
      <c r="S372">
        <v>8.2597861725023078E-2</v>
      </c>
      <c r="T372">
        <v>0.81755326026210107</v>
      </c>
      <c r="U372">
        <v>1.6504524768619831E-2</v>
      </c>
      <c r="V372">
        <v>1.0410800231445989E-2</v>
      </c>
      <c r="W372">
        <v>3.9029656662068049E-2</v>
      </c>
      <c r="X372">
        <v>9.0804852379110044E-3</v>
      </c>
      <c r="Y372">
        <v>1.8456161062275914E-3</v>
      </c>
    </row>
    <row r="373" spans="1:25">
      <c r="A373" s="876"/>
      <c r="B373" s="1202">
        <v>123</v>
      </c>
      <c r="C373" s="880">
        <v>1.0059341955967596</v>
      </c>
      <c r="D373" s="880">
        <v>1.0245247776345374</v>
      </c>
      <c r="E373" s="880">
        <v>1.0057466600595844</v>
      </c>
      <c r="F373" s="880">
        <v>1.0114381670545545</v>
      </c>
      <c r="G373" s="880">
        <v>1.0346558562247266</v>
      </c>
      <c r="H373" s="880">
        <v>1.0032682289968482</v>
      </c>
      <c r="I373" s="880">
        <v>0.96498014898583495</v>
      </c>
      <c r="K373">
        <v>1.0680641107133813</v>
      </c>
      <c r="L373">
        <v>0</v>
      </c>
      <c r="M373">
        <v>6.7127498129473939E-4</v>
      </c>
      <c r="N373">
        <v>6.8097660387402434E-2</v>
      </c>
      <c r="O373">
        <v>8.6236852690085245E-3</v>
      </c>
      <c r="P373">
        <v>1.2647826257704905E-2</v>
      </c>
      <c r="Q373">
        <v>2.9212299173380597E-3</v>
      </c>
      <c r="R373">
        <v>6.5995084394068336E-4</v>
      </c>
      <c r="S373">
        <v>8.1124335078731513E-2</v>
      </c>
      <c r="T373">
        <v>0.8153733614910762</v>
      </c>
      <c r="U373">
        <v>1.6810869875956754E-2</v>
      </c>
      <c r="V373">
        <v>1.0412561312696241E-2</v>
      </c>
      <c r="W373">
        <v>4.0545617274659204E-2</v>
      </c>
      <c r="X373">
        <v>9.7221193416922574E-3</v>
      </c>
      <c r="Y373">
        <v>1.7961686444693036E-3</v>
      </c>
    </row>
    <row r="374" spans="1:25">
      <c r="A374" s="876"/>
      <c r="B374" s="1202">
        <v>124</v>
      </c>
      <c r="C374" s="880">
        <v>0.97683249830036001</v>
      </c>
      <c r="D374" s="880">
        <v>1.0323662704779559</v>
      </c>
      <c r="E374" s="880">
        <v>1.038934799020599</v>
      </c>
      <c r="F374" s="880">
        <v>1.0142781159763652</v>
      </c>
      <c r="G374" s="880">
        <v>0.99871056866255015</v>
      </c>
      <c r="H374" s="880">
        <v>1.0121098548911174</v>
      </c>
      <c r="I374" s="880">
        <v>0.99082422754758026</v>
      </c>
      <c r="K374">
        <v>1.0787071960143837</v>
      </c>
      <c r="L374">
        <v>0</v>
      </c>
      <c r="M374">
        <v>6.475103415140601E-4</v>
      </c>
      <c r="N374">
        <v>7.2829470866357368E-2</v>
      </c>
      <c r="O374">
        <v>8.8446620958395616E-3</v>
      </c>
      <c r="P374">
        <v>1.2993994151810132E-2</v>
      </c>
      <c r="Q374">
        <v>3.0981989479307438E-3</v>
      </c>
      <c r="R374">
        <v>6.366765372617341E-4</v>
      </c>
      <c r="S374">
        <v>8.5769695442131755E-2</v>
      </c>
      <c r="T374">
        <v>0.81271915417316554</v>
      </c>
      <c r="U374">
        <v>1.731169765069859E-2</v>
      </c>
      <c r="V374">
        <v>1.0415440413366013E-2</v>
      </c>
      <c r="W374">
        <v>4.2404163698443728E-2</v>
      </c>
      <c r="X374">
        <v>1.0598728724830135E-2</v>
      </c>
      <c r="Y374">
        <v>1.7328236540623389E-3</v>
      </c>
    </row>
    <row r="375" spans="1:25">
      <c r="A375" s="876"/>
      <c r="B375" s="1202">
        <v>125</v>
      </c>
      <c r="C375" s="880">
        <v>1.0214916424899472</v>
      </c>
      <c r="D375" s="880">
        <v>0.98456852177759624</v>
      </c>
      <c r="E375" s="880">
        <v>0.99177881718195748</v>
      </c>
      <c r="F375" s="880">
        <v>1.0227303163816175</v>
      </c>
      <c r="G375" s="880">
        <v>0.99239358684020151</v>
      </c>
      <c r="H375" s="880">
        <v>0.96626728833095787</v>
      </c>
      <c r="I375" s="880">
        <v>0.99397555223188305</v>
      </c>
      <c r="K375">
        <v>1.0654635317999794</v>
      </c>
      <c r="L375">
        <v>0</v>
      </c>
      <c r="M375">
        <v>6.6969232058223594E-4</v>
      </c>
      <c r="N375">
        <v>6.5008465563086579E-2</v>
      </c>
      <c r="O375">
        <v>8.6743483715988629E-3</v>
      </c>
      <c r="P375">
        <v>1.2548747419172359E-2</v>
      </c>
      <c r="Q375">
        <v>2.8888164247800846E-3</v>
      </c>
      <c r="R375">
        <v>6.5799642308343785E-4</v>
      </c>
      <c r="S375">
        <v>8.263745273309335E-2</v>
      </c>
      <c r="T375">
        <v>0.81650164673176462</v>
      </c>
      <c r="U375">
        <v>1.6554838201839513E-2</v>
      </c>
      <c r="V375">
        <v>1.0411089467479978E-2</v>
      </c>
      <c r="W375">
        <v>3.9078327186588976E-2</v>
      </c>
      <c r="X375">
        <v>9.3806462429035162E-3</v>
      </c>
      <c r="Y375">
        <v>1.7908493551705438E-3</v>
      </c>
    </row>
    <row r="376" spans="1:25">
      <c r="A376" s="876"/>
      <c r="B376" s="1202">
        <v>126</v>
      </c>
      <c r="C376" s="880">
        <v>1.007793678776687</v>
      </c>
      <c r="D376" s="880">
        <v>0.95696502720042109</v>
      </c>
      <c r="E376" s="880">
        <v>1.0370304113744899</v>
      </c>
      <c r="F376" s="880">
        <v>0.98109368855910972</v>
      </c>
      <c r="G376" s="880">
        <v>1.0174153572585891</v>
      </c>
      <c r="H376" s="880">
        <v>0.97320298468603994</v>
      </c>
      <c r="I376" s="880">
        <v>1.0339477733297979</v>
      </c>
      <c r="K376">
        <v>1.0775033020201656</v>
      </c>
      <c r="L376">
        <v>0</v>
      </c>
      <c r="M376">
        <v>6.3089330288892726E-4</v>
      </c>
      <c r="N376">
        <v>7.0501404984412111E-2</v>
      </c>
      <c r="O376">
        <v>8.9269808136766948E-3</v>
      </c>
      <c r="P376">
        <v>1.3010943493030313E-2</v>
      </c>
      <c r="Q376">
        <v>3.103500664220158E-3</v>
      </c>
      <c r="R376">
        <v>6.1997665262557506E-4</v>
      </c>
      <c r="S376">
        <v>8.8635477025755458E-2</v>
      </c>
      <c r="T376">
        <v>0.81287044021324051</v>
      </c>
      <c r="U376">
        <v>1.6779852088851546E-2</v>
      </c>
      <c r="V376">
        <v>1.0412383001236437E-2</v>
      </c>
      <c r="W376">
        <v>4.1100802118916126E-2</v>
      </c>
      <c r="X376">
        <v>1.0485062193891413E-2</v>
      </c>
      <c r="Y376">
        <v>1.6873720731982044E-3</v>
      </c>
    </row>
    <row r="377" spans="1:25">
      <c r="A377" s="876"/>
      <c r="B377" s="1202">
        <v>127</v>
      </c>
      <c r="C377" s="880">
        <v>1.0240027058738137</v>
      </c>
      <c r="D377" s="880">
        <v>0.98167254979542429</v>
      </c>
      <c r="E377" s="880">
        <v>1.0362080282150596</v>
      </c>
      <c r="F377" s="880">
        <v>0.95957773288778447</v>
      </c>
      <c r="G377" s="880">
        <v>1.024945786136181</v>
      </c>
      <c r="H377" s="880">
        <v>1.0165687640407828</v>
      </c>
      <c r="I377" s="880">
        <v>1.0028002422963909</v>
      </c>
      <c r="K377">
        <v>1.0748827937011725</v>
      </c>
      <c r="L377">
        <v>0</v>
      </c>
      <c r="M377">
        <v>6.4092759666888543E-4</v>
      </c>
      <c r="N377">
        <v>7.1491577844313314E-2</v>
      </c>
      <c r="O377">
        <v>8.6667025559624515E-3</v>
      </c>
      <c r="P377">
        <v>1.295037720790467E-2</v>
      </c>
      <c r="Q377">
        <v>3.0163892755677535E-3</v>
      </c>
      <c r="R377">
        <v>6.3029025546365602E-4</v>
      </c>
      <c r="S377">
        <v>8.5067601606810567E-2</v>
      </c>
      <c r="T377">
        <v>0.81293580928678122</v>
      </c>
      <c r="U377">
        <v>1.6514242363766047E-2</v>
      </c>
      <c r="V377">
        <v>1.041085609483079E-2</v>
      </c>
      <c r="W377">
        <v>4.1700921370810835E-2</v>
      </c>
      <c r="X377">
        <v>1.0423511135383343E-2</v>
      </c>
      <c r="Y377">
        <v>1.7154423002451987E-3</v>
      </c>
    </row>
    <row r="378" spans="1:25">
      <c r="A378" s="876"/>
      <c r="B378" s="1202">
        <v>128</v>
      </c>
      <c r="C378" s="880">
        <v>0.99142233003044156</v>
      </c>
      <c r="D378" s="880">
        <v>1.0080632486203023</v>
      </c>
      <c r="E378" s="880">
        <v>0.99578989077524771</v>
      </c>
      <c r="F378" s="880">
        <v>0.99352085391264244</v>
      </c>
      <c r="G378" s="880">
        <v>1.0236100055794708</v>
      </c>
      <c r="H378" s="880">
        <v>1.0165453504176214</v>
      </c>
      <c r="I378" s="880">
        <v>1.0163131436372415</v>
      </c>
      <c r="K378">
        <v>1.0794197160317736</v>
      </c>
      <c r="L378">
        <v>0</v>
      </c>
      <c r="M378">
        <v>7.1082926829749659E-4</v>
      </c>
      <c r="N378">
        <v>6.9927954362555333E-2</v>
      </c>
      <c r="O378">
        <v>8.8257045156117115E-3</v>
      </c>
      <c r="P378">
        <v>1.266033547278589E-2</v>
      </c>
      <c r="Q378">
        <v>2.9563491983612268E-3</v>
      </c>
      <c r="R378">
        <v>6.99008455823519E-4</v>
      </c>
      <c r="S378">
        <v>8.7876051391805238E-2</v>
      </c>
      <c r="T378">
        <v>0.81617696468275458</v>
      </c>
      <c r="U378">
        <v>1.7056937647786409E-2</v>
      </c>
      <c r="V378">
        <v>1.0413975878585785E-2</v>
      </c>
      <c r="W378">
        <v>4.1919852414723707E-2</v>
      </c>
      <c r="X378">
        <v>9.7149406906015864E-3</v>
      </c>
      <c r="Y378">
        <v>1.9024705886760854E-3</v>
      </c>
    </row>
    <row r="379" spans="1:25">
      <c r="A379" s="876"/>
      <c r="B379" s="1202">
        <v>129</v>
      </c>
      <c r="C379" s="880">
        <v>1.0147525740127656</v>
      </c>
      <c r="D379" s="880">
        <v>0.98681907446086226</v>
      </c>
      <c r="E379" s="880">
        <v>0.97538767930067649</v>
      </c>
      <c r="F379" s="880">
        <v>0.98515877877121516</v>
      </c>
      <c r="G379" s="880">
        <v>1.019419071716938</v>
      </c>
      <c r="H379" s="880">
        <v>1.0219398021304522</v>
      </c>
      <c r="I379" s="880">
        <v>0.99855197583476729</v>
      </c>
      <c r="K379">
        <v>1.0750181962074128</v>
      </c>
      <c r="L379">
        <v>0</v>
      </c>
      <c r="M379">
        <v>7.3705938412980585E-4</v>
      </c>
      <c r="N379">
        <v>6.8052255240311957E-2</v>
      </c>
      <c r="O379">
        <v>8.7213156719183425E-3</v>
      </c>
      <c r="P379">
        <v>1.245075124555336E-2</v>
      </c>
      <c r="Q379">
        <v>2.8570554750216065E-3</v>
      </c>
      <c r="R379">
        <v>7.2488615084762801E-4</v>
      </c>
      <c r="S379">
        <v>8.5446838413256995E-2</v>
      </c>
      <c r="T379">
        <v>0.81783411751342594</v>
      </c>
      <c r="U379">
        <v>1.666478045882705E-2</v>
      </c>
      <c r="V379">
        <v>1.0411721490785586E-2</v>
      </c>
      <c r="W379">
        <v>4.1374781956117386E-2</v>
      </c>
      <c r="X379">
        <v>9.2438508315234921E-3</v>
      </c>
      <c r="Y379">
        <v>1.9729011439518383E-3</v>
      </c>
    </row>
    <row r="380" spans="1:25">
      <c r="A380" s="876"/>
      <c r="B380" s="1202">
        <v>130</v>
      </c>
      <c r="C380" s="880">
        <v>0.97604098581060095</v>
      </c>
      <c r="D380" s="880">
        <v>1.02117624016024</v>
      </c>
      <c r="E380" s="880">
        <v>1.0175936176984279</v>
      </c>
      <c r="F380" s="880">
        <v>1.0110345327978045</v>
      </c>
      <c r="G380" s="880">
        <v>0.99355253500304874</v>
      </c>
      <c r="H380" s="880">
        <v>1.0128493708912678</v>
      </c>
      <c r="I380" s="880">
        <v>0.98489894336769734</v>
      </c>
      <c r="K380">
        <v>1.0790196242324706</v>
      </c>
      <c r="L380">
        <v>0</v>
      </c>
      <c r="M380">
        <v>6.8238580496755201E-4</v>
      </c>
      <c r="N380">
        <v>7.1833497729934165E-2</v>
      </c>
      <c r="O380">
        <v>8.9032991672862785E-3</v>
      </c>
      <c r="P380">
        <v>1.2817932459619491E-2</v>
      </c>
      <c r="Q380">
        <v>3.0511048749687153E-3</v>
      </c>
      <c r="R380">
        <v>6.709858412406503E-4</v>
      </c>
      <c r="S380">
        <v>8.5815527478418016E-2</v>
      </c>
      <c r="T380">
        <v>0.81442159599022734</v>
      </c>
      <c r="U380">
        <v>1.7325736430943164E-2</v>
      </c>
      <c r="V380">
        <v>1.0415521117878924E-2</v>
      </c>
      <c r="W380">
        <v>4.24274356327266E-2</v>
      </c>
      <c r="X380">
        <v>1.0193171044759712E-2</v>
      </c>
      <c r="Y380">
        <v>1.8262022694339316E-3</v>
      </c>
    </row>
    <row r="381" spans="1:25">
      <c r="A381" s="876"/>
      <c r="B381" s="1202">
        <v>131</v>
      </c>
      <c r="C381" s="880">
        <v>0.9994115449880816</v>
      </c>
      <c r="D381" s="880">
        <v>1.0267050186226303</v>
      </c>
      <c r="E381" s="880">
        <v>0.98790073846217308</v>
      </c>
      <c r="F381" s="880">
        <v>1.0058129588344984</v>
      </c>
      <c r="G381" s="880">
        <v>0.9806125220801537</v>
      </c>
      <c r="H381" s="880">
        <v>0.99281966770600394</v>
      </c>
      <c r="I381" s="880">
        <v>1.0026021267905099</v>
      </c>
      <c r="K381">
        <v>1.0704924741324375</v>
      </c>
      <c r="L381">
        <v>0</v>
      </c>
      <c r="M381">
        <v>6.9343011700783884E-4</v>
      </c>
      <c r="N381">
        <v>6.6532960043105674E-2</v>
      </c>
      <c r="O381">
        <v>8.6701571448186566E-3</v>
      </c>
      <c r="P381">
        <v>1.2544887939439454E-2</v>
      </c>
      <c r="Q381">
        <v>2.8851189819952944E-3</v>
      </c>
      <c r="R381">
        <v>6.8160729627374369E-4</v>
      </c>
      <c r="S381">
        <v>8.4378156891136299E-2</v>
      </c>
      <c r="T381">
        <v>0.8168160822349354</v>
      </c>
      <c r="U381">
        <v>1.6920585869511905E-2</v>
      </c>
      <c r="V381">
        <v>1.0413192035284867E-2</v>
      </c>
      <c r="W381">
        <v>4.0101768899419042E-2</v>
      </c>
      <c r="X381">
        <v>9.3862765448511059E-3</v>
      </c>
      <c r="Y381">
        <v>1.8551103686723011E-3</v>
      </c>
    </row>
    <row r="382" spans="1:25">
      <c r="A382" s="876"/>
      <c r="B382" s="1202">
        <v>132</v>
      </c>
      <c r="C382" s="880">
        <v>1.0014347259220551</v>
      </c>
      <c r="D382" s="880">
        <v>1.0100162728140645</v>
      </c>
      <c r="E382" s="880">
        <v>1.018489427000878</v>
      </c>
      <c r="F382" s="880">
        <v>1.012755166411814</v>
      </c>
      <c r="G382" s="880">
        <v>0.98113258856079821</v>
      </c>
      <c r="H382" s="880">
        <v>0.97985211335761269</v>
      </c>
      <c r="I382" s="880">
        <v>0.97543146470436659</v>
      </c>
      <c r="K382">
        <v>1.0683543408402845</v>
      </c>
      <c r="L382">
        <v>0</v>
      </c>
      <c r="M382">
        <v>6.4595861506449139E-4</v>
      </c>
      <c r="N382">
        <v>6.8150341134230283E-2</v>
      </c>
      <c r="O382">
        <v>8.7284586342691699E-3</v>
      </c>
      <c r="P382">
        <v>1.2768503579760122E-2</v>
      </c>
      <c r="Q382">
        <v>2.9914162017242165E-3</v>
      </c>
      <c r="R382">
        <v>6.3481273339099312E-4</v>
      </c>
      <c r="S382">
        <v>8.2146411928468818E-2</v>
      </c>
      <c r="T382">
        <v>0.8143498225144149</v>
      </c>
      <c r="U382">
        <v>1.6886401507978654E-2</v>
      </c>
      <c r="V382">
        <v>1.0412995520188956E-2</v>
      </c>
      <c r="W382">
        <v>4.0227674482869194E-2</v>
      </c>
      <c r="X382">
        <v>9.9757102237245498E-3</v>
      </c>
      <c r="Y382">
        <v>1.7277509943289624E-3</v>
      </c>
    </row>
    <row r="383" spans="1:25">
      <c r="A383" s="876"/>
      <c r="B383" s="1202">
        <v>133</v>
      </c>
      <c r="C383" s="880">
        <v>0.97840288927029329</v>
      </c>
      <c r="D383" s="880">
        <v>1.0357723610742793</v>
      </c>
      <c r="E383" s="880">
        <v>1.0496690816903178</v>
      </c>
      <c r="F383" s="880">
        <v>1.0227734604341545</v>
      </c>
      <c r="G383" s="880">
        <v>1.0094447190207372</v>
      </c>
      <c r="H383" s="880">
        <v>1.0298629993491075</v>
      </c>
      <c r="I383" s="880">
        <v>0.97672549663782737</v>
      </c>
      <c r="K383">
        <v>1.0798695186170089</v>
      </c>
      <c r="L383">
        <v>0</v>
      </c>
      <c r="M383">
        <v>6.4188815834074087E-4</v>
      </c>
      <c r="N383">
        <v>7.4662325839194174E-2</v>
      </c>
      <c r="O383">
        <v>8.8150179492249413E-3</v>
      </c>
      <c r="P383">
        <v>1.3069790926159383E-2</v>
      </c>
      <c r="Q383">
        <v>3.1212585133212592E-3</v>
      </c>
      <c r="R383">
        <v>6.3133104073968024E-4</v>
      </c>
      <c r="S383">
        <v>8.4897582562794963E-2</v>
      </c>
      <c r="T383">
        <v>0.81186873349570954</v>
      </c>
      <c r="U383">
        <v>1.7283911414616306E-2</v>
      </c>
      <c r="V383">
        <v>1.0415280679072225E-2</v>
      </c>
      <c r="W383">
        <v>4.3162799062729011E-2</v>
      </c>
      <c r="X383">
        <v>1.0865100317114421E-2</v>
      </c>
      <c r="Y383">
        <v>1.7182749746717625E-3</v>
      </c>
    </row>
    <row r="384" spans="1:25">
      <c r="A384" s="876"/>
      <c r="B384" s="1202">
        <v>134</v>
      </c>
      <c r="C384" s="880">
        <v>1.0047256235801938</v>
      </c>
      <c r="D384" s="880">
        <v>0.98041203392913767</v>
      </c>
      <c r="E384" s="880">
        <v>0.97710817105256786</v>
      </c>
      <c r="F384" s="880">
        <v>1.00114318575193</v>
      </c>
      <c r="G384" s="880">
        <v>1.0031732302840468</v>
      </c>
      <c r="H384" s="880">
        <v>1.019633794859474</v>
      </c>
      <c r="I384" s="880">
        <v>0.98021696380700574</v>
      </c>
      <c r="K384">
        <v>1.0761520161463396</v>
      </c>
      <c r="L384">
        <v>0</v>
      </c>
      <c r="M384">
        <v>7.4263214428581551E-4</v>
      </c>
      <c r="N384">
        <v>6.8933373257747579E-2</v>
      </c>
      <c r="O384">
        <v>8.8390508539321067E-3</v>
      </c>
      <c r="P384">
        <v>1.2460266240376956E-2</v>
      </c>
      <c r="Q384">
        <v>2.8992825007707669E-3</v>
      </c>
      <c r="R384">
        <v>7.3034505295979906E-4</v>
      </c>
      <c r="S384">
        <v>8.490969408334878E-2</v>
      </c>
      <c r="T384">
        <v>0.81769382792149503</v>
      </c>
      <c r="U384">
        <v>1.6831091463253196E-2</v>
      </c>
      <c r="V384">
        <v>1.0412677560213775E-2</v>
      </c>
      <c r="W384">
        <v>4.1860352757462756E-2</v>
      </c>
      <c r="X384">
        <v>9.3369281230913613E-3</v>
      </c>
      <c r="Y384">
        <v>1.9877584759745697E-3</v>
      </c>
    </row>
    <row r="385" spans="1:25">
      <c r="A385" s="876"/>
      <c r="B385" s="1202">
        <v>135</v>
      </c>
      <c r="C385" s="880">
        <v>0.98170368706011701</v>
      </c>
      <c r="D385" s="880">
        <v>1.0348764168398628</v>
      </c>
      <c r="E385" s="880">
        <v>1.0154057018639837</v>
      </c>
      <c r="F385" s="880">
        <v>1.0367752750084605</v>
      </c>
      <c r="G385" s="880">
        <v>1.0029162151148578</v>
      </c>
      <c r="H385" s="880">
        <v>1.0067045987704033</v>
      </c>
      <c r="I385" s="880">
        <v>0.97753201843663895</v>
      </c>
      <c r="K385">
        <v>1.074473351967649</v>
      </c>
      <c r="L385">
        <v>0</v>
      </c>
      <c r="M385">
        <v>6.7268200518201917E-4</v>
      </c>
      <c r="N385">
        <v>7.0323754453522319E-2</v>
      </c>
      <c r="O385">
        <v>8.7894208863920891E-3</v>
      </c>
      <c r="P385">
        <v>1.2772020954469419E-2</v>
      </c>
      <c r="Q385">
        <v>3.0084799610113739E-3</v>
      </c>
      <c r="R385">
        <v>6.6136462187508518E-4</v>
      </c>
      <c r="S385">
        <v>8.3908780014701728E-2</v>
      </c>
      <c r="T385">
        <v>0.81459700978312177</v>
      </c>
      <c r="U385">
        <v>1.722579744667577E-2</v>
      </c>
      <c r="V385">
        <v>1.0414946600228216E-2</v>
      </c>
      <c r="W385">
        <v>4.1597243608460656E-2</v>
      </c>
      <c r="X385">
        <v>1.0047199160418172E-2</v>
      </c>
      <c r="Y385">
        <v>1.8000164819549748E-3</v>
      </c>
    </row>
    <row r="386" spans="1:25">
      <c r="A386" s="876"/>
      <c r="B386" s="1202">
        <v>136</v>
      </c>
      <c r="C386" s="880">
        <v>0.98452644224989294</v>
      </c>
      <c r="D386" s="880">
        <v>0.97123924382626925</v>
      </c>
      <c r="E386" s="880">
        <v>1.0232483042886074</v>
      </c>
      <c r="F386" s="880">
        <v>1.0174492850174528</v>
      </c>
      <c r="G386" s="880">
        <v>0.9900412843333638</v>
      </c>
      <c r="H386" s="880">
        <v>0.99477326953698575</v>
      </c>
      <c r="I386" s="880">
        <v>0.99948302345231588</v>
      </c>
      <c r="K386">
        <v>1.0813567187064903</v>
      </c>
      <c r="L386">
        <v>0</v>
      </c>
      <c r="M386">
        <v>6.7429620100354737E-4</v>
      </c>
      <c r="N386">
        <v>7.2222086934676008E-2</v>
      </c>
      <c r="O386">
        <v>9.0658356054401507E-3</v>
      </c>
      <c r="P386">
        <v>1.2891142677128025E-2</v>
      </c>
      <c r="Q386">
        <v>3.1126163931126543E-3</v>
      </c>
      <c r="R386">
        <v>6.6286891204153534E-4</v>
      </c>
      <c r="S386">
        <v>8.7854441055844112E-2</v>
      </c>
      <c r="T386">
        <v>0.81396899340997286</v>
      </c>
      <c r="U386">
        <v>1.7176409022907825E-2</v>
      </c>
      <c r="V386">
        <v>1.0414662681781385E-2</v>
      </c>
      <c r="W386">
        <v>4.2494543323436454E-2</v>
      </c>
      <c r="X386">
        <v>1.0363304227252561E-2</v>
      </c>
      <c r="Y386">
        <v>1.804110663898932E-3</v>
      </c>
    </row>
    <row r="387" spans="1:25">
      <c r="A387" s="876"/>
      <c r="B387" s="1202">
        <v>137</v>
      </c>
      <c r="C387" s="880">
        <v>0.97861766489393787</v>
      </c>
      <c r="D387" s="880">
        <v>0.9592460839793695</v>
      </c>
      <c r="E387" s="880">
        <v>0.97969647442251095</v>
      </c>
      <c r="F387" s="880">
        <v>0.98838359092947614</v>
      </c>
      <c r="G387" s="880">
        <v>1.0068992772340024</v>
      </c>
      <c r="H387" s="880">
        <v>1.0230860831791697</v>
      </c>
      <c r="I387" s="880">
        <v>0.97962648584471623</v>
      </c>
      <c r="K387">
        <v>1.0854764302331013</v>
      </c>
      <c r="L387">
        <v>0</v>
      </c>
      <c r="M387">
        <v>7.697935824015306E-4</v>
      </c>
      <c r="N387">
        <v>7.2039270003299599E-2</v>
      </c>
      <c r="O387">
        <v>9.1814132944027533E-3</v>
      </c>
      <c r="P387">
        <v>1.2532382793664979E-2</v>
      </c>
      <c r="Q387">
        <v>3.0145366635142769E-3</v>
      </c>
      <c r="R387">
        <v>7.571206720595815E-4</v>
      </c>
      <c r="S387">
        <v>8.8204959431481433E-2</v>
      </c>
      <c r="T387">
        <v>0.81748296516642727</v>
      </c>
      <c r="U387">
        <v>1.7280118142753081E-2</v>
      </c>
      <c r="V387">
        <v>1.0415258872750539E-2</v>
      </c>
      <c r="W387">
        <v>4.3667847793334311E-2</v>
      </c>
      <c r="X387">
        <v>9.6097180972308186E-3</v>
      </c>
      <c r="Y387">
        <v>2.0606328845837142E-3</v>
      </c>
    </row>
    <row r="388" spans="1:25">
      <c r="A388" s="876"/>
      <c r="B388" s="1202">
        <v>138</v>
      </c>
      <c r="C388" s="880">
        <v>1.0212587445053825</v>
      </c>
      <c r="D388" s="880">
        <v>0.98108813149880403</v>
      </c>
      <c r="E388" s="880">
        <v>1.0076990617492321</v>
      </c>
      <c r="F388" s="880">
        <v>0.99344204447295881</v>
      </c>
      <c r="G388" s="880">
        <v>0.9877717618214692</v>
      </c>
      <c r="H388" s="880">
        <v>0.96833905315125324</v>
      </c>
      <c r="I388" s="880">
        <v>1.026349070328483</v>
      </c>
      <c r="K388">
        <v>1.0693518978013328</v>
      </c>
      <c r="L388">
        <v>0</v>
      </c>
      <c r="M388">
        <v>6.5037538723582188E-4</v>
      </c>
      <c r="N388">
        <v>6.6341929644004996E-2</v>
      </c>
      <c r="O388">
        <v>8.6927536456662801E-3</v>
      </c>
      <c r="P388">
        <v>1.2721615794758863E-2</v>
      </c>
      <c r="Q388">
        <v>2.9408687809691809E-3</v>
      </c>
      <c r="R388">
        <v>6.3904412256031928E-4</v>
      </c>
      <c r="S388">
        <v>8.5574427871666151E-2</v>
      </c>
      <c r="T388">
        <v>0.81521617988658557</v>
      </c>
      <c r="U388">
        <v>1.6558613531522378E-2</v>
      </c>
      <c r="V388">
        <v>1.0411111170657733E-2</v>
      </c>
      <c r="W388">
        <v>3.9447761116625159E-2</v>
      </c>
      <c r="X388">
        <v>9.7187001827809035E-3</v>
      </c>
      <c r="Y388">
        <v>1.7392674407708038E-3</v>
      </c>
    </row>
    <row r="389" spans="1:25">
      <c r="A389" s="876"/>
      <c r="B389" s="1202">
        <v>139</v>
      </c>
      <c r="C389" s="880">
        <v>1.0123142227302182</v>
      </c>
      <c r="D389" s="880">
        <v>0.99498916066227183</v>
      </c>
      <c r="E389" s="880">
        <v>1.0168150244475855</v>
      </c>
      <c r="F389" s="880">
        <v>0.99253505209242054</v>
      </c>
      <c r="G389" s="880">
        <v>1.0205482789361218</v>
      </c>
      <c r="H389" s="880">
        <v>0.98078219079893703</v>
      </c>
      <c r="I389" s="880">
        <v>0.99003261706547041</v>
      </c>
      <c r="K389">
        <v>1.068870575581353</v>
      </c>
      <c r="L389">
        <v>0</v>
      </c>
      <c r="M389">
        <v>6.4702659545820475E-4</v>
      </c>
      <c r="N389">
        <v>6.7911242851130912E-2</v>
      </c>
      <c r="O389">
        <v>8.7039348361355323E-3</v>
      </c>
      <c r="P389">
        <v>1.2765720921173479E-2</v>
      </c>
      <c r="Q389">
        <v>2.9747148166575257E-3</v>
      </c>
      <c r="R389">
        <v>6.358851299897015E-4</v>
      </c>
      <c r="S389">
        <v>8.3130232003829865E-2</v>
      </c>
      <c r="T389">
        <v>0.81448400016948153</v>
      </c>
      <c r="U389">
        <v>1.6704920751132311E-2</v>
      </c>
      <c r="V389">
        <v>1.041195224464608E-2</v>
      </c>
      <c r="W389">
        <v>4.013193132018008E-2</v>
      </c>
      <c r="X389">
        <v>9.9323974280978826E-3</v>
      </c>
      <c r="Y389">
        <v>1.7306697043552026E-3</v>
      </c>
    </row>
    <row r="390" spans="1:25">
      <c r="A390" s="876"/>
      <c r="B390" s="1202">
        <v>140</v>
      </c>
      <c r="C390" s="880">
        <v>0.9981556728076636</v>
      </c>
      <c r="D390" s="880">
        <v>0.99283720219618521</v>
      </c>
      <c r="E390" s="880">
        <v>1.0242744250302012</v>
      </c>
      <c r="F390" s="880">
        <v>0.98449725285466083</v>
      </c>
      <c r="G390" s="880">
        <v>0.99182544623714908</v>
      </c>
      <c r="H390" s="880">
        <v>1.0003436635464267</v>
      </c>
      <c r="I390" s="880">
        <v>0.95887704677450536</v>
      </c>
      <c r="K390">
        <v>1.0728953447566834</v>
      </c>
      <c r="L390">
        <v>0</v>
      </c>
      <c r="M390">
        <v>6.5958786901918235E-4</v>
      </c>
      <c r="N390">
        <v>7.0877034153423682E-2</v>
      </c>
      <c r="O390">
        <v>8.837601559432303E-3</v>
      </c>
      <c r="P390">
        <v>1.2820878750765957E-2</v>
      </c>
      <c r="Q390">
        <v>3.0423792415055426E-3</v>
      </c>
      <c r="R390">
        <v>6.4845397807395235E-4</v>
      </c>
      <c r="S390">
        <v>8.2418841080330457E-2</v>
      </c>
      <c r="T390">
        <v>0.81388697932755905</v>
      </c>
      <c r="U390">
        <v>1.6941875227122954E-2</v>
      </c>
      <c r="V390">
        <v>1.0413314421076649E-2</v>
      </c>
      <c r="W390">
        <v>4.167434144398139E-2</v>
      </c>
      <c r="X390">
        <v>1.0228355476908048E-2</v>
      </c>
      <c r="Y390">
        <v>1.7648779655208768E-3</v>
      </c>
    </row>
    <row r="391" spans="1:25">
      <c r="A391" s="876"/>
      <c r="B391" s="1202">
        <v>141</v>
      </c>
      <c r="C391" s="880">
        <v>0.97881136097570343</v>
      </c>
      <c r="D391" s="880">
        <v>1.0343461881379576</v>
      </c>
      <c r="E391" s="880">
        <v>0.9867571396455187</v>
      </c>
      <c r="F391" s="880">
        <v>1.0297702884792916</v>
      </c>
      <c r="G391" s="880">
        <v>1.0163282080279132</v>
      </c>
      <c r="H391" s="880">
        <v>1.0238340031711162</v>
      </c>
      <c r="I391" s="880">
        <v>1.023863941506334</v>
      </c>
      <c r="K391">
        <v>1.0810423285876136</v>
      </c>
      <c r="L391">
        <v>0</v>
      </c>
      <c r="M391">
        <v>7.2902559859525215E-4</v>
      </c>
      <c r="N391">
        <v>6.9735596686896176E-2</v>
      </c>
      <c r="O391">
        <v>8.8177948147038551E-3</v>
      </c>
      <c r="P391">
        <v>1.2599862521557953E-2</v>
      </c>
      <c r="Q391">
        <v>2.932455329748054E-3</v>
      </c>
      <c r="R391">
        <v>7.1696592943963936E-4</v>
      </c>
      <c r="S391">
        <v>8.8797158818821428E-2</v>
      </c>
      <c r="T391">
        <v>0.81690890282739903</v>
      </c>
      <c r="U391">
        <v>1.727669859603535E-2</v>
      </c>
      <c r="V391">
        <v>1.0415239214856669E-2</v>
      </c>
      <c r="W391">
        <v>4.2065307225910176E-2</v>
      </c>
      <c r="X391">
        <v>9.5540273086597242E-3</v>
      </c>
      <c r="Y391">
        <v>1.951344912179578E-3</v>
      </c>
    </row>
    <row r="392" spans="1:25">
      <c r="A392" s="876"/>
      <c r="B392" s="1202">
        <v>142</v>
      </c>
      <c r="C392" s="880">
        <v>1.0084664014065881</v>
      </c>
      <c r="D392" s="880">
        <v>0.98306406572964422</v>
      </c>
      <c r="E392" s="880">
        <v>1.0149759291585316</v>
      </c>
      <c r="F392" s="880">
        <v>0.99301207130439439</v>
      </c>
      <c r="G392" s="880">
        <v>1.0276298428798492</v>
      </c>
      <c r="H392" s="880">
        <v>1.0221830377827501</v>
      </c>
      <c r="I392" s="880">
        <v>1.0228661964307604</v>
      </c>
      <c r="K392">
        <v>1.0802857030995838</v>
      </c>
      <c r="L392">
        <v>0</v>
      </c>
      <c r="M392">
        <v>6.8392273290886945E-4</v>
      </c>
      <c r="N392">
        <v>7.142647397670196E-2</v>
      </c>
      <c r="O392">
        <v>8.7935644770474383E-3</v>
      </c>
      <c r="P392">
        <v>1.282201305203419E-2</v>
      </c>
      <c r="Q392">
        <v>2.9971317748518256E-3</v>
      </c>
      <c r="R392">
        <v>6.7263297134572244E-4</v>
      </c>
      <c r="S392">
        <v>8.8249723705330518E-2</v>
      </c>
      <c r="T392">
        <v>0.81463148551195541</v>
      </c>
      <c r="U392">
        <v>1.6768658670597018E-2</v>
      </c>
      <c r="V392">
        <v>1.0412318653810796E-2</v>
      </c>
      <c r="W392">
        <v>4.226180906499797E-2</v>
      </c>
      <c r="X392">
        <v>1.010312875921702E-2</v>
      </c>
      <c r="Y392">
        <v>1.8306852146036446E-3</v>
      </c>
    </row>
    <row r="393" spans="1:25">
      <c r="A393" s="876"/>
      <c r="B393" s="1202">
        <v>143</v>
      </c>
      <c r="C393" s="880">
        <v>1.0190598702226288</v>
      </c>
      <c r="D393" s="880">
        <v>0.98369029935289554</v>
      </c>
      <c r="E393" s="880">
        <v>0.99379529675790013</v>
      </c>
      <c r="F393" s="880">
        <v>0.99500439990336642</v>
      </c>
      <c r="G393" s="880">
        <v>0.98668317858967858</v>
      </c>
      <c r="H393" s="880">
        <v>0.99396754964004341</v>
      </c>
      <c r="I393" s="880">
        <v>1.008707039107078</v>
      </c>
      <c r="K393">
        <v>1.0715767321897471</v>
      </c>
      <c r="L393">
        <v>0</v>
      </c>
      <c r="M393">
        <v>6.8793858452123157E-4</v>
      </c>
      <c r="N393">
        <v>6.7233518317061425E-2</v>
      </c>
      <c r="O393">
        <v>8.6991929911321951E-3</v>
      </c>
      <c r="P393">
        <v>1.2599406256729047E-2</v>
      </c>
      <c r="Q393">
        <v>2.9027972917078288E-3</v>
      </c>
      <c r="R393">
        <v>6.7625962055108959E-4</v>
      </c>
      <c r="S393">
        <v>8.5088690146407922E-2</v>
      </c>
      <c r="T393">
        <v>0.81633835168317836</v>
      </c>
      <c r="U393">
        <v>1.6594342844898812E-2</v>
      </c>
      <c r="V393">
        <v>1.0411316567193759E-2</v>
      </c>
      <c r="W393">
        <v>4.0359858782976994E-2</v>
      </c>
      <c r="X393">
        <v>9.5203805142133804E-3</v>
      </c>
      <c r="Y393">
        <v>1.840555758216065E-3</v>
      </c>
    </row>
    <row r="394" spans="1:25">
      <c r="A394" s="876"/>
      <c r="B394" s="1202">
        <v>144</v>
      </c>
      <c r="C394" s="880">
        <v>0.99412180065081945</v>
      </c>
      <c r="D394" s="880">
        <v>1.0136364331399261</v>
      </c>
      <c r="E394" s="880">
        <v>0.99176995196494799</v>
      </c>
      <c r="F394" s="880">
        <v>0.99159829086171736</v>
      </c>
      <c r="G394" s="880">
        <v>0.98559209355933153</v>
      </c>
      <c r="H394" s="880">
        <v>0.97597791074101725</v>
      </c>
      <c r="I394" s="880">
        <v>0.98696397135825353</v>
      </c>
      <c r="K394">
        <v>1.0693153363187751</v>
      </c>
      <c r="L394">
        <v>0</v>
      </c>
      <c r="M394">
        <v>6.8438131043779718E-4</v>
      </c>
      <c r="N394">
        <v>6.6441771227001928E-2</v>
      </c>
      <c r="O394">
        <v>8.7759253841160779E-3</v>
      </c>
      <c r="P394">
        <v>1.2565827612074719E-2</v>
      </c>
      <c r="Q394">
        <v>2.9289795601256251E-3</v>
      </c>
      <c r="R394">
        <v>6.7252247792807141E-4</v>
      </c>
      <c r="S394">
        <v>8.3443717537210388E-2</v>
      </c>
      <c r="T394">
        <v>0.81650236494395467</v>
      </c>
      <c r="U394">
        <v>1.7010620685394422E-2</v>
      </c>
      <c r="V394">
        <v>1.0413709617000135E-2</v>
      </c>
      <c r="W394">
        <v>3.9940169223626212E-2</v>
      </c>
      <c r="X394">
        <v>9.4737248728352496E-3</v>
      </c>
      <c r="Y394">
        <v>1.8303844879449434E-3</v>
      </c>
    </row>
    <row r="395" spans="1:25">
      <c r="A395" s="876"/>
      <c r="B395" s="1202">
        <v>145</v>
      </c>
      <c r="C395" s="880">
        <v>1.0095326128655184</v>
      </c>
      <c r="D395" s="880">
        <v>1.0149570870055478</v>
      </c>
      <c r="E395" s="880">
        <v>0.97703999775516504</v>
      </c>
      <c r="F395" s="880">
        <v>0.99543150512329814</v>
      </c>
      <c r="G395" s="880">
        <v>1.0174740891296221</v>
      </c>
      <c r="H395" s="880">
        <v>1.0243468350919911</v>
      </c>
      <c r="I395" s="880">
        <v>1.0451124214489254</v>
      </c>
      <c r="K395">
        <v>1.077521895909082</v>
      </c>
      <c r="L395">
        <v>0</v>
      </c>
      <c r="M395">
        <v>7.2905965938506109E-4</v>
      </c>
      <c r="N395">
        <v>6.7661507298416468E-2</v>
      </c>
      <c r="O395">
        <v>8.6359680739817226E-3</v>
      </c>
      <c r="P395">
        <v>1.2509871876134147E-2</v>
      </c>
      <c r="Q395">
        <v>2.8398164283394167E-3</v>
      </c>
      <c r="R395">
        <v>7.1702202669148734E-4</v>
      </c>
      <c r="S395">
        <v>8.8731072400169572E-2</v>
      </c>
      <c r="T395">
        <v>0.81769938489570038</v>
      </c>
      <c r="U395">
        <v>1.6750948558216672E-2</v>
      </c>
      <c r="V395">
        <v>1.0412216843969204E-2</v>
      </c>
      <c r="W395">
        <v>4.1089949491173838E-2</v>
      </c>
      <c r="X395">
        <v>9.2517000852676591E-3</v>
      </c>
      <c r="Y395">
        <v>1.9514975904066547E-3</v>
      </c>
    </row>
    <row r="396" spans="1:25">
      <c r="A396" s="876"/>
      <c r="B396" s="1202">
        <v>146</v>
      </c>
      <c r="C396" s="880">
        <v>1.0029790293482954</v>
      </c>
      <c r="D396" s="880">
        <v>1.0020461534218315</v>
      </c>
      <c r="E396" s="880">
        <v>1.0200441973908445</v>
      </c>
      <c r="F396" s="880">
        <v>1.0467529251736849</v>
      </c>
      <c r="G396" s="880">
        <v>1.0000399262190327</v>
      </c>
      <c r="H396" s="880">
        <v>0.98772218212422591</v>
      </c>
      <c r="I396" s="880">
        <v>0.99440673199785401</v>
      </c>
      <c r="K396">
        <v>1.0717561689045751</v>
      </c>
      <c r="L396">
        <v>0</v>
      </c>
      <c r="M396">
        <v>6.5074822666168132E-4</v>
      </c>
      <c r="N396">
        <v>6.89984268051229E-2</v>
      </c>
      <c r="O396">
        <v>8.7518947555709336E-3</v>
      </c>
      <c r="P396">
        <v>1.2809783031775566E-2</v>
      </c>
      <c r="Q396">
        <v>3.0023173673611723E-3</v>
      </c>
      <c r="R396">
        <v>6.3961563014470384E-4</v>
      </c>
      <c r="S396">
        <v>8.4224361934615105E-2</v>
      </c>
      <c r="T396">
        <v>0.81422531710380419</v>
      </c>
      <c r="U396">
        <v>1.6860401235846742E-2</v>
      </c>
      <c r="V396">
        <v>1.0412846052837724E-2</v>
      </c>
      <c r="W396">
        <v>4.0685552741142224E-2</v>
      </c>
      <c r="X396">
        <v>1.0055577576997484E-2</v>
      </c>
      <c r="Y396">
        <v>1.7408228960180733E-3</v>
      </c>
    </row>
    <row r="397" spans="1:25">
      <c r="A397" s="876"/>
      <c r="B397" s="1202">
        <v>147</v>
      </c>
      <c r="C397" s="880">
        <v>0.98195250584065774</v>
      </c>
      <c r="D397" s="880">
        <v>0.97285187257046524</v>
      </c>
      <c r="E397" s="880">
        <v>0.99884813750465906</v>
      </c>
      <c r="F397" s="880">
        <v>1.0262787626223171</v>
      </c>
      <c r="G397" s="880">
        <v>1.0289270954056442</v>
      </c>
      <c r="H397" s="880">
        <v>1.0317561976461318</v>
      </c>
      <c r="I397" s="880">
        <v>0.97838023475359281</v>
      </c>
      <c r="K397">
        <v>1.0849097582290064</v>
      </c>
      <c r="L397">
        <v>0</v>
      </c>
      <c r="M397">
        <v>7.375819529241046E-4</v>
      </c>
      <c r="N397">
        <v>7.3275019309744949E-2</v>
      </c>
      <c r="O397">
        <v>9.081539617891517E-3</v>
      </c>
      <c r="P397">
        <v>1.2682984570820781E-2</v>
      </c>
      <c r="Q397">
        <v>3.0432995094547073E-3</v>
      </c>
      <c r="R397">
        <v>7.2552872531853475E-4</v>
      </c>
      <c r="S397">
        <v>8.7490434352931121E-2</v>
      </c>
      <c r="T397">
        <v>0.81592977751990492</v>
      </c>
      <c r="U397">
        <v>1.7221432569668977E-2</v>
      </c>
      <c r="V397">
        <v>1.0414921507929137E-2</v>
      </c>
      <c r="W397">
        <v>4.3834329117112318E-2</v>
      </c>
      <c r="X397">
        <v>9.9734233613166471E-3</v>
      </c>
      <c r="Y397">
        <v>1.9746500198370293E-3</v>
      </c>
    </row>
    <row r="398" spans="1:25">
      <c r="A398" s="876"/>
      <c r="B398" s="1202">
        <v>148</v>
      </c>
      <c r="C398" s="880">
        <v>1.0056791873464277</v>
      </c>
      <c r="D398" s="880">
        <v>1.0052963258395498</v>
      </c>
      <c r="E398" s="880">
        <v>1.0151757517342685</v>
      </c>
      <c r="F398" s="880">
        <v>1.0272223761910226</v>
      </c>
      <c r="G398" s="880">
        <v>1.0062631479869066</v>
      </c>
      <c r="H398" s="880">
        <v>1.012387167091261</v>
      </c>
      <c r="I398" s="880">
        <v>1.0011455590699594</v>
      </c>
      <c r="K398">
        <v>1.0749903937104108</v>
      </c>
      <c r="L398">
        <v>0</v>
      </c>
      <c r="M398">
        <v>6.7092491366761969E-4</v>
      </c>
      <c r="N398">
        <v>7.0099207940499467E-2</v>
      </c>
      <c r="O398">
        <v>8.7133421389253077E-3</v>
      </c>
      <c r="P398">
        <v>1.2783705436479271E-2</v>
      </c>
      <c r="Q398">
        <v>2.9753593761306703E-3</v>
      </c>
      <c r="R398">
        <v>6.5972412316968071E-4</v>
      </c>
      <c r="S398">
        <v>8.5306703223212238E-2</v>
      </c>
      <c r="T398">
        <v>0.8146154552586935</v>
      </c>
      <c r="U398">
        <v>1.6815132577788074E-2</v>
      </c>
      <c r="V398">
        <v>1.0412585817622519E-2</v>
      </c>
      <c r="W398">
        <v>4.1470877403467131E-2</v>
      </c>
      <c r="X398">
        <v>1.0013673742821893E-2</v>
      </c>
      <c r="Y398">
        <v>1.7955515852691166E-3</v>
      </c>
    </row>
    <row r="399" spans="1:25">
      <c r="A399" s="876"/>
      <c r="B399" s="1202">
        <v>149</v>
      </c>
      <c r="C399" s="880">
        <v>1.0202574300629368</v>
      </c>
      <c r="D399" s="880">
        <v>0.98818308976063496</v>
      </c>
      <c r="E399" s="880">
        <v>1.0199789141363897</v>
      </c>
      <c r="F399" s="880">
        <v>0.99233509027007727</v>
      </c>
      <c r="G399" s="880">
        <v>1.0115003797326032</v>
      </c>
      <c r="H399" s="880">
        <v>1.0108412914178517</v>
      </c>
      <c r="I399" s="880">
        <v>1.0429265342755383</v>
      </c>
      <c r="K399">
        <v>1.0770653104425358</v>
      </c>
      <c r="L399">
        <v>0</v>
      </c>
      <c r="M399">
        <v>6.5966498943457021E-4</v>
      </c>
      <c r="N399">
        <v>6.9958738076153618E-2</v>
      </c>
      <c r="O399">
        <v>8.6678646234422969E-3</v>
      </c>
      <c r="P399">
        <v>1.2861619272102635E-2</v>
      </c>
      <c r="Q399">
        <v>2.9701992418369656E-3</v>
      </c>
      <c r="R399">
        <v>6.4864925317078171E-4</v>
      </c>
      <c r="S399">
        <v>8.8293095334049582E-2</v>
      </c>
      <c r="T399">
        <v>0.8142305433040915</v>
      </c>
      <c r="U399">
        <v>1.657486470342023E-2</v>
      </c>
      <c r="V399">
        <v>1.0411204593511386E-2</v>
      </c>
      <c r="W399">
        <v>4.1253626293936342E-2</v>
      </c>
      <c r="X399">
        <v>1.0089161296291654E-2</v>
      </c>
      <c r="Y399">
        <v>1.765409439962027E-3</v>
      </c>
    </row>
    <row r="400" spans="1:25">
      <c r="A400" s="876"/>
      <c r="B400" s="1202">
        <v>150</v>
      </c>
      <c r="C400" s="880">
        <v>1.0105425748340591</v>
      </c>
      <c r="D400" s="880">
        <v>0.99740509865762872</v>
      </c>
      <c r="E400" s="880">
        <v>1.0040994060699335</v>
      </c>
      <c r="F400" s="880">
        <v>0.9981563629856578</v>
      </c>
      <c r="G400" s="880">
        <v>1.0179043465744184</v>
      </c>
      <c r="H400" s="880">
        <v>1.015216696570775</v>
      </c>
      <c r="I400" s="880">
        <v>0.96744923594651588</v>
      </c>
      <c r="K400">
        <v>1.0719159723959957</v>
      </c>
      <c r="L400">
        <v>0</v>
      </c>
      <c r="M400">
        <v>6.8826679612085672E-4</v>
      </c>
      <c r="N400">
        <v>6.9480960123279645E-2</v>
      </c>
      <c r="O400">
        <v>8.7079212837832785E-3</v>
      </c>
      <c r="P400">
        <v>1.2651367662029652E-2</v>
      </c>
      <c r="Q400">
        <v>2.9390301699203369E-3</v>
      </c>
      <c r="R400">
        <v>6.7681514022519061E-4</v>
      </c>
      <c r="S400">
        <v>8.2458460885843535E-2</v>
      </c>
      <c r="T400">
        <v>0.81550607747509707</v>
      </c>
      <c r="U400">
        <v>1.6734207233900317E-2</v>
      </c>
      <c r="V400">
        <v>1.0412120603384136E-2</v>
      </c>
      <c r="W400">
        <v>4.1415733678585406E-2</v>
      </c>
      <c r="X400">
        <v>9.7794772364261009E-3</v>
      </c>
      <c r="Y400">
        <v>1.8420676996419567E-3</v>
      </c>
    </row>
    <row r="401" spans="1:25">
      <c r="A401" s="876"/>
      <c r="B401" s="1202">
        <v>151</v>
      </c>
      <c r="C401" s="880">
        <v>1.0093014194697203</v>
      </c>
      <c r="D401" s="880">
        <v>0.99016410326929727</v>
      </c>
      <c r="E401" s="880">
        <v>0.97768902981031269</v>
      </c>
      <c r="F401" s="880">
        <v>1.0065000035319587</v>
      </c>
      <c r="G401" s="880">
        <v>1.0297218831236015</v>
      </c>
      <c r="H401" s="880">
        <v>0.97381134029014393</v>
      </c>
      <c r="I401" s="880">
        <v>1.0311733720670953</v>
      </c>
      <c r="K401">
        <v>1.0715297841462097</v>
      </c>
      <c r="L401">
        <v>0</v>
      </c>
      <c r="M401">
        <v>7.0147389075691396E-4</v>
      </c>
      <c r="N401">
        <v>6.517842992850173E-2</v>
      </c>
      <c r="O401">
        <v>8.7525924230038559E-3</v>
      </c>
      <c r="P401">
        <v>1.2489459232725902E-2</v>
      </c>
      <c r="Q401">
        <v>2.8747594049377905E-3</v>
      </c>
      <c r="R401">
        <v>6.8931276110042593E-4</v>
      </c>
      <c r="S401">
        <v>8.6797782235748008E-2</v>
      </c>
      <c r="T401">
        <v>0.81764648705990539</v>
      </c>
      <c r="U401">
        <v>1.6754785577173859E-2</v>
      </c>
      <c r="V401">
        <v>1.0412238901779109E-2</v>
      </c>
      <c r="W401">
        <v>3.9564154006331627E-2</v>
      </c>
      <c r="X401">
        <v>9.1951744019334505E-3</v>
      </c>
      <c r="Y401">
        <v>1.8760821038247323E-3</v>
      </c>
    </row>
    <row r="402" spans="1:25">
      <c r="A402" s="876"/>
      <c r="B402" s="1202">
        <v>152</v>
      </c>
      <c r="C402" s="880">
        <v>0.99004714413265338</v>
      </c>
      <c r="D402" s="880">
        <v>1.0209996862332718</v>
      </c>
      <c r="E402" s="880">
        <v>1.0027202018572363</v>
      </c>
      <c r="F402" s="880">
        <v>0.97871235672182166</v>
      </c>
      <c r="G402" s="880">
        <v>1.0341402623192035</v>
      </c>
      <c r="H402" s="880">
        <v>0.97180207263652107</v>
      </c>
      <c r="I402" s="880">
        <v>0.98067528036118923</v>
      </c>
      <c r="K402">
        <v>1.0685760488166072</v>
      </c>
      <c r="L402">
        <v>0</v>
      </c>
      <c r="M402">
        <v>6.6609987594634006E-4</v>
      </c>
      <c r="N402">
        <v>6.6902719308321618E-2</v>
      </c>
      <c r="O402">
        <v>8.7781522959531361E-3</v>
      </c>
      <c r="P402">
        <v>1.2649449196953915E-2</v>
      </c>
      <c r="Q402">
        <v>2.9637880667418843E-3</v>
      </c>
      <c r="R402">
        <v>6.5450210797911377E-4</v>
      </c>
      <c r="S402">
        <v>8.28081796650708E-2</v>
      </c>
      <c r="T402">
        <v>0.81561726818800528</v>
      </c>
      <c r="U402">
        <v>1.7080629913606003E-2</v>
      </c>
      <c r="V402">
        <v>1.0414112077937812E-2</v>
      </c>
      <c r="W402">
        <v>3.9916475871254936E-2</v>
      </c>
      <c r="X402">
        <v>9.6755330193706423E-3</v>
      </c>
      <c r="Y402">
        <v>1.7813389813572382E-3</v>
      </c>
    </row>
    <row r="403" spans="1:25">
      <c r="A403" s="876"/>
      <c r="B403" s="1202">
        <v>153</v>
      </c>
      <c r="C403" s="880">
        <v>0.97002639559371973</v>
      </c>
      <c r="D403" s="880">
        <v>1.0244125160711957</v>
      </c>
      <c r="E403" s="880">
        <v>0.97520007918966423</v>
      </c>
      <c r="F403" s="880">
        <v>0.96516570308693561</v>
      </c>
      <c r="G403" s="880">
        <v>1.0029540020061949</v>
      </c>
      <c r="H403" s="880">
        <v>1.0337404370492553</v>
      </c>
      <c r="I403" s="880">
        <v>1.0402233064550437</v>
      </c>
      <c r="K403">
        <v>1.0869521367250499</v>
      </c>
      <c r="L403">
        <v>0</v>
      </c>
      <c r="M403">
        <v>7.6489577719453217E-4</v>
      </c>
      <c r="N403">
        <v>7.0591407910196885E-2</v>
      </c>
      <c r="O403">
        <v>8.943432584663704E-3</v>
      </c>
      <c r="P403">
        <v>1.2545235531329649E-2</v>
      </c>
      <c r="Q403">
        <v>2.9374319680739759E-3</v>
      </c>
      <c r="R403">
        <v>7.5237275855354025E-4</v>
      </c>
      <c r="S403">
        <v>9.1845481238732651E-2</v>
      </c>
      <c r="T403">
        <v>0.81784942055175458</v>
      </c>
      <c r="U403">
        <v>1.7433163615719949E-2</v>
      </c>
      <c r="V403">
        <v>1.041613868282887E-2</v>
      </c>
      <c r="W403">
        <v>4.2924155612818392E-2</v>
      </c>
      <c r="X403">
        <v>9.4310814184016666E-3</v>
      </c>
      <c r="Y403">
        <v>2.0477106291695358E-3</v>
      </c>
    </row>
    <row r="404" spans="1:25">
      <c r="A404" s="876"/>
      <c r="B404" s="1202">
        <v>154</v>
      </c>
      <c r="C404" s="880">
        <v>1.0052589408129589</v>
      </c>
      <c r="D404" s="880">
        <v>1.0365593023589803</v>
      </c>
      <c r="E404" s="880">
        <v>0.95642454672581179</v>
      </c>
      <c r="F404" s="880">
        <v>1.0008608550122255</v>
      </c>
      <c r="G404" s="880">
        <v>0.99428510435049056</v>
      </c>
      <c r="H404" s="880">
        <v>0.98992624525500783</v>
      </c>
      <c r="I404" s="880">
        <v>0.99322029976109671</v>
      </c>
      <c r="K404">
        <v>1.0661773925194327</v>
      </c>
      <c r="L404">
        <v>0</v>
      </c>
      <c r="M404">
        <v>7.3057112445953129E-4</v>
      </c>
      <c r="N404">
        <v>6.3540819676540003E-2</v>
      </c>
      <c r="O404">
        <v>8.5760575329666289E-3</v>
      </c>
      <c r="P404">
        <v>1.2255290040806785E-2</v>
      </c>
      <c r="Q404">
        <v>2.765508514873317E-3</v>
      </c>
      <c r="R404">
        <v>7.1807000333081123E-4</v>
      </c>
      <c r="S404">
        <v>8.2609094581716364E-2</v>
      </c>
      <c r="T404">
        <v>0.8193869971691462</v>
      </c>
      <c r="U404">
        <v>1.6822162111064312E-2</v>
      </c>
      <c r="V404">
        <v>1.0412626228188778E-2</v>
      </c>
      <c r="W404">
        <v>3.9148722817510508E-2</v>
      </c>
      <c r="X404">
        <v>8.7182651303934575E-3</v>
      </c>
      <c r="Y404">
        <v>1.9543498373534875E-3</v>
      </c>
    </row>
    <row r="405" spans="1:25">
      <c r="A405" s="876"/>
      <c r="B405" s="1202">
        <v>155</v>
      </c>
      <c r="C405" s="880">
        <v>1.0217449958510156</v>
      </c>
      <c r="D405" s="880">
        <v>1.0074492869925284</v>
      </c>
      <c r="E405" s="880">
        <v>1.0393416610805783</v>
      </c>
      <c r="F405" s="880">
        <v>0.99876472584381504</v>
      </c>
      <c r="G405" s="880">
        <v>1.0035218907231567</v>
      </c>
      <c r="H405" s="880">
        <v>1.0009455385944508</v>
      </c>
      <c r="I405" s="880">
        <v>0.99574679537133004</v>
      </c>
      <c r="K405">
        <v>1.0695842614313242</v>
      </c>
      <c r="L405">
        <v>0</v>
      </c>
      <c r="M405">
        <v>6.1967960797006572E-4</v>
      </c>
      <c r="N405">
        <v>6.9776091052337244E-2</v>
      </c>
      <c r="O405">
        <v>8.5665618037110841E-3</v>
      </c>
      <c r="P405">
        <v>1.2948072172031411E-2</v>
      </c>
      <c r="Q405">
        <v>2.9965576230728489E-3</v>
      </c>
      <c r="R405">
        <v>6.09214440612191E-4</v>
      </c>
      <c r="S405">
        <v>8.3026539421214837E-2</v>
      </c>
      <c r="T405">
        <v>0.81268684880240438</v>
      </c>
      <c r="U405">
        <v>1.655073324031054E-2</v>
      </c>
      <c r="V405">
        <v>1.041106586935287E-2</v>
      </c>
      <c r="W405">
        <v>4.0615361363473469E-2</v>
      </c>
      <c r="X405">
        <v>1.0358814370913464E-2</v>
      </c>
      <c r="Y405">
        <v>1.6580808798600092E-3</v>
      </c>
    </row>
    <row r="406" spans="1:25">
      <c r="A406" s="876"/>
      <c r="B406" s="1202">
        <v>156</v>
      </c>
      <c r="C406" s="880">
        <v>0.97779552963545979</v>
      </c>
      <c r="D406" s="880">
        <v>1.0219021669872881</v>
      </c>
      <c r="E406" s="880">
        <v>0.97113499732432695</v>
      </c>
      <c r="F406" s="880">
        <v>1.0048244939269981</v>
      </c>
      <c r="G406" s="880">
        <v>0.98825395627733692</v>
      </c>
      <c r="H406" s="880">
        <v>0.97201255805112941</v>
      </c>
      <c r="I406" s="880">
        <v>1.0198466060864442</v>
      </c>
      <c r="K406">
        <v>1.0739393190267743</v>
      </c>
      <c r="L406">
        <v>0</v>
      </c>
      <c r="M406">
        <v>7.2055309424714489E-4</v>
      </c>
      <c r="N406">
        <v>6.5592504044611061E-2</v>
      </c>
      <c r="O406">
        <v>8.8839628041660103E-3</v>
      </c>
      <c r="P406">
        <v>1.2446328595135723E-2</v>
      </c>
      <c r="Q406">
        <v>2.9052952599402742E-3</v>
      </c>
      <c r="R406">
        <v>7.0800912697193904E-4</v>
      </c>
      <c r="S406">
        <v>8.716433895142045E-2</v>
      </c>
      <c r="T406">
        <v>0.81818131207355838</v>
      </c>
      <c r="U406">
        <v>1.7294647350511991E-2</v>
      </c>
      <c r="V406">
        <v>1.0415342396576287E-2</v>
      </c>
      <c r="W406">
        <v>3.999770268993217E-2</v>
      </c>
      <c r="X406">
        <v>9.1434613797251769E-3</v>
      </c>
      <c r="Y406">
        <v>1.9269674484716382E-3</v>
      </c>
    </row>
    <row r="407" spans="1:25">
      <c r="A407" s="876"/>
      <c r="B407" s="1202">
        <v>157</v>
      </c>
      <c r="C407" s="880">
        <v>0.99342576167732166</v>
      </c>
      <c r="D407" s="880">
        <v>0.97659269361597034</v>
      </c>
      <c r="E407" s="880">
        <v>0.98128181284730953</v>
      </c>
      <c r="F407" s="880">
        <v>1.0120318631301133</v>
      </c>
      <c r="G407" s="880">
        <v>1.0003340313134261</v>
      </c>
      <c r="H407" s="880">
        <v>0.99700627057868019</v>
      </c>
      <c r="I407" s="880">
        <v>0.99087273500799422</v>
      </c>
      <c r="K407">
        <v>1.0768518153159068</v>
      </c>
      <c r="L407">
        <v>0</v>
      </c>
      <c r="M407">
        <v>7.2952207168369828E-4</v>
      </c>
      <c r="N407">
        <v>6.8576987526457078E-2</v>
      </c>
      <c r="O407">
        <v>8.9582575817991061E-3</v>
      </c>
      <c r="P407">
        <v>1.2514770955242263E-2</v>
      </c>
      <c r="Q407">
        <v>2.9500119793094983E-3</v>
      </c>
      <c r="R407">
        <v>7.1718152327919548E-4</v>
      </c>
      <c r="S407">
        <v>8.6161311035540422E-2</v>
      </c>
      <c r="T407">
        <v>0.81735392343094382</v>
      </c>
      <c r="U407">
        <v>1.7022539094818795E-2</v>
      </c>
      <c r="V407">
        <v>1.0413778132170978E-2</v>
      </c>
      <c r="W407">
        <v>4.1523438136952327E-2</v>
      </c>
      <c r="X407">
        <v>9.4372063035373967E-3</v>
      </c>
      <c r="Y407">
        <v>1.95193168754036E-3</v>
      </c>
    </row>
    <row r="408" spans="1:25">
      <c r="A408" s="876"/>
      <c r="B408" s="1202">
        <v>158</v>
      </c>
      <c r="C408" s="880">
        <v>1.0163626202877003</v>
      </c>
      <c r="D408" s="880">
        <v>0.98023964878507386</v>
      </c>
      <c r="E408" s="880">
        <v>0.9889448866768441</v>
      </c>
      <c r="F408" s="880">
        <v>1.0096439188557813</v>
      </c>
      <c r="G408" s="880">
        <v>0.9796716461523951</v>
      </c>
      <c r="H408" s="880">
        <v>1.0082390195428734</v>
      </c>
      <c r="I408" s="880">
        <v>1.0018120798756562</v>
      </c>
      <c r="K408">
        <v>1.0740046104068275</v>
      </c>
      <c r="L408">
        <v>0</v>
      </c>
      <c r="M408">
        <v>7.0816667917674087E-4</v>
      </c>
      <c r="N408">
        <v>6.8190200115659558E-2</v>
      </c>
      <c r="O408">
        <v>8.7386677738271364E-3</v>
      </c>
      <c r="P408">
        <v>1.2563463895551812E-2</v>
      </c>
      <c r="Q408">
        <v>2.9009518385727617E-3</v>
      </c>
      <c r="R408">
        <v>6.9631756469341779E-4</v>
      </c>
      <c r="S408">
        <v>8.538839748219329E-2</v>
      </c>
      <c r="T408">
        <v>0.81673137229669346</v>
      </c>
      <c r="U408">
        <v>1.6638381349724885E-2</v>
      </c>
      <c r="V408">
        <v>1.041156973064661E-2</v>
      </c>
      <c r="W408">
        <v>4.1071053744559417E-2</v>
      </c>
      <c r="X408">
        <v>9.4872544238088288E-3</v>
      </c>
      <c r="Y408">
        <v>1.8951468700719729E-3</v>
      </c>
    </row>
    <row r="409" spans="1:25">
      <c r="A409" s="876"/>
      <c r="B409" s="1202">
        <v>159</v>
      </c>
      <c r="C409" s="880">
        <v>1.0063361671927782</v>
      </c>
      <c r="D409" s="880">
        <v>0.97955365584022114</v>
      </c>
      <c r="E409" s="880">
        <v>0.98347782385000593</v>
      </c>
      <c r="F409" s="880">
        <v>0.99131046539890044</v>
      </c>
      <c r="G409" s="880">
        <v>1.0181173825061445</v>
      </c>
      <c r="H409" s="880">
        <v>1.039624720808568</v>
      </c>
      <c r="I409" s="880">
        <v>1.0072560489021569</v>
      </c>
      <c r="K409">
        <v>1.0814914291451025</v>
      </c>
      <c r="L409">
        <v>0</v>
      </c>
      <c r="M409">
        <v>7.462865738990822E-4</v>
      </c>
      <c r="N409">
        <v>7.0684016212544651E-2</v>
      </c>
      <c r="O409">
        <v>8.8290358102486016E-3</v>
      </c>
      <c r="P409">
        <v>1.255335952350934E-2</v>
      </c>
      <c r="Q409">
        <v>2.9146118671196496E-3</v>
      </c>
      <c r="R409">
        <v>7.3417723547857981E-4</v>
      </c>
      <c r="S409">
        <v>8.7873723776089194E-2</v>
      </c>
      <c r="T409">
        <v>0.81717531532384868</v>
      </c>
      <c r="U409">
        <v>1.6804154930777641E-2</v>
      </c>
      <c r="V409">
        <v>1.0412522710597628E-2</v>
      </c>
      <c r="W409">
        <v>4.2734187465626516E-2</v>
      </c>
      <c r="X409">
        <v>9.5244224496478513E-3</v>
      </c>
      <c r="Y409">
        <v>1.9981884135120633E-3</v>
      </c>
    </row>
    <row r="410" spans="1:25">
      <c r="A410" s="876"/>
      <c r="B410" s="1202">
        <v>160</v>
      </c>
      <c r="C410" s="880">
        <v>1.0132668797875788</v>
      </c>
      <c r="D410" s="880">
        <v>0.98192060339356058</v>
      </c>
      <c r="E410" s="880">
        <v>0.99983226635857858</v>
      </c>
      <c r="F410" s="880">
        <v>0.99090445971011298</v>
      </c>
      <c r="G410" s="880">
        <v>0.97707532463187274</v>
      </c>
      <c r="H410" s="880">
        <v>1.0263747086881032</v>
      </c>
      <c r="I410" s="880">
        <v>0.98906601077669154</v>
      </c>
      <c r="K410">
        <v>1.0764841143128803</v>
      </c>
      <c r="L410">
        <v>0</v>
      </c>
      <c r="M410">
        <v>7.0608555712390556E-4</v>
      </c>
      <c r="N410">
        <v>7.0354182854421327E-2</v>
      </c>
      <c r="O410">
        <v>8.7573464821386286E-3</v>
      </c>
      <c r="P410">
        <v>1.2651666655757616E-2</v>
      </c>
      <c r="Q410">
        <v>2.939621971887151E-3</v>
      </c>
      <c r="R410">
        <v>6.9447854636172529E-4</v>
      </c>
      <c r="S410">
        <v>8.5126368352771875E-2</v>
      </c>
      <c r="T410">
        <v>0.81585030145889481</v>
      </c>
      <c r="U410">
        <v>1.6689215056054668E-2</v>
      </c>
      <c r="V410">
        <v>1.041186195756637E-2</v>
      </c>
      <c r="W410">
        <v>4.2058692280497405E-2</v>
      </c>
      <c r="X410">
        <v>9.7663225852463939E-3</v>
      </c>
      <c r="Y410">
        <v>1.8901416684053353E-3</v>
      </c>
    </row>
    <row r="411" spans="1:25">
      <c r="A411" s="876"/>
      <c r="B411" s="1202">
        <v>161</v>
      </c>
      <c r="C411" s="880">
        <v>1.0082457840987753</v>
      </c>
      <c r="D411" s="880">
        <v>1.01321310223378</v>
      </c>
      <c r="E411" s="880">
        <v>1.0198327901516577</v>
      </c>
      <c r="F411" s="880">
        <v>1.0164035810339787</v>
      </c>
      <c r="G411" s="880">
        <v>0.97658050791369999</v>
      </c>
      <c r="H411" s="880">
        <v>0.96904286454025013</v>
      </c>
      <c r="I411" s="880">
        <v>1.0481273783820353</v>
      </c>
      <c r="K411">
        <v>1.0710240837785372</v>
      </c>
      <c r="L411">
        <v>0</v>
      </c>
      <c r="M411">
        <v>6.3165772278437021E-4</v>
      </c>
      <c r="N411">
        <v>6.6906883553586483E-2</v>
      </c>
      <c r="O411">
        <v>8.6549133638039507E-3</v>
      </c>
      <c r="P411">
        <v>1.2847122858086184E-2</v>
      </c>
      <c r="Q411">
        <v>2.9708742604996484E-3</v>
      </c>
      <c r="R411">
        <v>6.2063448030299519E-4</v>
      </c>
      <c r="S411">
        <v>8.7135641306027356E-2</v>
      </c>
      <c r="T411">
        <v>0.81424224167290737</v>
      </c>
      <c r="U411">
        <v>1.6772327871490196E-2</v>
      </c>
      <c r="V411">
        <v>1.0412339746887675E-2</v>
      </c>
      <c r="W411">
        <v>3.9457883778255459E-2</v>
      </c>
      <c r="X411">
        <v>9.9457161461912209E-3</v>
      </c>
      <c r="Y411">
        <v>1.6891624632833066E-3</v>
      </c>
    </row>
    <row r="412" spans="1:25">
      <c r="A412" s="876"/>
      <c r="B412" s="1202">
        <v>162</v>
      </c>
      <c r="C412" s="880">
        <v>1.0015539822805375</v>
      </c>
      <c r="D412" s="880">
        <v>1.0210503342937178</v>
      </c>
      <c r="E412" s="880">
        <v>0.99974225062781641</v>
      </c>
      <c r="F412" s="880">
        <v>0.98714879601685479</v>
      </c>
      <c r="G412" s="880">
        <v>1.0043656495095876</v>
      </c>
      <c r="H412" s="880">
        <v>1.0114898748694383</v>
      </c>
      <c r="I412" s="880">
        <v>0.99185780438385829</v>
      </c>
      <c r="K412">
        <v>1.0728114029755804</v>
      </c>
      <c r="L412">
        <v>0</v>
      </c>
      <c r="M412">
        <v>6.8963180542989781E-4</v>
      </c>
      <c r="N412">
        <v>6.8675252838515929E-2</v>
      </c>
      <c r="O412">
        <v>8.6770711590749543E-3</v>
      </c>
      <c r="P412">
        <v>1.2640652277999717E-2</v>
      </c>
      <c r="Q412">
        <v>2.9209200277687843E-3</v>
      </c>
      <c r="R412">
        <v>6.7809540838883629E-4</v>
      </c>
      <c r="S412">
        <v>8.4177957815815233E-2</v>
      </c>
      <c r="T412">
        <v>0.81585756956225941</v>
      </c>
      <c r="U412">
        <v>1.6884390821797636E-2</v>
      </c>
      <c r="V412">
        <v>1.041298396138925E-2</v>
      </c>
      <c r="W412">
        <v>4.1057534097198582E-2</v>
      </c>
      <c r="X412">
        <v>9.6730546432593194E-3</v>
      </c>
      <c r="Y412">
        <v>1.8455521675431132E-3</v>
      </c>
    </row>
    <row r="413" spans="1:25">
      <c r="A413" s="876"/>
      <c r="B413" s="1202">
        <v>163</v>
      </c>
      <c r="C413" s="880">
        <v>0.99302348848484434</v>
      </c>
      <c r="D413" s="880">
        <v>0.99609242404050269</v>
      </c>
      <c r="E413" s="880">
        <v>1.0077861158201333</v>
      </c>
      <c r="F413" s="880">
        <v>1.0022328203901987</v>
      </c>
      <c r="G413" s="880">
        <v>0.95907469779533994</v>
      </c>
      <c r="H413" s="880">
        <v>0.97396156555782998</v>
      </c>
      <c r="I413" s="880">
        <v>1.017685504470772</v>
      </c>
      <c r="K413">
        <v>1.074274172386559</v>
      </c>
      <c r="L413">
        <v>0</v>
      </c>
      <c r="M413">
        <v>6.672128772531779E-4</v>
      </c>
      <c r="N413">
        <v>6.8083496215890563E-2</v>
      </c>
      <c r="O413">
        <v>8.8677753823654844E-3</v>
      </c>
      <c r="P413">
        <v>1.2745852344521372E-2</v>
      </c>
      <c r="Q413">
        <v>3.0037624554601849E-3</v>
      </c>
      <c r="R413">
        <v>6.5564241348273981E-4</v>
      </c>
      <c r="S413">
        <v>8.6813667114179649E-2</v>
      </c>
      <c r="T413">
        <v>0.8152091744623704</v>
      </c>
      <c r="U413">
        <v>1.7029434914731571E-2</v>
      </c>
      <c r="V413">
        <v>1.0413817774061324E-2</v>
      </c>
      <c r="W413">
        <v>4.0480920538419549E-2</v>
      </c>
      <c r="X413">
        <v>9.8533991312936536E-3</v>
      </c>
      <c r="Y413">
        <v>1.7844425170365004E-3</v>
      </c>
    </row>
    <row r="414" spans="1:25">
      <c r="A414" s="876"/>
      <c r="B414" s="1202">
        <v>164</v>
      </c>
      <c r="C414" s="880">
        <v>1.0037377382918666</v>
      </c>
      <c r="D414" s="880">
        <v>1.0275500970201901</v>
      </c>
      <c r="E414" s="880">
        <v>0.98405061835930074</v>
      </c>
      <c r="F414" s="880">
        <v>1.0031800165723734</v>
      </c>
      <c r="G414" s="880">
        <v>0.98070609226277572</v>
      </c>
      <c r="H414" s="880">
        <v>0.98384544469288349</v>
      </c>
      <c r="I414" s="880">
        <v>1.0061391018766883</v>
      </c>
      <c r="K414">
        <v>1.0682874184535125</v>
      </c>
      <c r="L414">
        <v>0</v>
      </c>
      <c r="M414">
        <v>6.8945716214797797E-4</v>
      </c>
      <c r="N414">
        <v>6.5352891196101132E-2</v>
      </c>
      <c r="O414">
        <v>8.6290108671255566E-3</v>
      </c>
      <c r="P414">
        <v>1.2505986243931991E-2</v>
      </c>
      <c r="Q414">
        <v>2.8604231727233326E-3</v>
      </c>
      <c r="R414">
        <v>6.775941460723092E-4</v>
      </c>
      <c r="S414">
        <v>8.395940931500645E-2</v>
      </c>
      <c r="T414">
        <v>0.81712875508985394</v>
      </c>
      <c r="U414">
        <v>1.6847656734248553E-2</v>
      </c>
      <c r="V414">
        <v>1.0412772788723927E-2</v>
      </c>
      <c r="W414">
        <v>3.9495433103042384E-2</v>
      </c>
      <c r="X414">
        <v>9.2627550620718469E-3</v>
      </c>
      <c r="Y414">
        <v>1.8441878967586053E-3</v>
      </c>
    </row>
    <row r="415" spans="1:25">
      <c r="A415" s="876"/>
      <c r="B415" s="1202">
        <v>165</v>
      </c>
      <c r="C415" s="880">
        <v>1.0218401212846191</v>
      </c>
      <c r="D415" s="880">
        <v>0.98936269912828712</v>
      </c>
      <c r="E415" s="880">
        <v>1.0096414662503401</v>
      </c>
      <c r="F415" s="880">
        <v>1.0246258227600351</v>
      </c>
      <c r="G415" s="880">
        <v>1.031843411006117</v>
      </c>
      <c r="H415" s="880">
        <v>1.0096791497441873</v>
      </c>
      <c r="I415" s="880">
        <v>1.0063655243010146</v>
      </c>
      <c r="K415">
        <v>1.0729310755658261</v>
      </c>
      <c r="L415">
        <v>0</v>
      </c>
      <c r="M415">
        <v>6.7197134660884053E-4</v>
      </c>
      <c r="N415">
        <v>6.900938069751443E-2</v>
      </c>
      <c r="O415">
        <v>8.648929234833444E-3</v>
      </c>
      <c r="P415">
        <v>1.2729413528536647E-2</v>
      </c>
      <c r="Q415">
        <v>2.933585174003289E-3</v>
      </c>
      <c r="R415">
        <v>6.6073620201506536E-4</v>
      </c>
      <c r="S415">
        <v>8.4974145789701944E-2</v>
      </c>
      <c r="T415">
        <v>0.8150599318276992</v>
      </c>
      <c r="U415">
        <v>1.6549192494705506E-2</v>
      </c>
      <c r="V415">
        <v>1.0411057012093102E-2</v>
      </c>
      <c r="W415">
        <v>4.0979689255162877E-2</v>
      </c>
      <c r="X415">
        <v>9.8486795659140595E-3</v>
      </c>
      <c r="Y415">
        <v>1.7983061302545517E-3</v>
      </c>
    </row>
    <row r="416" spans="1:25">
      <c r="A416" s="876"/>
      <c r="B416" s="1202">
        <v>166</v>
      </c>
      <c r="C416" s="880">
        <v>0.99169801286530856</v>
      </c>
      <c r="D416" s="880">
        <v>1.0109848814283082</v>
      </c>
      <c r="E416" s="880">
        <v>0.9815491532674141</v>
      </c>
      <c r="F416" s="880">
        <v>1.0349393676852263</v>
      </c>
      <c r="G416" s="880">
        <v>0.99814067745476664</v>
      </c>
      <c r="H416" s="880">
        <v>1.0225084401436666</v>
      </c>
      <c r="I416" s="880">
        <v>0.98716620047697434</v>
      </c>
      <c r="K416">
        <v>1.0769372640125485</v>
      </c>
      <c r="L416">
        <v>0</v>
      </c>
      <c r="M416">
        <v>7.3539065296267952E-4</v>
      </c>
      <c r="N416">
        <v>6.9212978578322815E-2</v>
      </c>
      <c r="O416">
        <v>8.8096567823601202E-3</v>
      </c>
      <c r="P416">
        <v>1.2507446770227509E-2</v>
      </c>
      <c r="Q416">
        <v>2.9093966337848088E-3</v>
      </c>
      <c r="R416">
        <v>7.232301398476808E-4</v>
      </c>
      <c r="S416">
        <v>8.542026998254855E-2</v>
      </c>
      <c r="T416">
        <v>0.81733217111266776</v>
      </c>
      <c r="U416">
        <v>1.7052195977576467E-2</v>
      </c>
      <c r="V416">
        <v>1.0413948620221613E-2</v>
      </c>
      <c r="W416">
        <v>4.1900765590216327E-2</v>
      </c>
      <c r="X416">
        <v>9.4222004498229189E-3</v>
      </c>
      <c r="Y416">
        <v>1.9683940279138614E-3</v>
      </c>
    </row>
    <row r="417" spans="1:25">
      <c r="A417" s="876"/>
      <c r="B417" s="1202">
        <v>167</v>
      </c>
      <c r="C417" s="880">
        <v>1.0026917260967667</v>
      </c>
      <c r="D417" s="880">
        <v>1.0036704966730006</v>
      </c>
      <c r="E417" s="880">
        <v>1.0372602819746797</v>
      </c>
      <c r="F417" s="880">
        <v>1.0042946133579587</v>
      </c>
      <c r="G417" s="880">
        <v>0.96438497438755777</v>
      </c>
      <c r="H417" s="880">
        <v>1.0280145321007435</v>
      </c>
      <c r="I417" s="880">
        <v>0.96780288698216055</v>
      </c>
      <c r="K417">
        <v>1.0760933714232659</v>
      </c>
      <c r="L417">
        <v>0</v>
      </c>
      <c r="M417">
        <v>6.5269985485684055E-4</v>
      </c>
      <c r="N417">
        <v>7.3054515952016882E-2</v>
      </c>
      <c r="O417">
        <v>8.7468462411986435E-3</v>
      </c>
      <c r="P417">
        <v>1.2939447529115406E-2</v>
      </c>
      <c r="Q417">
        <v>3.0525045056589485E-3</v>
      </c>
      <c r="R417">
        <v>6.4197023999567129E-4</v>
      </c>
      <c r="S417">
        <v>8.3316259610468887E-2</v>
      </c>
      <c r="T417">
        <v>0.81285217253651765</v>
      </c>
      <c r="U417">
        <v>1.6865232280096006E-2</v>
      </c>
      <c r="V417">
        <v>1.0412873824985035E-2</v>
      </c>
      <c r="W417">
        <v>4.2582683284191132E-2</v>
      </c>
      <c r="X417">
        <v>1.0534333906043001E-2</v>
      </c>
      <c r="Y417">
        <v>1.7472313678354784E-3</v>
      </c>
    </row>
    <row r="418" spans="1:25">
      <c r="A418" s="876"/>
      <c r="B418" s="1202">
        <v>168</v>
      </c>
      <c r="C418" s="880">
        <v>1.0185873989892542</v>
      </c>
      <c r="D418" s="880">
        <v>1.0168737195523345</v>
      </c>
      <c r="E418" s="880">
        <v>0.97873109282010395</v>
      </c>
      <c r="F418" s="880">
        <v>0.97505238307893405</v>
      </c>
      <c r="G418" s="880">
        <v>0.99528571343400707</v>
      </c>
      <c r="H418" s="880">
        <v>0.99216505750698192</v>
      </c>
      <c r="I418" s="880">
        <v>1.010719794192265</v>
      </c>
      <c r="K418">
        <v>1.0675924079837911</v>
      </c>
      <c r="L418">
        <v>0</v>
      </c>
      <c r="M418">
        <v>6.9669946833587524E-4</v>
      </c>
      <c r="N418">
        <v>6.4964355991308148E-2</v>
      </c>
      <c r="O418">
        <v>8.5506043227288348E-3</v>
      </c>
      <c r="P418">
        <v>1.2456404914485113E-2</v>
      </c>
      <c r="Q418">
        <v>2.8169827320465358E-3</v>
      </c>
      <c r="R418">
        <v>6.8482138542204948E-4</v>
      </c>
      <c r="S418">
        <v>8.3836848457097227E-2</v>
      </c>
      <c r="T418">
        <v>0.81756158595343775</v>
      </c>
      <c r="U418">
        <v>1.6602040122166085E-2</v>
      </c>
      <c r="V418">
        <v>1.0411360816409265E-2</v>
      </c>
      <c r="W418">
        <v>3.9405668825904148E-2</v>
      </c>
      <c r="X418">
        <v>9.1345758713113536E-3</v>
      </c>
      <c r="Y418">
        <v>1.8638580598097866E-3</v>
      </c>
    </row>
    <row r="419" spans="1:25">
      <c r="A419" s="876"/>
      <c r="B419" s="1202">
        <v>169</v>
      </c>
      <c r="C419" s="880">
        <v>0.98372873413945916</v>
      </c>
      <c r="D419" s="880">
        <v>0.97135212116083913</v>
      </c>
      <c r="E419" s="880">
        <v>0.99799148242692948</v>
      </c>
      <c r="F419" s="880">
        <v>0.96126813334581607</v>
      </c>
      <c r="G419" s="880">
        <v>0.99475270520237469</v>
      </c>
      <c r="H419" s="880">
        <v>1.0407842351594592</v>
      </c>
      <c r="I419" s="880">
        <v>1.0379366270429053</v>
      </c>
      <c r="K419">
        <v>1.0914745203686904</v>
      </c>
      <c r="L419">
        <v>0</v>
      </c>
      <c r="M419">
        <v>7.4464579807850047E-4</v>
      </c>
      <c r="N419">
        <v>7.3790628211435338E-2</v>
      </c>
      <c r="O419">
        <v>9.0726232752615828E-3</v>
      </c>
      <c r="P419">
        <v>1.2751358553048205E-2</v>
      </c>
      <c r="Q419">
        <v>3.03733809912617E-3</v>
      </c>
      <c r="R419">
        <v>7.3258407386076016E-4</v>
      </c>
      <c r="S419">
        <v>9.306601280243415E-2</v>
      </c>
      <c r="T419">
        <v>0.81599898586564301</v>
      </c>
      <c r="U419">
        <v>1.7190337416285145E-2</v>
      </c>
      <c r="V419">
        <v>1.0414742751715032E-2</v>
      </c>
      <c r="W419">
        <v>4.4168685729965795E-2</v>
      </c>
      <c r="X419">
        <v>1.0002017035220336E-2</v>
      </c>
      <c r="Y419">
        <v>1.9938523527739446E-3</v>
      </c>
    </row>
    <row r="420" spans="1:25">
      <c r="A420" s="876"/>
      <c r="B420" s="1202">
        <v>170</v>
      </c>
      <c r="C420" s="880">
        <v>0.98442506195065238</v>
      </c>
      <c r="D420" s="880">
        <v>1.0233927116414221</v>
      </c>
      <c r="E420" s="880">
        <v>1.0331151269739791</v>
      </c>
      <c r="F420" s="880">
        <v>1.0184246829922037</v>
      </c>
      <c r="G420" s="880">
        <v>0.98127477635299476</v>
      </c>
      <c r="H420" s="880">
        <v>0.98871868377750494</v>
      </c>
      <c r="I420" s="880">
        <v>1.0306858104636067</v>
      </c>
      <c r="K420">
        <v>1.077469772562845</v>
      </c>
      <c r="L420">
        <v>0</v>
      </c>
      <c r="M420">
        <v>6.3839975434218745E-4</v>
      </c>
      <c r="N420">
        <v>7.0492161048396326E-2</v>
      </c>
      <c r="O420">
        <v>8.8172931106307306E-3</v>
      </c>
      <c r="P420">
        <v>1.2975909301122704E-2</v>
      </c>
      <c r="Q420">
        <v>3.0689715586168782E-3</v>
      </c>
      <c r="R420">
        <v>6.2747260694934952E-4</v>
      </c>
      <c r="S420">
        <v>8.8051962107530565E-2</v>
      </c>
      <c r="T420">
        <v>0.8131818627223798</v>
      </c>
      <c r="U420">
        <v>1.717817792290224E-2</v>
      </c>
      <c r="V420">
        <v>1.0414672850628652E-2</v>
      </c>
      <c r="W420">
        <v>4.1202997722483641E-2</v>
      </c>
      <c r="X420">
        <v>1.0388917775719989E-2</v>
      </c>
      <c r="Y420">
        <v>1.7077735898268394E-3</v>
      </c>
    </row>
    <row r="421" spans="1:25">
      <c r="A421" s="876"/>
      <c r="B421" s="1202">
        <v>171</v>
      </c>
      <c r="C421" s="880">
        <v>1.008260514195138</v>
      </c>
      <c r="D421" s="880">
        <v>1.0223137017426416</v>
      </c>
      <c r="E421" s="880">
        <v>1.0195090126821271</v>
      </c>
      <c r="F421" s="880">
        <v>1.0156322127317803</v>
      </c>
      <c r="G421" s="880">
        <v>0.99933878402771203</v>
      </c>
      <c r="H421" s="880">
        <v>1.0353975539900901</v>
      </c>
      <c r="I421" s="880">
        <v>0.98703270656469655</v>
      </c>
      <c r="K421">
        <v>1.0749115744484603</v>
      </c>
      <c r="L421">
        <v>0</v>
      </c>
      <c r="M421">
        <v>6.7216219417061244E-4</v>
      </c>
      <c r="N421">
        <v>7.1205837043009187E-2</v>
      </c>
      <c r="O421">
        <v>8.6136845977722726E-3</v>
      </c>
      <c r="P421">
        <v>1.2800832328301665E-2</v>
      </c>
      <c r="Q421">
        <v>2.9577301269178243E-3</v>
      </c>
      <c r="R421">
        <v>6.6117667803292698E-4</v>
      </c>
      <c r="S421">
        <v>8.3987180492095262E-2</v>
      </c>
      <c r="T421">
        <v>0.8142681651872431</v>
      </c>
      <c r="U421">
        <v>1.6772082837590456E-2</v>
      </c>
      <c r="V421">
        <v>1.0412338338265202E-2</v>
      </c>
      <c r="W421">
        <v>4.2002340313937646E-2</v>
      </c>
      <c r="X421">
        <v>1.010286373869183E-2</v>
      </c>
      <c r="Y421">
        <v>1.7995049607722911E-3</v>
      </c>
    </row>
    <row r="422" spans="1:25">
      <c r="A422" s="876"/>
      <c r="B422" s="1202">
        <v>172</v>
      </c>
      <c r="C422" s="880">
        <v>0.99895151913615521</v>
      </c>
      <c r="D422" s="880">
        <v>0.98796811927569517</v>
      </c>
      <c r="E422" s="880">
        <v>1.0263269991490276</v>
      </c>
      <c r="F422" s="880">
        <v>1.0006573814038084</v>
      </c>
      <c r="G422" s="880">
        <v>0.9749463606149037</v>
      </c>
      <c r="H422" s="880">
        <v>1.0187920758666433</v>
      </c>
      <c r="I422" s="880">
        <v>1.0254421382650303</v>
      </c>
      <c r="K422">
        <v>1.0820706589697231</v>
      </c>
      <c r="L422">
        <v>0</v>
      </c>
      <c r="M422">
        <v>6.7006246066061081E-4</v>
      </c>
      <c r="N422">
        <v>7.2485968967608019E-2</v>
      </c>
      <c r="O422">
        <v>8.8537635406939052E-3</v>
      </c>
      <c r="P422">
        <v>1.2928770177273457E-2</v>
      </c>
      <c r="Q422">
        <v>3.0530248090142949E-3</v>
      </c>
      <c r="R422">
        <v>6.5896059868862926E-4</v>
      </c>
      <c r="S422">
        <v>8.8967777450022101E-2</v>
      </c>
      <c r="T422">
        <v>0.81372303236895205</v>
      </c>
      <c r="U422">
        <v>1.6928377946285007E-2</v>
      </c>
      <c r="V422">
        <v>1.0413236829472785E-2</v>
      </c>
      <c r="W422">
        <v>4.2561591046032209E-2</v>
      </c>
      <c r="X422">
        <v>1.0372744173012797E-2</v>
      </c>
      <c r="Y422">
        <v>1.7934735233274715E-3</v>
      </c>
    </row>
    <row r="423" spans="1:25">
      <c r="A423" s="876"/>
      <c r="B423" s="1202">
        <v>173</v>
      </c>
      <c r="C423" s="880">
        <v>0.99110258460737488</v>
      </c>
      <c r="D423" s="880">
        <v>1.0101589611715815</v>
      </c>
      <c r="E423" s="880">
        <v>1.0270535253882782</v>
      </c>
      <c r="F423" s="880">
        <v>0.99687383767654036</v>
      </c>
      <c r="G423" s="880">
        <v>0.99030705750681747</v>
      </c>
      <c r="H423" s="880">
        <v>0.95786129350312499</v>
      </c>
      <c r="I423" s="880">
        <v>1.0424553023779388</v>
      </c>
      <c r="K423">
        <v>1.0733159474187373</v>
      </c>
      <c r="L423">
        <v>0</v>
      </c>
      <c r="M423">
        <v>6.2655377341236298E-4</v>
      </c>
      <c r="N423">
        <v>6.7857570801565362E-2</v>
      </c>
      <c r="O423">
        <v>8.8187881880891217E-3</v>
      </c>
      <c r="P423">
        <v>1.2921510342299328E-2</v>
      </c>
      <c r="Q423">
        <v>3.0482086322197212E-3</v>
      </c>
      <c r="R423">
        <v>6.1549440111593405E-4</v>
      </c>
      <c r="S423">
        <v>8.7877264247981965E-2</v>
      </c>
      <c r="T423">
        <v>0.81366503638211529</v>
      </c>
      <c r="U423">
        <v>1.706244048657337E-2</v>
      </c>
      <c r="V423">
        <v>1.0414007512667679E-2</v>
      </c>
      <c r="W423">
        <v>3.9824496133500302E-2</v>
      </c>
      <c r="X423">
        <v>1.0162511201858704E-2</v>
      </c>
      <c r="Y423">
        <v>1.6751728621627743E-3</v>
      </c>
    </row>
    <row r="424" spans="1:25">
      <c r="A424" s="876"/>
      <c r="B424" s="1202">
        <v>174</v>
      </c>
      <c r="C424" s="880">
        <v>1.0407052411700275</v>
      </c>
      <c r="D424" s="880">
        <v>1.0446687920397963</v>
      </c>
      <c r="E424" s="880">
        <v>1.0283993062503363</v>
      </c>
      <c r="F424" s="880">
        <v>1.0090531881267297</v>
      </c>
      <c r="G424" s="880">
        <v>0.99063095445364802</v>
      </c>
      <c r="H424" s="880">
        <v>1.0009584796910902</v>
      </c>
      <c r="I424" s="880">
        <v>0.98889257397209052</v>
      </c>
      <c r="K424">
        <v>1.0606289614951869</v>
      </c>
      <c r="L424">
        <v>0</v>
      </c>
      <c r="M424">
        <v>6.1078021237017191E-4</v>
      </c>
      <c r="N424">
        <v>6.6474820053400469E-2</v>
      </c>
      <c r="O424">
        <v>8.2497327449220417E-3</v>
      </c>
      <c r="P424">
        <v>1.2804654053023046E-2</v>
      </c>
      <c r="Q424">
        <v>2.8624062160828574E-3</v>
      </c>
      <c r="R424">
        <v>6.0043826206579822E-4</v>
      </c>
      <c r="S424">
        <v>7.9507639598636118E-2</v>
      </c>
      <c r="T424">
        <v>0.81355765510666589</v>
      </c>
      <c r="U424">
        <v>1.6249201211805529E-2</v>
      </c>
      <c r="V424">
        <v>1.0409332456972405E-2</v>
      </c>
      <c r="W424">
        <v>3.8977759812778061E-2</v>
      </c>
      <c r="X424">
        <v>9.9119071762813916E-3</v>
      </c>
      <c r="Y424">
        <v>1.6341950149232089E-3</v>
      </c>
    </row>
    <row r="425" spans="1:25">
      <c r="A425" s="876"/>
      <c r="B425" s="1202">
        <v>175</v>
      </c>
      <c r="C425" s="880">
        <v>0.96326460084173693</v>
      </c>
      <c r="D425" s="880">
        <v>1.0225245312954352</v>
      </c>
      <c r="E425" s="880">
        <v>1.0244147474349001</v>
      </c>
      <c r="F425" s="880">
        <v>1.0276312985096028</v>
      </c>
      <c r="G425" s="880">
        <v>1.0245049985603041</v>
      </c>
      <c r="H425" s="880">
        <v>1.0068549742970607</v>
      </c>
      <c r="I425" s="880">
        <v>1.0147463103758536</v>
      </c>
      <c r="K425">
        <v>1.0839986146595277</v>
      </c>
      <c r="L425">
        <v>0</v>
      </c>
      <c r="M425">
        <v>6.7703589400813042E-4</v>
      </c>
      <c r="N425">
        <v>7.2789050320796606E-2</v>
      </c>
      <c r="O425">
        <v>9.0150568255897897E-3</v>
      </c>
      <c r="P425">
        <v>1.2926330502884737E-2</v>
      </c>
      <c r="Q425">
        <v>3.1107165928157504E-3</v>
      </c>
      <c r="R425">
        <v>6.6565687544183278E-4</v>
      </c>
      <c r="S425">
        <v>8.9307025064530934E-2</v>
      </c>
      <c r="T425">
        <v>0.81387576666209516</v>
      </c>
      <c r="U425">
        <v>1.7555538583246235E-2</v>
      </c>
      <c r="V425">
        <v>1.0416842177859969E-2</v>
      </c>
      <c r="W425">
        <v>4.2794530350084813E-2</v>
      </c>
      <c r="X425">
        <v>1.0407438016966031E-2</v>
      </c>
      <c r="Y425">
        <v>1.8116985812226536E-3</v>
      </c>
    </row>
    <row r="426" spans="1:25">
      <c r="A426" s="876"/>
      <c r="B426" s="1202">
        <v>176</v>
      </c>
      <c r="C426" s="880">
        <v>1.0066169424246743</v>
      </c>
      <c r="D426" s="880">
        <v>0.99027367304773772</v>
      </c>
      <c r="E426" s="880">
        <v>1.034611064808125</v>
      </c>
      <c r="F426" s="880">
        <v>0.99183942693306426</v>
      </c>
      <c r="G426" s="880">
        <v>1.0133169645603399</v>
      </c>
      <c r="H426" s="880">
        <v>0.99940659372750451</v>
      </c>
      <c r="I426" s="880">
        <v>0.9729734149534125</v>
      </c>
      <c r="K426">
        <v>1.0726283807540975</v>
      </c>
      <c r="L426">
        <v>0</v>
      </c>
      <c r="M426">
        <v>6.4017901106844081E-4</v>
      </c>
      <c r="N426">
        <v>7.1033722830014759E-2</v>
      </c>
      <c r="O426">
        <v>8.775415792528201E-3</v>
      </c>
      <c r="P426">
        <v>1.2912292464128138E-2</v>
      </c>
      <c r="Q426">
        <v>3.0514216569779936E-3</v>
      </c>
      <c r="R426">
        <v>6.2936467155527015E-4</v>
      </c>
      <c r="S426">
        <v>8.3001919218161704E-2</v>
      </c>
      <c r="T426">
        <v>0.81306281370755917</v>
      </c>
      <c r="U426">
        <v>1.6799467755052023E-2</v>
      </c>
      <c r="V426">
        <v>1.0412495765505002E-2</v>
      </c>
      <c r="W426">
        <v>4.1478053652072563E-2</v>
      </c>
      <c r="X426">
        <v>1.0398669085645806E-2</v>
      </c>
      <c r="Y426">
        <v>1.7129231659652262E-3</v>
      </c>
    </row>
    <row r="427" spans="1:25">
      <c r="A427" s="876"/>
      <c r="B427" s="1202">
        <v>177</v>
      </c>
      <c r="C427" s="880">
        <v>1.006653547002661</v>
      </c>
      <c r="D427" s="880">
        <v>1.0055259725297701</v>
      </c>
      <c r="E427" s="880">
        <v>1.0116881156541768</v>
      </c>
      <c r="F427" s="880">
        <v>1.0270480657745895</v>
      </c>
      <c r="G427" s="880">
        <v>1.0435614541683458</v>
      </c>
      <c r="H427" s="880">
        <v>0.99606769640442805</v>
      </c>
      <c r="I427" s="880">
        <v>0.97820895572988342</v>
      </c>
      <c r="K427">
        <v>1.07016612332544</v>
      </c>
      <c r="L427">
        <v>0</v>
      </c>
      <c r="M427">
        <v>6.6426164362601184E-4</v>
      </c>
      <c r="N427">
        <v>6.8635661613848362E-2</v>
      </c>
      <c r="O427">
        <v>8.7038486419565679E-3</v>
      </c>
      <c r="P427">
        <v>1.2718543385235714E-2</v>
      </c>
      <c r="Q427">
        <v>2.9618436785285793E-3</v>
      </c>
      <c r="R427">
        <v>6.5299021478378927E-4</v>
      </c>
      <c r="S427">
        <v>8.2696803562989599E-2</v>
      </c>
      <c r="T427">
        <v>0.81489543719328772</v>
      </c>
      <c r="U427">
        <v>1.6798856882096393E-2</v>
      </c>
      <c r="V427">
        <v>1.0412492253789376E-2</v>
      </c>
      <c r="W427">
        <v>4.070114942824074E-2</v>
      </c>
      <c r="X427">
        <v>9.8755340078324292E-3</v>
      </c>
      <c r="Y427">
        <v>1.7772241064750228E-3</v>
      </c>
    </row>
    <row r="428" spans="1:25">
      <c r="A428" s="876"/>
      <c r="B428" s="1202">
        <v>178</v>
      </c>
      <c r="C428" s="880">
        <v>1.0040216461909977</v>
      </c>
      <c r="D428" s="880">
        <v>1.0100245682722215</v>
      </c>
      <c r="E428" s="880">
        <v>1.0028047204077892</v>
      </c>
      <c r="F428" s="880">
        <v>1.0221995856733368</v>
      </c>
      <c r="G428" s="880">
        <v>1.0354916819616684</v>
      </c>
      <c r="H428" s="880">
        <v>1.001790235162989</v>
      </c>
      <c r="I428" s="880">
        <v>1.0305349428089765</v>
      </c>
      <c r="K428">
        <v>1.0754056774411187</v>
      </c>
      <c r="L428">
        <v>0</v>
      </c>
      <c r="M428">
        <v>6.8087473598180744E-4</v>
      </c>
      <c r="N428">
        <v>6.8441890321556731E-2</v>
      </c>
      <c r="O428">
        <v>8.7059311578563114E-3</v>
      </c>
      <c r="P428">
        <v>1.2709187708825341E-2</v>
      </c>
      <c r="Q428">
        <v>2.9372969606605596E-3</v>
      </c>
      <c r="R428">
        <v>6.6938365319144327E-4</v>
      </c>
      <c r="S428">
        <v>8.7363846228190378E-2</v>
      </c>
      <c r="T428">
        <v>0.81561045248714825</v>
      </c>
      <c r="U428">
        <v>1.6842892710637245E-2</v>
      </c>
      <c r="V428">
        <v>1.0412745401857087E-2</v>
      </c>
      <c r="W428">
        <v>4.0832441620728341E-2</v>
      </c>
      <c r="X428">
        <v>9.7386422847240538E-3</v>
      </c>
      <c r="Y428">
        <v>1.8218416417251386E-3</v>
      </c>
    </row>
    <row r="429" spans="1:25">
      <c r="A429" s="876"/>
      <c r="B429" s="1202">
        <v>179</v>
      </c>
      <c r="C429" s="880">
        <v>1.0389591819858013</v>
      </c>
      <c r="D429" s="880">
        <v>0.95541829018663615</v>
      </c>
      <c r="E429" s="880">
        <v>0.99529112616612914</v>
      </c>
      <c r="F429" s="880">
        <v>1.0062109422716856</v>
      </c>
      <c r="G429" s="880">
        <v>1.0008413643636538</v>
      </c>
      <c r="H429" s="880">
        <v>1.0082837667162194</v>
      </c>
      <c r="I429" s="880">
        <v>1.0280918458120798</v>
      </c>
      <c r="K429">
        <v>1.0742231425624467</v>
      </c>
      <c r="L429">
        <v>0</v>
      </c>
      <c r="M429">
        <v>6.9303022673760555E-4</v>
      </c>
      <c r="N429">
        <v>6.8066393690288413E-2</v>
      </c>
      <c r="O429">
        <v>8.6667043812366108E-3</v>
      </c>
      <c r="P429">
        <v>1.2631257712751512E-2</v>
      </c>
      <c r="Q429">
        <v>2.8899345043568872E-3</v>
      </c>
      <c r="R429">
        <v>6.8145701976781011E-4</v>
      </c>
      <c r="S429">
        <v>8.683067463870231E-2</v>
      </c>
      <c r="T429">
        <v>0.8162173081650731</v>
      </c>
      <c r="U429">
        <v>1.627650937511373E-2</v>
      </c>
      <c r="V429">
        <v>1.0409489442976849E-2</v>
      </c>
      <c r="W429">
        <v>4.0817870073598009E-2</v>
      </c>
      <c r="X429">
        <v>9.5738724197566433E-3</v>
      </c>
      <c r="Y429">
        <v>1.8547013655617866E-3</v>
      </c>
    </row>
    <row r="430" spans="1:25">
      <c r="A430" s="876"/>
      <c r="B430" s="1202">
        <v>180</v>
      </c>
      <c r="C430" s="880">
        <v>0.98327331803914586</v>
      </c>
      <c r="D430" s="880">
        <v>0.98620642750451393</v>
      </c>
      <c r="E430" s="880">
        <v>1.0092910900707965</v>
      </c>
      <c r="F430" s="880">
        <v>1.0151288672016707</v>
      </c>
      <c r="G430" s="880">
        <v>0.98332972665363838</v>
      </c>
      <c r="H430" s="880">
        <v>0.95894067065650401</v>
      </c>
      <c r="I430" s="880">
        <v>1.0017834996155928</v>
      </c>
      <c r="K430">
        <v>1.0739946422841642</v>
      </c>
      <c r="L430">
        <v>0</v>
      </c>
      <c r="M430">
        <v>6.6485638986986059E-4</v>
      </c>
      <c r="N430">
        <v>6.8143286193181343E-2</v>
      </c>
      <c r="O430">
        <v>9.0035115462732997E-3</v>
      </c>
      <c r="P430">
        <v>1.2752085837741458E-2</v>
      </c>
      <c r="Q430">
        <v>3.0520519928019202E-3</v>
      </c>
      <c r="R430">
        <v>6.5315479746032756E-4</v>
      </c>
      <c r="S430">
        <v>8.6183285401507423E-2</v>
      </c>
      <c r="T430">
        <v>0.81508810678369237</v>
      </c>
      <c r="U430">
        <v>1.7198299349437979E-2</v>
      </c>
      <c r="V430">
        <v>1.0414788522353613E-2</v>
      </c>
      <c r="W430">
        <v>4.0475016813301845E-2</v>
      </c>
      <c r="X430">
        <v>9.9182393900168492E-3</v>
      </c>
      <c r="Y430">
        <v>1.7776720462658944E-3</v>
      </c>
    </row>
    <row r="431" spans="1:25">
      <c r="A431" s="876"/>
      <c r="B431" s="1202">
        <v>181</v>
      </c>
      <c r="C431" s="880">
        <v>1.0476236988239904</v>
      </c>
      <c r="D431" s="880">
        <v>0.97006823701550271</v>
      </c>
      <c r="E431" s="880">
        <v>1.0210361833794348</v>
      </c>
      <c r="F431" s="880">
        <v>0.99880150902734233</v>
      </c>
      <c r="G431" s="880">
        <v>0.9696037697718275</v>
      </c>
      <c r="H431" s="880">
        <v>0.95236333093895909</v>
      </c>
      <c r="I431" s="880">
        <v>0.97134173749448505</v>
      </c>
      <c r="K431">
        <v>1.0581720836127699</v>
      </c>
      <c r="L431">
        <v>0</v>
      </c>
      <c r="M431">
        <v>6.0990317635880036E-4</v>
      </c>
      <c r="N431">
        <v>6.4828116441997596E-2</v>
      </c>
      <c r="O431">
        <v>8.5253085337853914E-3</v>
      </c>
      <c r="P431">
        <v>1.2733601584932759E-2</v>
      </c>
      <c r="Q431">
        <v>2.9203457071121436E-3</v>
      </c>
      <c r="R431">
        <v>5.9910784786472437E-4</v>
      </c>
      <c r="S431">
        <v>7.8857946917119379E-2</v>
      </c>
      <c r="T431">
        <v>0.81414592231425498</v>
      </c>
      <c r="U431">
        <v>1.6141892250944114E-2</v>
      </c>
      <c r="V431">
        <v>1.04087155716544E-2</v>
      </c>
      <c r="W431">
        <v>3.8200921600329063E-2</v>
      </c>
      <c r="X431">
        <v>9.7895339530946462E-3</v>
      </c>
      <c r="Y431">
        <v>1.6305740660388095E-3</v>
      </c>
    </row>
    <row r="432" spans="1:25">
      <c r="A432" s="876"/>
      <c r="B432" s="1202">
        <v>182</v>
      </c>
      <c r="C432" s="880">
        <v>1.0234720692443529</v>
      </c>
      <c r="D432" s="880">
        <v>1.0253957176445334</v>
      </c>
      <c r="E432" s="880">
        <v>1.0084553529055964</v>
      </c>
      <c r="F432" s="880">
        <v>0.97271610301973932</v>
      </c>
      <c r="G432" s="880">
        <v>1.0219734505194187</v>
      </c>
      <c r="H432" s="880">
        <v>0.99937369635294326</v>
      </c>
      <c r="I432" s="880">
        <v>1.0224737045821823</v>
      </c>
      <c r="K432">
        <v>1.0684088553812892</v>
      </c>
      <c r="L432">
        <v>0</v>
      </c>
      <c r="M432">
        <v>6.5317410205831651E-4</v>
      </c>
      <c r="N432">
        <v>6.6817324008255186E-2</v>
      </c>
      <c r="O432">
        <v>8.472081841905385E-3</v>
      </c>
      <c r="P432">
        <v>1.2710082015185128E-2</v>
      </c>
      <c r="Q432">
        <v>2.8778495383567221E-3</v>
      </c>
      <c r="R432">
        <v>6.4211169645236562E-4</v>
      </c>
      <c r="S432">
        <v>8.4311860009326042E-2</v>
      </c>
      <c r="T432">
        <v>0.81515532815736258</v>
      </c>
      <c r="U432">
        <v>1.6522804455658284E-2</v>
      </c>
      <c r="V432">
        <v>1.0410905315592389E-2</v>
      </c>
      <c r="W432">
        <v>3.9709997534491281E-2</v>
      </c>
      <c r="X432">
        <v>9.6840685450809098E-3</v>
      </c>
      <c r="Y432">
        <v>1.7476163656794921E-3</v>
      </c>
    </row>
    <row r="433" spans="1:25">
      <c r="A433" s="876"/>
      <c r="B433" s="1202">
        <v>183</v>
      </c>
      <c r="C433" s="880">
        <v>0.99644349413675326</v>
      </c>
      <c r="D433" s="880">
        <v>0.99739987541882746</v>
      </c>
      <c r="E433" s="880">
        <v>0.99517102754124542</v>
      </c>
      <c r="F433" s="880">
        <v>0.97019990242875787</v>
      </c>
      <c r="G433" s="880">
        <v>1.0129930459724403</v>
      </c>
      <c r="H433" s="880">
        <v>0.99368146657920597</v>
      </c>
      <c r="I433" s="880">
        <v>0.99417071743292029</v>
      </c>
      <c r="K433">
        <v>1.0739651332640758</v>
      </c>
      <c r="L433">
        <v>0</v>
      </c>
      <c r="M433">
        <v>6.9616756699373661E-4</v>
      </c>
      <c r="N433">
        <v>6.8328155853321179E-2</v>
      </c>
      <c r="O433">
        <v>8.8311578407704872E-3</v>
      </c>
      <c r="P433">
        <v>1.2617111549300543E-2</v>
      </c>
      <c r="Q433">
        <v>2.9539871762613722E-3</v>
      </c>
      <c r="R433">
        <v>6.843334283641835E-4</v>
      </c>
      <c r="S433">
        <v>8.5165913334463827E-2</v>
      </c>
      <c r="T433">
        <v>0.81622702382226087</v>
      </c>
      <c r="U433">
        <v>1.6970986278155718E-2</v>
      </c>
      <c r="V433">
        <v>1.041348177131309E-2</v>
      </c>
      <c r="W433">
        <v>4.0978221439235983E-2</v>
      </c>
      <c r="X433">
        <v>9.6283983360684246E-3</v>
      </c>
      <c r="Y433">
        <v>1.8625300015532762E-3</v>
      </c>
    </row>
    <row r="434" spans="1:25">
      <c r="A434" s="876"/>
      <c r="B434" s="1202">
        <v>184</v>
      </c>
      <c r="C434" s="880">
        <v>1.0152371318699398</v>
      </c>
      <c r="D434" s="880">
        <v>0.95290310315335891</v>
      </c>
      <c r="E434" s="880">
        <v>1.02239908341399</v>
      </c>
      <c r="F434" s="880">
        <v>0.98143010586839108</v>
      </c>
      <c r="G434" s="880">
        <v>0.95760729894925756</v>
      </c>
      <c r="H434" s="880">
        <v>1.0141227612980772</v>
      </c>
      <c r="I434" s="880">
        <v>1.0214792888804163</v>
      </c>
      <c r="K434">
        <v>1.0811583425988911</v>
      </c>
      <c r="L434">
        <v>0</v>
      </c>
      <c r="M434">
        <v>6.7464656446868066E-4</v>
      </c>
      <c r="N434">
        <v>7.2094713845573505E-2</v>
      </c>
      <c r="O434">
        <v>8.8817431914335609E-3</v>
      </c>
      <c r="P434">
        <v>1.2887449495615913E-2</v>
      </c>
      <c r="Q434">
        <v>3.0424344409732441E-3</v>
      </c>
      <c r="R434">
        <v>6.634474336899267E-4</v>
      </c>
      <c r="S434">
        <v>8.8620203144049128E-2</v>
      </c>
      <c r="T434">
        <v>0.81403689569312565</v>
      </c>
      <c r="U434">
        <v>1.6656826602475756E-2</v>
      </c>
      <c r="V434">
        <v>1.0411675766577991E-2</v>
      </c>
      <c r="W434">
        <v>4.2443865932736406E-2</v>
      </c>
      <c r="X434">
        <v>1.0288048407990838E-2</v>
      </c>
      <c r="Y434">
        <v>1.8056852091162426E-3</v>
      </c>
    </row>
    <row r="435" spans="1:25">
      <c r="A435" s="876"/>
      <c r="B435" s="1202">
        <v>185</v>
      </c>
      <c r="C435" s="880">
        <v>1.0010658753933523</v>
      </c>
      <c r="D435" s="880">
        <v>1.0026732436660488</v>
      </c>
      <c r="E435" s="880">
        <v>0.96952743586353751</v>
      </c>
      <c r="F435" s="880">
        <v>1.0188643537709412</v>
      </c>
      <c r="G435" s="880">
        <v>1.0343332776405192</v>
      </c>
      <c r="H435" s="880">
        <v>0.98635403699575419</v>
      </c>
      <c r="I435" s="880">
        <v>0.97002897524010956</v>
      </c>
      <c r="K435">
        <v>1.0684479533954729</v>
      </c>
      <c r="L435">
        <v>0</v>
      </c>
      <c r="M435">
        <v>7.2386845745781915E-4</v>
      </c>
      <c r="N435">
        <v>6.5583324458248132E-2</v>
      </c>
      <c r="O435">
        <v>8.765696412013628E-3</v>
      </c>
      <c r="P435">
        <v>1.2361716798560473E-2</v>
      </c>
      <c r="Q435">
        <v>2.857877311460926E-3</v>
      </c>
      <c r="R435">
        <v>7.1146721954329156E-4</v>
      </c>
      <c r="S435">
        <v>8.2243663525770005E-2</v>
      </c>
      <c r="T435">
        <v>0.8183127145678557</v>
      </c>
      <c r="U435">
        <v>1.6892623434304609E-2</v>
      </c>
      <c r="V435">
        <v>1.0413031288077964E-2</v>
      </c>
      <c r="W435">
        <v>4.0037044609509999E-2</v>
      </c>
      <c r="X435">
        <v>9.0562829910935828E-3</v>
      </c>
      <c r="Y435">
        <v>1.9363792364909501E-3</v>
      </c>
    </row>
    <row r="436" spans="1:25">
      <c r="A436" s="876"/>
      <c r="B436" s="1202">
        <v>186</v>
      </c>
      <c r="C436" s="880">
        <v>0.99780123005318755</v>
      </c>
      <c r="D436" s="880">
        <v>1.0042874664481778</v>
      </c>
      <c r="E436" s="880">
        <v>0.97870940026617281</v>
      </c>
      <c r="F436" s="880">
        <v>1.0033128032088139</v>
      </c>
      <c r="G436" s="880">
        <v>0.98749372800698976</v>
      </c>
      <c r="H436" s="880">
        <v>0.96899484124407531</v>
      </c>
      <c r="I436" s="880">
        <v>1.0086833719898864</v>
      </c>
      <c r="K436">
        <v>1.0699649111011751</v>
      </c>
      <c r="L436">
        <v>0</v>
      </c>
      <c r="M436">
        <v>6.9924891583420163E-4</v>
      </c>
      <c r="N436">
        <v>6.5171687740970957E-2</v>
      </c>
      <c r="O436">
        <v>8.7868380405773331E-3</v>
      </c>
      <c r="P436">
        <v>1.2477942195170432E-2</v>
      </c>
      <c r="Q436">
        <v>2.8920663170035935E-3</v>
      </c>
      <c r="R436">
        <v>6.8705341132751954E-4</v>
      </c>
      <c r="S436">
        <v>8.5106101507217882E-2</v>
      </c>
      <c r="T436">
        <v>0.81756335295962712</v>
      </c>
      <c r="U436">
        <v>1.6947893384588186E-2</v>
      </c>
      <c r="V436">
        <v>1.041334901756282E-2</v>
      </c>
      <c r="W436">
        <v>3.9532026385914812E-2</v>
      </c>
      <c r="X436">
        <v>9.2159161585108514E-3</v>
      </c>
      <c r="Y436">
        <v>1.8699328985373337E-3</v>
      </c>
    </row>
    <row r="437" spans="1:25">
      <c r="A437" s="876"/>
      <c r="B437" s="1202">
        <v>187</v>
      </c>
      <c r="C437" s="880">
        <v>1.0013779366502722</v>
      </c>
      <c r="D437" s="880">
        <v>0.96529476279564319</v>
      </c>
      <c r="E437" s="880">
        <v>0.97024598772055082</v>
      </c>
      <c r="F437" s="880">
        <v>1.0060328354409758</v>
      </c>
      <c r="G437" s="880">
        <v>1.012626013945225</v>
      </c>
      <c r="H437" s="880">
        <v>1.0108886179779395</v>
      </c>
      <c r="I437" s="880">
        <v>0.97790315092378965</v>
      </c>
      <c r="K437">
        <v>1.0769454640882763</v>
      </c>
      <c r="L437">
        <v>0</v>
      </c>
      <c r="M437">
        <v>7.5566992057325764E-4</v>
      </c>
      <c r="N437">
        <v>6.8650442949399038E-2</v>
      </c>
      <c r="O437">
        <v>8.9425922999700064E-3</v>
      </c>
      <c r="P437">
        <v>1.240905792364775E-2</v>
      </c>
      <c r="Q437">
        <v>2.9093667712084812E-3</v>
      </c>
      <c r="R437">
        <v>7.4307350733582691E-4</v>
      </c>
      <c r="S437">
        <v>8.5344179124042921E-2</v>
      </c>
      <c r="T437">
        <v>0.81825396917033433</v>
      </c>
      <c r="U437">
        <v>1.6887359154846605E-2</v>
      </c>
      <c r="V437">
        <v>1.0413001025398284E-2</v>
      </c>
      <c r="W437">
        <v>4.1888407078420738E-2</v>
      </c>
      <c r="X437">
        <v>9.2372838713931232E-3</v>
      </c>
      <c r="Y437">
        <v>2.0224011328522605E-3</v>
      </c>
    </row>
    <row r="438" spans="1:25">
      <c r="A438" s="876"/>
      <c r="B438" s="1202">
        <v>188</v>
      </c>
      <c r="C438" s="880">
        <v>1.0108639785601139</v>
      </c>
      <c r="D438" s="880">
        <v>1.0011333352549521</v>
      </c>
      <c r="E438" s="880">
        <v>0.97879059230688725</v>
      </c>
      <c r="F438" s="880">
        <v>1.0225209455113702</v>
      </c>
      <c r="G438" s="880">
        <v>1.0213069290156138</v>
      </c>
      <c r="H438" s="880">
        <v>1.0100896735844329</v>
      </c>
      <c r="I438" s="880">
        <v>1.0188266733039664</v>
      </c>
      <c r="K438">
        <v>1.0743869761753466</v>
      </c>
      <c r="L438">
        <v>0</v>
      </c>
      <c r="M438">
        <v>7.2056666833422755E-4</v>
      </c>
      <c r="N438">
        <v>6.7224322446411591E-2</v>
      </c>
      <c r="O438">
        <v>8.6878488168518481E-3</v>
      </c>
      <c r="P438">
        <v>1.2493905165048004E-2</v>
      </c>
      <c r="Q438">
        <v>2.8590505127234836E-3</v>
      </c>
      <c r="R438">
        <v>7.0851343740373836E-4</v>
      </c>
      <c r="S438">
        <v>8.6463986490462913E-2</v>
      </c>
      <c r="T438">
        <v>0.81755673939689422</v>
      </c>
      <c r="U438">
        <v>1.6728886600589025E-2</v>
      </c>
      <c r="V438">
        <v>1.0412090016743994E-2</v>
      </c>
      <c r="W438">
        <v>4.0774820072961855E-2</v>
      </c>
      <c r="X438">
        <v>9.2690398723679259E-3</v>
      </c>
      <c r="Y438">
        <v>1.9283400152211073E-3</v>
      </c>
    </row>
    <row r="439" spans="1:25">
      <c r="A439" s="876"/>
      <c r="B439" s="1202">
        <v>189</v>
      </c>
      <c r="C439" s="880">
        <v>1.0182910996957901</v>
      </c>
      <c r="D439" s="880">
        <v>0.99603805393126554</v>
      </c>
      <c r="E439" s="880">
        <v>1.029134492384238</v>
      </c>
      <c r="F439" s="880">
        <v>0.96974525041355486</v>
      </c>
      <c r="G439" s="880">
        <v>0.97787611503996585</v>
      </c>
      <c r="H439" s="880">
        <v>0.99400013862465975</v>
      </c>
      <c r="I439" s="880">
        <v>1.0347180742333619</v>
      </c>
      <c r="K439">
        <v>1.0735941013893671</v>
      </c>
      <c r="L439">
        <v>0</v>
      </c>
      <c r="M439">
        <v>6.3478856054105753E-4</v>
      </c>
      <c r="N439">
        <v>6.9241466804140395E-2</v>
      </c>
      <c r="O439">
        <v>8.6479845237128778E-3</v>
      </c>
      <c r="P439">
        <v>1.2917505030549331E-2</v>
      </c>
      <c r="Q439">
        <v>2.992189642267328E-3</v>
      </c>
      <c r="R439">
        <v>6.2400234562387362E-4</v>
      </c>
      <c r="S439">
        <v>8.6808305901910437E-2</v>
      </c>
      <c r="T439">
        <v>0.81349901993856943</v>
      </c>
      <c r="U439">
        <v>1.660687093406232E-2</v>
      </c>
      <c r="V439">
        <v>1.0411388587220839E-2</v>
      </c>
      <c r="W439">
        <v>4.0579979366620875E-2</v>
      </c>
      <c r="X439">
        <v>1.0201848192759402E-2</v>
      </c>
      <c r="Y439">
        <v>1.6983286824702325E-3</v>
      </c>
    </row>
    <row r="440" spans="1:25">
      <c r="A440" s="876"/>
      <c r="B440" s="1202">
        <v>190</v>
      </c>
      <c r="C440" s="880">
        <v>0.99588922216983233</v>
      </c>
      <c r="D440" s="880">
        <v>1.015449485775114</v>
      </c>
      <c r="E440" s="880">
        <v>1.016587774120252</v>
      </c>
      <c r="F440" s="880">
        <v>0.97909672168895945</v>
      </c>
      <c r="G440" s="880">
        <v>1.0438738399415437</v>
      </c>
      <c r="H440" s="880">
        <v>1.0072401327998777</v>
      </c>
      <c r="I440" s="880">
        <v>1.0050469292791846</v>
      </c>
      <c r="K440">
        <v>1.0757505994454191</v>
      </c>
      <c r="L440">
        <v>0</v>
      </c>
      <c r="M440">
        <v>6.6848957748090704E-4</v>
      </c>
      <c r="N440">
        <v>7.0144932454875408E-2</v>
      </c>
      <c r="O440">
        <v>8.7520175757608218E-3</v>
      </c>
      <c r="P440">
        <v>1.2805455716564957E-2</v>
      </c>
      <c r="Q440">
        <v>2.9950107463836448E-3</v>
      </c>
      <c r="R440">
        <v>6.5726417208263792E-4</v>
      </c>
      <c r="S440">
        <v>8.5865337103155803E-2</v>
      </c>
      <c r="T440">
        <v>0.81450221815749657</v>
      </c>
      <c r="U440">
        <v>1.6980431647917332E-2</v>
      </c>
      <c r="V440">
        <v>1.0413536069760148E-2</v>
      </c>
      <c r="W440">
        <v>4.1458294489997591E-2</v>
      </c>
      <c r="X440">
        <v>1.0055734479571098E-2</v>
      </c>
      <c r="Y440">
        <v>1.7888564093328436E-3</v>
      </c>
    </row>
    <row r="441" spans="1:25">
      <c r="A441" s="876"/>
      <c r="B441" s="1202">
        <v>191</v>
      </c>
      <c r="C441" s="880">
        <v>1.0005222372679352</v>
      </c>
      <c r="D441" s="880">
        <v>0.96509032962706121</v>
      </c>
      <c r="E441" s="880">
        <v>0.98314881205234572</v>
      </c>
      <c r="F441" s="880">
        <v>0.99995028272178876</v>
      </c>
      <c r="G441" s="880">
        <v>0.98205321017154323</v>
      </c>
      <c r="H441" s="880">
        <v>1.0259765894461437</v>
      </c>
      <c r="I441" s="880">
        <v>0.9966025371341326</v>
      </c>
      <c r="K441">
        <v>1.0815396444281711</v>
      </c>
      <c r="L441">
        <v>0</v>
      </c>
      <c r="M441">
        <v>7.4718650551000066E-4</v>
      </c>
      <c r="N441">
        <v>7.0682555389272705E-2</v>
      </c>
      <c r="O441">
        <v>8.9512548841311143E-3</v>
      </c>
      <c r="P441">
        <v>1.2548322414557405E-2</v>
      </c>
      <c r="Q441">
        <v>2.950652070619049E-3</v>
      </c>
      <c r="R441">
        <v>7.3491486058615912E-4</v>
      </c>
      <c r="S441">
        <v>8.7607352074341172E-2</v>
      </c>
      <c r="T441">
        <v>0.81720206443438592</v>
      </c>
      <c r="U441">
        <v>1.6901802114992679E-2</v>
      </c>
      <c r="V441">
        <v>1.0413084053413763E-2</v>
      </c>
      <c r="W441">
        <v>4.2743038661572037E-2</v>
      </c>
      <c r="X441">
        <v>9.5515939899114121E-3</v>
      </c>
      <c r="Y441">
        <v>2.0001959858968435E-3</v>
      </c>
    </row>
    <row r="442" spans="1:25">
      <c r="A442" s="876"/>
      <c r="B442" s="1202">
        <v>192</v>
      </c>
      <c r="C442" s="880">
        <v>0.97991651894640475</v>
      </c>
      <c r="D442" s="880">
        <v>1.0288891349192737</v>
      </c>
      <c r="E442" s="880">
        <v>1.0040819726533665</v>
      </c>
      <c r="F442" s="880">
        <v>1.0164278834680005</v>
      </c>
      <c r="G442" s="880">
        <v>0.99413460593760794</v>
      </c>
      <c r="H442" s="880">
        <v>1.0168791617176307</v>
      </c>
      <c r="I442" s="880">
        <v>0.99670967803355293</v>
      </c>
      <c r="K442">
        <v>1.0784500349777435</v>
      </c>
      <c r="L442">
        <v>0</v>
      </c>
      <c r="M442">
        <v>6.9932203273903625E-4</v>
      </c>
      <c r="N442">
        <v>7.059240904174359E-2</v>
      </c>
      <c r="O442">
        <v>8.8326573752862403E-3</v>
      </c>
      <c r="P442">
        <v>1.2711322395294601E-2</v>
      </c>
      <c r="Q442">
        <v>2.9879670999503538E-3</v>
      </c>
      <c r="R442">
        <v>6.8767906740258824E-4</v>
      </c>
      <c r="S442">
        <v>8.6322677785894433E-2</v>
      </c>
      <c r="T442">
        <v>0.81550748254431815</v>
      </c>
      <c r="U442">
        <v>1.7257213792185606E-2</v>
      </c>
      <c r="V442">
        <v>1.0415127202874422E-2</v>
      </c>
      <c r="W442">
        <v>4.2078739028114473E-2</v>
      </c>
      <c r="X442">
        <v>9.8844459492903481E-3</v>
      </c>
      <c r="Y442">
        <v>1.8716357281262006E-3</v>
      </c>
    </row>
    <row r="443" spans="1:25">
      <c r="A443" s="876"/>
      <c r="B443" s="1202">
        <v>193</v>
      </c>
      <c r="C443" s="880">
        <v>0.97583593549042968</v>
      </c>
      <c r="D443" s="880">
        <v>0.9997905191005394</v>
      </c>
      <c r="E443" s="880">
        <v>0.97063675748946598</v>
      </c>
      <c r="F443" s="880">
        <v>1.0215199486581783</v>
      </c>
      <c r="G443" s="880">
        <v>0.98664688399364575</v>
      </c>
      <c r="H443" s="880">
        <v>1.0052360939679816</v>
      </c>
      <c r="I443" s="880">
        <v>0.97941437521692998</v>
      </c>
      <c r="K443">
        <v>1.078334308179264</v>
      </c>
      <c r="L443">
        <v>0</v>
      </c>
      <c r="M443">
        <v>7.5619901684765905E-4</v>
      </c>
      <c r="N443">
        <v>6.8772655987552653E-2</v>
      </c>
      <c r="O443">
        <v>9.0061463740903572E-3</v>
      </c>
      <c r="P443">
        <v>1.2426857126980604E-2</v>
      </c>
      <c r="Q443">
        <v>2.9389703042762556E-3</v>
      </c>
      <c r="R443">
        <v>7.434899261024127E-4</v>
      </c>
      <c r="S443">
        <v>8.5986218843325496E-2</v>
      </c>
      <c r="T443">
        <v>0.81822202899982976</v>
      </c>
      <c r="U443">
        <v>1.7329377050921534E-2</v>
      </c>
      <c r="V443">
        <v>1.0415542046653134E-2</v>
      </c>
      <c r="W443">
        <v>4.1951524274494729E-2</v>
      </c>
      <c r="X443">
        <v>9.2741617744210234E-3</v>
      </c>
      <c r="Y443">
        <v>2.0235344874624975E-3</v>
      </c>
    </row>
    <row r="444" spans="1:25">
      <c r="A444" s="876"/>
      <c r="B444" s="1202">
        <v>194</v>
      </c>
      <c r="C444" s="880">
        <v>1.0039099458767509</v>
      </c>
      <c r="D444" s="880">
        <v>1.0037867294802625</v>
      </c>
      <c r="E444" s="880">
        <v>0.97481893239591844</v>
      </c>
      <c r="F444" s="880">
        <v>0.96263589628926305</v>
      </c>
      <c r="G444" s="880">
        <v>0.99949447205105713</v>
      </c>
      <c r="H444" s="880">
        <v>1.0025620554025665</v>
      </c>
      <c r="I444" s="880">
        <v>0.99238348169859325</v>
      </c>
      <c r="K444">
        <v>1.0721653662419639</v>
      </c>
      <c r="L444">
        <v>0</v>
      </c>
      <c r="M444">
        <v>7.2515571696265158E-4</v>
      </c>
      <c r="N444">
        <v>6.6811484137941843E-2</v>
      </c>
      <c r="O444">
        <v>8.7356928808699566E-3</v>
      </c>
      <c r="P444">
        <v>1.243471737032755E-2</v>
      </c>
      <c r="Q444">
        <v>2.8637587054707305E-3</v>
      </c>
      <c r="R444">
        <v>7.1293227345816919E-4</v>
      </c>
      <c r="S444">
        <v>8.4425983252470221E-2</v>
      </c>
      <c r="T444">
        <v>0.81788051536889539</v>
      </c>
      <c r="U444">
        <v>1.6844766739693675E-2</v>
      </c>
      <c r="V444">
        <v>1.0412756175058147E-2</v>
      </c>
      <c r="W444">
        <v>4.0636500355314208E-2</v>
      </c>
      <c r="X444">
        <v>9.1910480691347659E-3</v>
      </c>
      <c r="Y444">
        <v>1.9403666302923535E-3</v>
      </c>
    </row>
    <row r="445" spans="1:25">
      <c r="A445" s="876"/>
      <c r="B445" s="1202">
        <v>195</v>
      </c>
      <c r="C445" s="880">
        <v>0.98504184379314386</v>
      </c>
      <c r="D445" s="880">
        <v>1.0126863541668483</v>
      </c>
      <c r="E445" s="880">
        <v>0.96048511150983185</v>
      </c>
      <c r="F445" s="880">
        <v>0.98861009571495351</v>
      </c>
      <c r="G445" s="880">
        <v>0.9794492922932343</v>
      </c>
      <c r="H445" s="880">
        <v>1.0009654732072055</v>
      </c>
      <c r="I445" s="880">
        <v>0.98747992303483134</v>
      </c>
      <c r="K445">
        <v>1.0745092373853344</v>
      </c>
      <c r="L445">
        <v>0</v>
      </c>
      <c r="M445">
        <v>7.568048723636102E-4</v>
      </c>
      <c r="N445">
        <v>6.6676619477506832E-2</v>
      </c>
      <c r="O445">
        <v>8.8612450226528295E-3</v>
      </c>
      <c r="P445">
        <v>1.2328265766707083E-2</v>
      </c>
      <c r="Q445">
        <v>2.8644960494292608E-3</v>
      </c>
      <c r="R445">
        <v>7.4401933841017451E-4</v>
      </c>
      <c r="S445">
        <v>8.5185830755217393E-2</v>
      </c>
      <c r="T445">
        <v>0.81905346036034044</v>
      </c>
      <c r="U445">
        <v>1.7167421843557285E-2</v>
      </c>
      <c r="V445">
        <v>1.0414611017326242E-2</v>
      </c>
      <c r="W445">
        <v>4.0963399338709634E-2</v>
      </c>
      <c r="X445">
        <v>8.9816979145978769E-3</v>
      </c>
      <c r="Y445">
        <v>2.0249753732435047E-3</v>
      </c>
    </row>
    <row r="446" spans="1:25">
      <c r="A446" s="876"/>
      <c r="B446" s="1202">
        <v>196</v>
      </c>
      <c r="C446" s="880">
        <v>0.99698523337664113</v>
      </c>
      <c r="D446" s="880">
        <v>0.97797205854703984</v>
      </c>
      <c r="E446" s="880">
        <v>1.0035934358423568</v>
      </c>
      <c r="F446" s="880">
        <v>0.99525173726029936</v>
      </c>
      <c r="G446" s="880">
        <v>0.98586560813688251</v>
      </c>
      <c r="H446" s="880">
        <v>1.0194658341642073</v>
      </c>
      <c r="I446" s="880">
        <v>1.0365346727987477</v>
      </c>
      <c r="K446">
        <v>1.0840671449465062</v>
      </c>
      <c r="L446">
        <v>0</v>
      </c>
      <c r="M446">
        <v>7.086814886545262E-4</v>
      </c>
      <c r="N446">
        <v>7.1436124831831427E-2</v>
      </c>
      <c r="O446">
        <v>8.9195437409008687E-3</v>
      </c>
      <c r="P446">
        <v>1.2761591470183985E-2</v>
      </c>
      <c r="Q446">
        <v>3.0044854167586696E-3</v>
      </c>
      <c r="R446">
        <v>6.9695635540651963E-4</v>
      </c>
      <c r="S446">
        <v>9.0591614984460778E-2</v>
      </c>
      <c r="T446">
        <v>0.81554686101584295</v>
      </c>
      <c r="U446">
        <v>1.6961764627825636E-2</v>
      </c>
      <c r="V446">
        <v>1.0413428758958402E-2</v>
      </c>
      <c r="W446">
        <v>4.2595859686131485E-2</v>
      </c>
      <c r="X446">
        <v>9.9507100990422811E-3</v>
      </c>
      <c r="Y446">
        <v>1.8968854478157338E-3</v>
      </c>
    </row>
    <row r="447" spans="1:25">
      <c r="A447" s="876"/>
      <c r="B447" s="1202">
        <v>197</v>
      </c>
      <c r="C447" s="880">
        <v>0.98691513907810458</v>
      </c>
      <c r="D447" s="880">
        <v>1.0228729000944847</v>
      </c>
      <c r="E447" s="880">
        <v>0.99931896224209227</v>
      </c>
      <c r="F447" s="880">
        <v>1.0223443195323481</v>
      </c>
      <c r="G447" s="880">
        <v>0.98249199188474234</v>
      </c>
      <c r="H447" s="880">
        <v>1.0358399578635191</v>
      </c>
      <c r="I447" s="880">
        <v>0.96600844085210325</v>
      </c>
      <c r="K447">
        <v>1.0774615969051158</v>
      </c>
      <c r="L447">
        <v>0</v>
      </c>
      <c r="M447">
        <v>7.1666939675858808E-4</v>
      </c>
      <c r="N447">
        <v>7.1302149291402356E-2</v>
      </c>
      <c r="O447">
        <v>8.7974242653489389E-3</v>
      </c>
      <c r="P447">
        <v>1.2637699607362199E-2</v>
      </c>
      <c r="Q447">
        <v>2.9605644502200515E-3</v>
      </c>
      <c r="R447">
        <v>7.0496101191240698E-4</v>
      </c>
      <c r="S447">
        <v>8.3968489719129791E-2</v>
      </c>
      <c r="T447">
        <v>0.81589175065435671</v>
      </c>
      <c r="U447">
        <v>1.7134835809438399E-2</v>
      </c>
      <c r="V447">
        <v>1.0414423690509768E-2</v>
      </c>
      <c r="W447">
        <v>4.2640377694291236E-2</v>
      </c>
      <c r="X447">
        <v>9.8069186238117084E-3</v>
      </c>
      <c r="Y447">
        <v>1.9186714840904503E-3</v>
      </c>
    </row>
    <row r="448" spans="1:25">
      <c r="A448" s="876"/>
      <c r="B448" s="1202">
        <v>198</v>
      </c>
      <c r="C448" s="880">
        <v>1.0017563776154637</v>
      </c>
      <c r="D448" s="880">
        <v>0.98127423111695111</v>
      </c>
      <c r="E448" s="880">
        <v>1.0192133806781443</v>
      </c>
      <c r="F448" s="880">
        <v>0.99483923120089424</v>
      </c>
      <c r="G448" s="880">
        <v>1.0053815792833474</v>
      </c>
      <c r="H448" s="880">
        <v>1.0126667956964734</v>
      </c>
      <c r="I448" s="880">
        <v>1.0015064865169911</v>
      </c>
      <c r="K448">
        <v>1.0788715146196308</v>
      </c>
      <c r="L448">
        <v>0</v>
      </c>
      <c r="M448">
        <v>6.7667531250299642E-4</v>
      </c>
      <c r="N448">
        <v>7.159507261114384E-2</v>
      </c>
      <c r="O448">
        <v>8.8610877602929919E-3</v>
      </c>
      <c r="P448">
        <v>1.2837746028169127E-2</v>
      </c>
      <c r="Q448">
        <v>3.0324999692334571E-3</v>
      </c>
      <c r="R448">
        <v>6.6540173916915604E-4</v>
      </c>
      <c r="S448">
        <v>8.6721254004114581E-2</v>
      </c>
      <c r="T448">
        <v>0.81429183833256524</v>
      </c>
      <c r="U448">
        <v>1.6880979491446516E-2</v>
      </c>
      <c r="V448">
        <v>1.0412964350728689E-2</v>
      </c>
      <c r="W448">
        <v>4.2240368796635008E-2</v>
      </c>
      <c r="X448">
        <v>1.0197972664240263E-2</v>
      </c>
      <c r="Y448">
        <v>1.8110041843940779E-3</v>
      </c>
    </row>
    <row r="449" spans="1:25">
      <c r="A449" s="876"/>
      <c r="B449" s="1202">
        <v>199</v>
      </c>
      <c r="C449" s="880">
        <v>0.97453545864909552</v>
      </c>
      <c r="D449" s="880">
        <v>0.9678526592695077</v>
      </c>
      <c r="E449" s="880">
        <v>0.97778735302608644</v>
      </c>
      <c r="F449" s="880">
        <v>1.0301862919290503</v>
      </c>
      <c r="G449" s="880">
        <v>1.026259153035477</v>
      </c>
      <c r="H449" s="880">
        <v>1.0166107287085198</v>
      </c>
      <c r="I449" s="880">
        <v>0.97438060631056866</v>
      </c>
      <c r="K449">
        <v>1.0838878999464201</v>
      </c>
      <c r="L449">
        <v>0</v>
      </c>
      <c r="M449">
        <v>7.675406677885747E-4</v>
      </c>
      <c r="N449">
        <v>7.1393993323144805E-2</v>
      </c>
      <c r="O449">
        <v>9.1759053730625321E-3</v>
      </c>
      <c r="P449">
        <v>1.2507399321198752E-2</v>
      </c>
      <c r="Q449">
        <v>3.0089229884955162E-3</v>
      </c>
      <c r="R449">
        <v>7.5481588376115306E-4</v>
      </c>
      <c r="S449">
        <v>8.7471561923544633E-2</v>
      </c>
      <c r="T449">
        <v>0.81763847469909978</v>
      </c>
      <c r="U449">
        <v>1.7352502380358709E-2</v>
      </c>
      <c r="V449">
        <v>1.0415674986866975E-2</v>
      </c>
      <c r="W449">
        <v>4.3334120468108722E-2</v>
      </c>
      <c r="X449">
        <v>9.5477092559577027E-3</v>
      </c>
      <c r="Y449">
        <v>2.0543600106086497E-3</v>
      </c>
    </row>
    <row r="450" spans="1:25">
      <c r="A450" s="876"/>
      <c r="B450" s="1202">
        <v>200</v>
      </c>
      <c r="C450" s="880">
        <v>0.99745572006270844</v>
      </c>
      <c r="D450" s="880">
        <v>1.0177323514539358</v>
      </c>
      <c r="E450" s="880">
        <v>1.0390528600769893</v>
      </c>
      <c r="F450" s="880">
        <v>1.0057287360648621</v>
      </c>
      <c r="G450" s="880">
        <v>1.0095143428734017</v>
      </c>
      <c r="H450" s="880">
        <v>0.99678921623651329</v>
      </c>
      <c r="I450" s="880">
        <v>1.0003136256476883</v>
      </c>
      <c r="K450">
        <v>1.0738005705122327</v>
      </c>
      <c r="L450">
        <v>0</v>
      </c>
      <c r="M450">
        <v>6.2911654015802962E-4</v>
      </c>
      <c r="N450">
        <v>7.0769281583608498E-2</v>
      </c>
      <c r="O450">
        <v>8.7278310437871875E-3</v>
      </c>
      <c r="P450">
        <v>1.2977141754724504E-2</v>
      </c>
      <c r="Q450">
        <v>3.0544053009119864E-3</v>
      </c>
      <c r="R450">
        <v>6.184397848491242E-4</v>
      </c>
      <c r="S450">
        <v>8.4860253551514428E-2</v>
      </c>
      <c r="T450">
        <v>0.81270977939079714</v>
      </c>
      <c r="U450">
        <v>1.6953763987527407E-2</v>
      </c>
      <c r="V450">
        <v>1.0413382765804636E-2</v>
      </c>
      <c r="W450">
        <v>4.1201401448867282E-2</v>
      </c>
      <c r="X450">
        <v>1.0460817214259234E-2</v>
      </c>
      <c r="Y450">
        <v>1.6831892257390319E-3</v>
      </c>
    </row>
    <row r="451" spans="1:25">
      <c r="A451" s="876"/>
      <c r="B451" s="1202">
        <v>201</v>
      </c>
      <c r="C451" s="880">
        <v>0.99863895486821741</v>
      </c>
      <c r="D451" s="880">
        <v>0.98896791408483087</v>
      </c>
      <c r="E451" s="880">
        <v>0.97591872069674224</v>
      </c>
      <c r="F451" s="880">
        <v>0.98888836931712654</v>
      </c>
      <c r="G451" s="880">
        <v>1.0010041295552361</v>
      </c>
      <c r="H451" s="880">
        <v>1.018345901967203</v>
      </c>
      <c r="I451" s="880">
        <v>1.0433015842989599</v>
      </c>
      <c r="K451">
        <v>1.0819365796233729</v>
      </c>
      <c r="L451">
        <v>0</v>
      </c>
      <c r="M451">
        <v>7.4462423598315982E-4</v>
      </c>
      <c r="N451">
        <v>6.886033029048548E-2</v>
      </c>
      <c r="O451">
        <v>8.8517536624334921E-3</v>
      </c>
      <c r="P451">
        <v>1.2526344594761535E-2</v>
      </c>
      <c r="Q451">
        <v>2.9018295185739475E-3</v>
      </c>
      <c r="R451">
        <v>7.3228067806797175E-4</v>
      </c>
      <c r="S451">
        <v>9.0483144745589564E-2</v>
      </c>
      <c r="T451">
        <v>0.8177908055080737</v>
      </c>
      <c r="U451">
        <v>1.6933676363730419E-2</v>
      </c>
      <c r="V451">
        <v>1.0413267288400944E-2</v>
      </c>
      <c r="W451">
        <v>4.1850608517644335E-2</v>
      </c>
      <c r="X451">
        <v>9.3441360821539705E-3</v>
      </c>
      <c r="Y451">
        <v>1.9930266094403703E-3</v>
      </c>
    </row>
    <row r="452" spans="1:25">
      <c r="A452" s="876"/>
      <c r="B452" s="1202">
        <v>202</v>
      </c>
      <c r="C452" s="880">
        <v>0.99730246752448037</v>
      </c>
      <c r="D452" s="880">
        <v>0.9890370556403888</v>
      </c>
      <c r="E452" s="880">
        <v>0.99830115506325956</v>
      </c>
      <c r="F452" s="880">
        <v>1.0169261835360408</v>
      </c>
      <c r="G452" s="880">
        <v>1.0085949578985132</v>
      </c>
      <c r="H452" s="880">
        <v>1.0098091804982332</v>
      </c>
      <c r="I452" s="880">
        <v>0.9896062334070731</v>
      </c>
      <c r="K452">
        <v>1.0768729854991983</v>
      </c>
      <c r="L452">
        <v>0</v>
      </c>
      <c r="M452">
        <v>7.0537004252544863E-4</v>
      </c>
      <c r="N452">
        <v>6.9929060225061138E-2</v>
      </c>
      <c r="O452">
        <v>8.8632851314350732E-3</v>
      </c>
      <c r="P452">
        <v>1.2649456642079705E-2</v>
      </c>
      <c r="Q452">
        <v>2.972217996309028E-3</v>
      </c>
      <c r="R452">
        <v>6.9357828750212435E-4</v>
      </c>
      <c r="S452">
        <v>8.5633637807446372E-2</v>
      </c>
      <c r="T452">
        <v>0.81597396483233064</v>
      </c>
      <c r="U452">
        <v>1.6956369222597214E-2</v>
      </c>
      <c r="V452">
        <v>1.0413397742478072E-2</v>
      </c>
      <c r="W452">
        <v>4.1848396192494031E-2</v>
      </c>
      <c r="X452">
        <v>9.7573000014309179E-3</v>
      </c>
      <c r="Y452">
        <v>1.8876914605597554E-3</v>
      </c>
    </row>
    <row r="453" spans="1:25">
      <c r="A453" s="876"/>
      <c r="B453" s="1202">
        <v>203</v>
      </c>
      <c r="C453" s="880">
        <v>0.9794153197428207</v>
      </c>
      <c r="D453" s="880">
        <v>0.99416477496746058</v>
      </c>
      <c r="E453" s="880">
        <v>1.0255644398701873</v>
      </c>
      <c r="F453" s="880">
        <v>1.0144165568887895</v>
      </c>
      <c r="G453" s="880">
        <v>1.0048847244132997</v>
      </c>
      <c r="H453" s="880">
        <v>1.0147091759229525</v>
      </c>
      <c r="I453" s="880">
        <v>0.99342640394871229</v>
      </c>
      <c r="K453">
        <v>1.0826134419987035</v>
      </c>
      <c r="L453">
        <v>0</v>
      </c>
      <c r="M453">
        <v>6.7952143752798627E-4</v>
      </c>
      <c r="N453">
        <v>7.3329824900968552E-2</v>
      </c>
      <c r="O453">
        <v>9.0002824943716947E-3</v>
      </c>
      <c r="P453">
        <v>1.290655231291169E-2</v>
      </c>
      <c r="Q453">
        <v>3.1026586683138668E-3</v>
      </c>
      <c r="R453">
        <v>6.6821234292238814E-4</v>
      </c>
      <c r="S453">
        <v>8.7486975007439169E-2</v>
      </c>
      <c r="T453">
        <v>0.81378392411823475</v>
      </c>
      <c r="U453">
        <v>1.7266044879094635E-2</v>
      </c>
      <c r="V453">
        <v>1.0415177970003381E-2</v>
      </c>
      <c r="W453">
        <v>4.307914782033169E-2</v>
      </c>
      <c r="X453">
        <v>1.0435509200344591E-2</v>
      </c>
      <c r="Y453">
        <v>1.8186537212950967E-3</v>
      </c>
    </row>
    <row r="454" spans="1:25">
      <c r="A454" s="876"/>
      <c r="B454" s="1202">
        <v>204</v>
      </c>
      <c r="C454" s="880">
        <v>1.007269705665216</v>
      </c>
      <c r="D454" s="880">
        <v>1.0203764969502263</v>
      </c>
      <c r="E454" s="880">
        <v>0.98246269071127479</v>
      </c>
      <c r="F454" s="880">
        <v>1.0278892669716779</v>
      </c>
      <c r="G454" s="880">
        <v>0.99425978410577209</v>
      </c>
      <c r="H454" s="880">
        <v>1.0010069881772388</v>
      </c>
      <c r="I454" s="880">
        <v>1.0055294357164504</v>
      </c>
      <c r="K454">
        <v>1.0707101248580086</v>
      </c>
      <c r="L454">
        <v>0</v>
      </c>
      <c r="M454">
        <v>7.0397225348577737E-4</v>
      </c>
      <c r="N454">
        <v>6.6420023435360465E-2</v>
      </c>
      <c r="O454">
        <v>8.6308653464433199E-3</v>
      </c>
      <c r="P454">
        <v>1.2499313922753408E-2</v>
      </c>
      <c r="Q454">
        <v>2.8549533290552413E-3</v>
      </c>
      <c r="R454">
        <v>6.9207321090654394E-4</v>
      </c>
      <c r="S454">
        <v>8.4511687562690271E-2</v>
      </c>
      <c r="T454">
        <v>0.81725785883150981</v>
      </c>
      <c r="U454">
        <v>1.6788580824819252E-2</v>
      </c>
      <c r="V454">
        <v>1.0412433179982189E-2</v>
      </c>
      <c r="W454">
        <v>4.018449673048971E-2</v>
      </c>
      <c r="X454">
        <v>9.2782155992687763E-3</v>
      </c>
      <c r="Y454">
        <v>1.8835951382149515E-3</v>
      </c>
    </row>
    <row r="455" spans="1:25">
      <c r="A455" s="876"/>
      <c r="B455" s="1202">
        <v>205</v>
      </c>
      <c r="C455" s="880">
        <v>0.97656632614181493</v>
      </c>
      <c r="D455" s="880">
        <v>0.97822700242407545</v>
      </c>
      <c r="E455" s="880">
        <v>1.001033229827156</v>
      </c>
      <c r="F455" s="880">
        <v>1.0225959060886474</v>
      </c>
      <c r="G455" s="880">
        <v>1.0068237115431116</v>
      </c>
      <c r="H455" s="880">
        <v>0.9973552894581228</v>
      </c>
      <c r="I455" s="880">
        <v>0.97924023983934594</v>
      </c>
      <c r="K455">
        <v>1.0803351347685004</v>
      </c>
      <c r="L455">
        <v>0</v>
      </c>
      <c r="M455">
        <v>7.1153673604069435E-4</v>
      </c>
      <c r="N455">
        <v>7.1128455289982795E-2</v>
      </c>
      <c r="O455">
        <v>9.1047730956818514E-3</v>
      </c>
      <c r="P455">
        <v>1.2689891690055669E-2</v>
      </c>
      <c r="Q455">
        <v>3.0590664531932547E-3</v>
      </c>
      <c r="R455">
        <v>6.9950314638775378E-4</v>
      </c>
      <c r="S455">
        <v>8.6560198200114694E-2</v>
      </c>
      <c r="T455">
        <v>0.81575335889670231</v>
      </c>
      <c r="U455">
        <v>1.7316416113549948E-2</v>
      </c>
      <c r="V455">
        <v>1.0415467538318434E-2</v>
      </c>
      <c r="W455">
        <v>4.2486645800476265E-2</v>
      </c>
      <c r="X455">
        <v>9.9290783067598875E-3</v>
      </c>
      <c r="Y455">
        <v>1.9038169733172324E-3</v>
      </c>
    </row>
    <row r="456" spans="1:25">
      <c r="A456" s="876"/>
      <c r="B456" s="1202">
        <v>206</v>
      </c>
      <c r="C456" s="880">
        <v>1.0202631980696744</v>
      </c>
      <c r="D456" s="880">
        <v>0.97827908564116084</v>
      </c>
      <c r="E456" s="880">
        <v>0.96757960617266991</v>
      </c>
      <c r="F456" s="880">
        <v>0.99308434882676833</v>
      </c>
      <c r="G456" s="880">
        <v>0.99960423843611479</v>
      </c>
      <c r="H456" s="880">
        <v>0.9880762462957885</v>
      </c>
      <c r="I456" s="880">
        <v>0.96898359777887666</v>
      </c>
      <c r="K456">
        <v>1.0669495343087445</v>
      </c>
      <c r="L456">
        <v>0</v>
      </c>
      <c r="M456">
        <v>7.2382942852561045E-4</v>
      </c>
      <c r="N456">
        <v>6.5186698202372689E-2</v>
      </c>
      <c r="O456">
        <v>8.7145766501376815E-3</v>
      </c>
      <c r="P456">
        <v>1.2333371258631825E-2</v>
      </c>
      <c r="Q456">
        <v>2.8303221250574827E-3</v>
      </c>
      <c r="R456">
        <v>7.1147293467685641E-4</v>
      </c>
      <c r="S456">
        <v>8.1664125479079849E-2</v>
      </c>
      <c r="T456">
        <v>0.81847204752518399</v>
      </c>
      <c r="U456">
        <v>1.6574770998255238E-2</v>
      </c>
      <c r="V456">
        <v>1.0411204054829978E-2</v>
      </c>
      <c r="W456">
        <v>3.9849171459653748E-2</v>
      </c>
      <c r="X456">
        <v>8.9892082581893244E-3</v>
      </c>
      <c r="Y456">
        <v>1.93639479120052E-3</v>
      </c>
    </row>
    <row r="457" spans="1:25">
      <c r="A457" s="876"/>
      <c r="B457" s="1202">
        <v>207</v>
      </c>
      <c r="C457" s="880">
        <v>0.99943524989117916</v>
      </c>
      <c r="D457" s="880">
        <v>1.0378292273543055</v>
      </c>
      <c r="E457" s="880">
        <v>1.0349134061520009</v>
      </c>
      <c r="F457" s="880">
        <v>1.0212654609117544</v>
      </c>
      <c r="G457" s="880">
        <v>0.99706480641723094</v>
      </c>
      <c r="H457" s="880">
        <v>1.0201155640804938</v>
      </c>
      <c r="I457" s="880">
        <v>0.96358990440862069</v>
      </c>
      <c r="K457">
        <v>1.0714333085729362</v>
      </c>
      <c r="L457">
        <v>0</v>
      </c>
      <c r="M457">
        <v>6.4152987538882941E-4</v>
      </c>
      <c r="N457">
        <v>7.1271169691825509E-2</v>
      </c>
      <c r="O457">
        <v>8.6204192679599102E-3</v>
      </c>
      <c r="P457">
        <v>1.2896616804409905E-2</v>
      </c>
      <c r="Q457">
        <v>3.0088803715578503E-3</v>
      </c>
      <c r="R457">
        <v>6.3087630349061713E-4</v>
      </c>
      <c r="S457">
        <v>8.1583078928936334E-2</v>
      </c>
      <c r="T457">
        <v>0.81303876220811255</v>
      </c>
      <c r="U457">
        <v>1.6920184542013751E-2</v>
      </c>
      <c r="V457">
        <v>1.0413189728179851E-2</v>
      </c>
      <c r="W457">
        <v>4.160830065382231E-2</v>
      </c>
      <c r="X457">
        <v>1.0366322618231465E-2</v>
      </c>
      <c r="Y457">
        <v>1.7170373297839068E-3</v>
      </c>
    </row>
    <row r="458" spans="1:25">
      <c r="A458" s="876"/>
      <c r="B458" s="1202">
        <v>208</v>
      </c>
      <c r="C458" s="880">
        <v>1.0443258421846631</v>
      </c>
      <c r="D458" s="880">
        <v>1.0113255551474492</v>
      </c>
      <c r="E458" s="880">
        <v>0.97735938580608783</v>
      </c>
      <c r="F458" s="880">
        <v>0.99564205078820878</v>
      </c>
      <c r="G458" s="880">
        <v>1.0222044740146747</v>
      </c>
      <c r="H458" s="880">
        <v>1.0087191961310638</v>
      </c>
      <c r="I458" s="880">
        <v>1.001425589106987</v>
      </c>
      <c r="K458">
        <v>1.0642049762618211</v>
      </c>
      <c r="L458">
        <v>0</v>
      </c>
      <c r="M458">
        <v>6.9487508102882012E-4</v>
      </c>
      <c r="N458">
        <v>6.4536672688805044E-2</v>
      </c>
      <c r="O458">
        <v>8.3642010147291709E-3</v>
      </c>
      <c r="P458">
        <v>1.241208984310424E-2</v>
      </c>
      <c r="Q458">
        <v>2.7506117144648549E-3</v>
      </c>
      <c r="R458">
        <v>6.8322717546336162E-4</v>
      </c>
      <c r="S458">
        <v>8.1803543242309068E-2</v>
      </c>
      <c r="T458">
        <v>0.817673352141566</v>
      </c>
      <c r="U458">
        <v>1.6192866424311052E-2</v>
      </c>
      <c r="V458">
        <v>1.0409008606074795E-2</v>
      </c>
      <c r="W458">
        <v>3.9183576316337246E-2</v>
      </c>
      <c r="X458">
        <v>9.0311830298509099E-3</v>
      </c>
      <c r="Y458">
        <v>1.8595191458334096E-3</v>
      </c>
    </row>
    <row r="459" spans="1:25">
      <c r="A459" s="876"/>
      <c r="B459" s="1202">
        <v>209</v>
      </c>
      <c r="C459" s="880">
        <v>1.0314537394753198</v>
      </c>
      <c r="D459" s="880">
        <v>0.97938975821794272</v>
      </c>
      <c r="E459" s="880">
        <v>1.0053119928525103</v>
      </c>
      <c r="F459" s="880">
        <v>0.98303892010004934</v>
      </c>
      <c r="G459" s="880">
        <v>1.0171562375990126</v>
      </c>
      <c r="H459" s="880">
        <v>0.98014964914958247</v>
      </c>
      <c r="I459" s="880">
        <v>0.99204232585409102</v>
      </c>
      <c r="K459">
        <v>1.0661074687526684</v>
      </c>
      <c r="L459">
        <v>0</v>
      </c>
      <c r="M459">
        <v>6.5569449077321478E-4</v>
      </c>
      <c r="N459">
        <v>6.6404205963453825E-2</v>
      </c>
      <c r="O459">
        <v>8.6148046764882285E-3</v>
      </c>
      <c r="P459">
        <v>1.2655665761597178E-2</v>
      </c>
      <c r="Q459">
        <v>2.9071584556134168E-3</v>
      </c>
      <c r="R459">
        <v>6.4440965748617312E-4</v>
      </c>
      <c r="S459">
        <v>8.2377942685129754E-2</v>
      </c>
      <c r="T459">
        <v>0.81540837280252865</v>
      </c>
      <c r="U459">
        <v>1.6394946490333635E-2</v>
      </c>
      <c r="V459">
        <v>1.0410170300538989E-2</v>
      </c>
      <c r="W459">
        <v>3.9549043324176879E-2</v>
      </c>
      <c r="X459">
        <v>9.6425724680025918E-3</v>
      </c>
      <c r="Y459">
        <v>1.753870658090865E-3</v>
      </c>
    </row>
    <row r="460" spans="1:25">
      <c r="A460" s="876"/>
      <c r="B460" s="1202">
        <v>210</v>
      </c>
      <c r="C460" s="880">
        <v>1.0036976340336581</v>
      </c>
      <c r="D460" s="880">
        <v>0.98519841079973525</v>
      </c>
      <c r="E460" s="880">
        <v>0.97983324527928262</v>
      </c>
      <c r="F460" s="880">
        <v>1.0308643688270458</v>
      </c>
      <c r="G460" s="880">
        <v>1.0082118573204812</v>
      </c>
      <c r="H460" s="880">
        <v>0.9977464202627182</v>
      </c>
      <c r="I460" s="880">
        <v>1.0357157387205422</v>
      </c>
      <c r="K460">
        <v>1.0774664066275608</v>
      </c>
      <c r="L460">
        <v>0</v>
      </c>
      <c r="M460">
        <v>7.2141186205259623E-4</v>
      </c>
      <c r="N460">
        <v>6.7509345782523711E-2</v>
      </c>
      <c r="O460">
        <v>8.8251164247524581E-3</v>
      </c>
      <c r="P460">
        <v>1.2535388449669324E-2</v>
      </c>
      <c r="Q460">
        <v>2.9038115257347674E-3</v>
      </c>
      <c r="R460">
        <v>7.0920963384231168E-4</v>
      </c>
      <c r="S460">
        <v>8.8776955551048128E-2</v>
      </c>
      <c r="T460">
        <v>0.81747182908207827</v>
      </c>
      <c r="U460">
        <v>1.6848329907874722E-2</v>
      </c>
      <c r="V460">
        <v>1.0412776658586446E-2</v>
      </c>
      <c r="W460">
        <v>4.0918071872032988E-2</v>
      </c>
      <c r="X460">
        <v>9.3467487690441567E-3</v>
      </c>
      <c r="Y460">
        <v>1.9302348324258087E-3</v>
      </c>
    </row>
    <row r="461" spans="1:25">
      <c r="A461" s="876"/>
      <c r="B461" s="1202">
        <v>211</v>
      </c>
      <c r="C461" s="880">
        <v>0.9929531863944977</v>
      </c>
      <c r="D461" s="880">
        <v>0.97692242677693619</v>
      </c>
      <c r="E461" s="880">
        <v>0.99824591881820568</v>
      </c>
      <c r="F461" s="880">
        <v>0.96293553796506237</v>
      </c>
      <c r="G461" s="880">
        <v>0.97372491659550542</v>
      </c>
      <c r="H461" s="880">
        <v>1.0292050584334247</v>
      </c>
      <c r="I461" s="880">
        <v>0.96639831796505926</v>
      </c>
      <c r="K461">
        <v>1.0802366204494838</v>
      </c>
      <c r="L461">
        <v>0</v>
      </c>
      <c r="M461">
        <v>7.269096418209051E-4</v>
      </c>
      <c r="N461">
        <v>7.2076251789719575E-2</v>
      </c>
      <c r="O461">
        <v>8.9609041614889633E-3</v>
      </c>
      <c r="P461">
        <v>1.2644012934541786E-2</v>
      </c>
      <c r="Q461">
        <v>3.0020013036786944E-3</v>
      </c>
      <c r="R461">
        <v>7.1499767962496024E-4</v>
      </c>
      <c r="S461">
        <v>8.5193434308713276E-2</v>
      </c>
      <c r="T461">
        <v>0.81597842759027028</v>
      </c>
      <c r="U461">
        <v>1.7030640615955311E-2</v>
      </c>
      <c r="V461">
        <v>1.0413824705256801E-2</v>
      </c>
      <c r="W461">
        <v>4.3134995247981804E-2</v>
      </c>
      <c r="X461">
        <v>9.8680517690556985E-3</v>
      </c>
      <c r="Y461">
        <v>1.945987985017399E-3</v>
      </c>
    </row>
    <row r="462" spans="1:25">
      <c r="A462" s="876"/>
      <c r="B462" s="1202">
        <v>212</v>
      </c>
      <c r="C462" s="880">
        <v>1.009115963605381</v>
      </c>
      <c r="D462" s="880">
        <v>1.0062271667796132</v>
      </c>
      <c r="E462" s="880">
        <v>0.98081358064611412</v>
      </c>
      <c r="F462" s="880">
        <v>0.99035118031630809</v>
      </c>
      <c r="G462" s="880">
        <v>0.98804677474371094</v>
      </c>
      <c r="H462" s="880">
        <v>1.0242165429791095</v>
      </c>
      <c r="I462" s="880">
        <v>1.0012039043976775</v>
      </c>
      <c r="K462">
        <v>1.0748661589576207</v>
      </c>
      <c r="L462">
        <v>0</v>
      </c>
      <c r="M462">
        <v>7.2684384845600036E-4</v>
      </c>
      <c r="N462">
        <v>6.825429710729021E-2</v>
      </c>
      <c r="O462">
        <v>8.6793844861889728E-3</v>
      </c>
      <c r="P462">
        <v>1.2497012063241043E-2</v>
      </c>
      <c r="Q462">
        <v>2.8632280765787193E-3</v>
      </c>
      <c r="R462">
        <v>7.1484885099835373E-4</v>
      </c>
      <c r="S462">
        <v>8.5400202330110031E-2</v>
      </c>
      <c r="T462">
        <v>0.81739202726104587</v>
      </c>
      <c r="U462">
        <v>1.6757864780509356E-2</v>
      </c>
      <c r="V462">
        <v>1.0412256603146396E-2</v>
      </c>
      <c r="W462">
        <v>4.1341468610802887E-2</v>
      </c>
      <c r="X462">
        <v>9.3348297136072872E-3</v>
      </c>
      <c r="Y462">
        <v>1.9455829225571198E-3</v>
      </c>
    </row>
    <row r="463" spans="1:25">
      <c r="A463" s="876"/>
      <c r="B463" s="1202">
        <v>213</v>
      </c>
      <c r="C463" s="880">
        <v>1.0066253548734139</v>
      </c>
      <c r="D463" s="880">
        <v>0.99818014787629317</v>
      </c>
      <c r="E463" s="880">
        <v>1.016473680249093</v>
      </c>
      <c r="F463" s="880">
        <v>0.99118349850412291</v>
      </c>
      <c r="G463" s="880">
        <v>0.96534967072453215</v>
      </c>
      <c r="H463" s="880">
        <v>1.0066566839171607</v>
      </c>
      <c r="I463" s="880">
        <v>1.0004369638777553</v>
      </c>
      <c r="K463">
        <v>1.0746691098678369</v>
      </c>
      <c r="L463">
        <v>0</v>
      </c>
      <c r="M463">
        <v>6.6719282549413132E-4</v>
      </c>
      <c r="N463">
        <v>6.9984856382292376E-2</v>
      </c>
      <c r="O463">
        <v>8.7381865489482968E-3</v>
      </c>
      <c r="P463">
        <v>1.2793687237226105E-2</v>
      </c>
      <c r="Q463">
        <v>2.9861208928380362E-3</v>
      </c>
      <c r="R463">
        <v>6.5599677100580407E-4</v>
      </c>
      <c r="S463">
        <v>8.5264315409023322E-2</v>
      </c>
      <c r="T463">
        <v>0.81451136538993274</v>
      </c>
      <c r="U463">
        <v>1.6799327360554034E-2</v>
      </c>
      <c r="V463">
        <v>1.0412494958421378E-2</v>
      </c>
      <c r="W463">
        <v>4.1366875824539004E-2</v>
      </c>
      <c r="X463">
        <v>1.0037668957150072E-2</v>
      </c>
      <c r="Y463">
        <v>1.785406961400355E-3</v>
      </c>
    </row>
    <row r="464" spans="1:25">
      <c r="A464" s="876"/>
      <c r="B464" s="1202">
        <v>214</v>
      </c>
      <c r="C464" s="880">
        <v>0.98521912240800102</v>
      </c>
      <c r="D464" s="880">
        <v>0.97763513680611358</v>
      </c>
      <c r="E464" s="880">
        <v>1.0029125242867376</v>
      </c>
      <c r="F464" s="880">
        <v>1.0283806419051067</v>
      </c>
      <c r="G464" s="880">
        <v>0.99074309523588588</v>
      </c>
      <c r="H464" s="880">
        <v>1.0054567831580743</v>
      </c>
      <c r="I464" s="880">
        <v>0.98987363902399295</v>
      </c>
      <c r="K464">
        <v>1.080584521819894</v>
      </c>
      <c r="L464">
        <v>0</v>
      </c>
      <c r="M464">
        <v>7.0843591026764044E-4</v>
      </c>
      <c r="N464">
        <v>7.1243617064947751E-2</v>
      </c>
      <c r="O464">
        <v>9.0277288165022986E-3</v>
      </c>
      <c r="P464">
        <v>1.2710252002217922E-2</v>
      </c>
      <c r="Q464">
        <v>3.038770953328111E-3</v>
      </c>
      <c r="R464">
        <v>6.9655183381401567E-4</v>
      </c>
      <c r="S464">
        <v>8.7052434097474859E-2</v>
      </c>
      <c r="T464">
        <v>0.81560175937540069</v>
      </c>
      <c r="U464">
        <v>1.7164332767537673E-2</v>
      </c>
      <c r="V464">
        <v>1.0414593259204026E-2</v>
      </c>
      <c r="W464">
        <v>4.250082330958016E-2</v>
      </c>
      <c r="X464">
        <v>9.9463097767632513E-3</v>
      </c>
      <c r="Y464">
        <v>1.8957844733914458E-3</v>
      </c>
    </row>
    <row r="465" spans="1:25">
      <c r="A465" s="876"/>
      <c r="B465" s="1202">
        <v>215</v>
      </c>
      <c r="C465" s="880">
        <v>0.99398127267077774</v>
      </c>
      <c r="D465" s="880">
        <v>0.9692170079309238</v>
      </c>
      <c r="E465" s="880">
        <v>0.98509128627381548</v>
      </c>
      <c r="F465" s="880">
        <v>0.95581366404151302</v>
      </c>
      <c r="G465" s="880">
        <v>1.0000542162776438</v>
      </c>
      <c r="H465" s="880">
        <v>0.98543075167257366</v>
      </c>
      <c r="I465" s="880">
        <v>0.96907436433741023</v>
      </c>
      <c r="K465">
        <v>1.073971488809385</v>
      </c>
      <c r="L465">
        <v>0</v>
      </c>
      <c r="M465">
        <v>7.1780269805980681E-4</v>
      </c>
      <c r="N465">
        <v>6.8267667767150153E-2</v>
      </c>
      <c r="O465">
        <v>8.9896157707364515E-3</v>
      </c>
      <c r="P465">
        <v>1.2519226943930749E-2</v>
      </c>
      <c r="Q465">
        <v>2.9701001963024073E-3</v>
      </c>
      <c r="R465">
        <v>7.0552468088574841E-4</v>
      </c>
      <c r="S465">
        <v>8.4128064705937283E-2</v>
      </c>
      <c r="T465">
        <v>0.81704419168145215</v>
      </c>
      <c r="U465">
        <v>1.7013025628253891E-2</v>
      </c>
      <c r="V465">
        <v>1.0413723442256922E-2</v>
      </c>
      <c r="W465">
        <v>4.1227266209830096E-2</v>
      </c>
      <c r="X465">
        <v>9.4906788754861408E-3</v>
      </c>
      <c r="Y465">
        <v>1.9202056052224595E-3</v>
      </c>
    </row>
    <row r="466" spans="1:25">
      <c r="A466" s="876"/>
      <c r="B466" s="1202">
        <v>216</v>
      </c>
      <c r="C466" s="880">
        <v>0.97350552507403565</v>
      </c>
      <c r="D466" s="880">
        <v>1.018000874137881</v>
      </c>
      <c r="E466" s="880">
        <v>0.98514035621863727</v>
      </c>
      <c r="F466" s="880">
        <v>1.0414415229964116</v>
      </c>
      <c r="G466" s="880">
        <v>0.96260742320448456</v>
      </c>
      <c r="H466" s="880">
        <v>0.96924596679536945</v>
      </c>
      <c r="I466" s="880">
        <v>0.98549481893930901</v>
      </c>
      <c r="K466">
        <v>1.0723111730963519</v>
      </c>
      <c r="L466">
        <v>0</v>
      </c>
      <c r="M466">
        <v>7.0218992155992211E-4</v>
      </c>
      <c r="N466">
        <v>6.6769307862576233E-2</v>
      </c>
      <c r="O466">
        <v>8.9412974129281352E-3</v>
      </c>
      <c r="P466">
        <v>1.2531690893733585E-2</v>
      </c>
      <c r="Q466">
        <v>2.9651706464624643E-3</v>
      </c>
      <c r="R466">
        <v>6.8993415571770838E-4</v>
      </c>
      <c r="S466">
        <v>8.4661187088065748E-2</v>
      </c>
      <c r="T466">
        <v>0.81704020522302523</v>
      </c>
      <c r="U466">
        <v>1.7370860699189486E-2</v>
      </c>
      <c r="V466">
        <v>1.0415780523042689E-2</v>
      </c>
      <c r="W466">
        <v>4.0321029407763415E-2</v>
      </c>
      <c r="X466">
        <v>9.4291257702759906E-3</v>
      </c>
      <c r="Y466">
        <v>1.8777733351302954E-3</v>
      </c>
    </row>
    <row r="467" spans="1:25">
      <c r="A467" s="876"/>
      <c r="B467" s="1202">
        <v>217</v>
      </c>
      <c r="C467" s="880">
        <v>1.026219950102025</v>
      </c>
      <c r="D467" s="880">
        <v>1.0117499853282523</v>
      </c>
      <c r="E467" s="880">
        <v>1.005287955473098</v>
      </c>
      <c r="F467" s="880">
        <v>0.98833150488254573</v>
      </c>
      <c r="G467" s="880">
        <v>1.0324500575877349</v>
      </c>
      <c r="H467" s="880">
        <v>1.0197847575826229</v>
      </c>
      <c r="I467" s="880">
        <v>0.96994622939298025</v>
      </c>
      <c r="K467">
        <v>1.0677564034061824</v>
      </c>
      <c r="L467">
        <v>0</v>
      </c>
      <c r="M467">
        <v>6.7396142248345018E-4</v>
      </c>
      <c r="N467">
        <v>6.8292753482163071E-2</v>
      </c>
      <c r="O467">
        <v>8.5098707624990926E-3</v>
      </c>
      <c r="P467">
        <v>1.2637530008066585E-2</v>
      </c>
      <c r="Q467">
        <v>2.8786728775829599E-3</v>
      </c>
      <c r="R467">
        <v>6.6278632745682441E-4</v>
      </c>
      <c r="S467">
        <v>8.0984797643286269E-2</v>
      </c>
      <c r="T467">
        <v>0.81541030913834134</v>
      </c>
      <c r="U467">
        <v>1.6478561797859392E-2</v>
      </c>
      <c r="V467">
        <v>1.0410650978528585E-2</v>
      </c>
      <c r="W467">
        <v>4.0674491717549978E-2</v>
      </c>
      <c r="X467">
        <v>9.6860541994465959E-3</v>
      </c>
      <c r="Y467">
        <v>1.8038858958833496E-3</v>
      </c>
    </row>
    <row r="468" spans="1:25">
      <c r="A468" s="876"/>
      <c r="B468" s="1202">
        <v>218</v>
      </c>
      <c r="C468" s="880">
        <v>1.0117372777772016</v>
      </c>
      <c r="D468" s="880">
        <v>1.014799479156697</v>
      </c>
      <c r="E468" s="880">
        <v>1.0055054424536163</v>
      </c>
      <c r="F468" s="880">
        <v>0.99549948359347917</v>
      </c>
      <c r="G468" s="880">
        <v>1.0110160655989859</v>
      </c>
      <c r="H468" s="880">
        <v>0.99997592904840926</v>
      </c>
      <c r="I468" s="880">
        <v>1.006470723517586</v>
      </c>
      <c r="K468">
        <v>1.0708391043702943</v>
      </c>
      <c r="L468">
        <v>0</v>
      </c>
      <c r="M468">
        <v>6.6895239324229799E-4</v>
      </c>
      <c r="N468">
        <v>6.7808137260654849E-2</v>
      </c>
      <c r="O468">
        <v>8.617862191890726E-3</v>
      </c>
      <c r="P468">
        <v>1.2689531749649059E-2</v>
      </c>
      <c r="Q468">
        <v>2.916490881373053E-3</v>
      </c>
      <c r="R468">
        <v>6.5763814263044597E-4</v>
      </c>
      <c r="S468">
        <v>8.441065669655369E-2</v>
      </c>
      <c r="T468">
        <v>0.81539279014743826</v>
      </c>
      <c r="U468">
        <v>1.6714446761421326E-2</v>
      </c>
      <c r="V468">
        <v>1.0412007006670027E-2</v>
      </c>
      <c r="W468">
        <v>4.0379872136911153E-2</v>
      </c>
      <c r="X468">
        <v>9.7187495544596332E-3</v>
      </c>
      <c r="Y468">
        <v>1.7898742338846195E-3</v>
      </c>
    </row>
    <row r="469" spans="1:25">
      <c r="A469" s="876"/>
      <c r="B469" s="1202">
        <v>219</v>
      </c>
      <c r="C469" s="880">
        <v>0.96797678737810522</v>
      </c>
      <c r="D469" s="880">
        <v>1.0341026872648291</v>
      </c>
      <c r="E469" s="880">
        <v>1.0339775701179001</v>
      </c>
      <c r="F469" s="880">
        <v>1.0075019987428675</v>
      </c>
      <c r="G469" s="880">
        <v>1.0018675923490439</v>
      </c>
      <c r="H469" s="880">
        <v>0.99895898999679467</v>
      </c>
      <c r="I469" s="880">
        <v>1.0398166102820114</v>
      </c>
      <c r="K469">
        <v>1.0827887042610056</v>
      </c>
      <c r="L469">
        <v>0</v>
      </c>
      <c r="M469">
        <v>6.5116883674580213E-4</v>
      </c>
      <c r="N469">
        <v>7.2106759965145567E-2</v>
      </c>
      <c r="O469">
        <v>8.9176084717072779E-3</v>
      </c>
      <c r="P469">
        <v>1.3018099877629476E-2</v>
      </c>
      <c r="Q469">
        <v>3.1089172884374051E-3</v>
      </c>
      <c r="R469">
        <v>6.4012904924738647E-4</v>
      </c>
      <c r="S469">
        <v>9.026222179161858E-2</v>
      </c>
      <c r="T469">
        <v>0.81311321885040988</v>
      </c>
      <c r="U469">
        <v>1.7470076851488468E-2</v>
      </c>
      <c r="V469">
        <v>1.041635088536073E-2</v>
      </c>
      <c r="W469">
        <v>4.2122446903021811E-2</v>
      </c>
      <c r="X469">
        <v>1.0521822910116234E-2</v>
      </c>
      <c r="Y469">
        <v>1.7422202535670138E-3</v>
      </c>
    </row>
    <row r="470" spans="1:25">
      <c r="A470" s="876"/>
      <c r="B470" s="1202">
        <v>220</v>
      </c>
      <c r="C470" s="880">
        <v>0.99477753231542732</v>
      </c>
      <c r="D470" s="880">
        <v>0.95630107752126381</v>
      </c>
      <c r="E470" s="880">
        <v>0.96667687650151846</v>
      </c>
      <c r="F470" s="880">
        <v>0.98566577728401761</v>
      </c>
      <c r="G470" s="880">
        <v>1.008549430245862</v>
      </c>
      <c r="H470" s="880">
        <v>0.97893873614852467</v>
      </c>
      <c r="I470" s="880">
        <v>0.99794974519215707</v>
      </c>
      <c r="K470">
        <v>1.0763284662076273</v>
      </c>
      <c r="L470">
        <v>0</v>
      </c>
      <c r="M470">
        <v>7.4589109356706408E-4</v>
      </c>
      <c r="N470">
        <v>6.6975805862193261E-2</v>
      </c>
      <c r="O470">
        <v>9.0471477894298394E-3</v>
      </c>
      <c r="P470">
        <v>1.2401281976645726E-2</v>
      </c>
      <c r="Q470">
        <v>2.9305705259183865E-3</v>
      </c>
      <c r="R470">
        <v>7.3306086898846387E-4</v>
      </c>
      <c r="S470">
        <v>8.6909693914274944E-2</v>
      </c>
      <c r="T470">
        <v>0.81854593444045631</v>
      </c>
      <c r="U470">
        <v>1.699940772344494E-2</v>
      </c>
      <c r="V470">
        <v>1.0413645157223967E-2</v>
      </c>
      <c r="W470">
        <v>4.0968755710576621E-2</v>
      </c>
      <c r="X470">
        <v>9.153903300105239E-3</v>
      </c>
      <c r="Y470">
        <v>1.9951500319360816E-3</v>
      </c>
    </row>
    <row r="471" spans="1:25">
      <c r="A471" s="876"/>
      <c r="B471" s="1202">
        <v>221</v>
      </c>
      <c r="C471" s="880">
        <v>0.99494991507601038</v>
      </c>
      <c r="D471" s="880">
        <v>0.97546093839940839</v>
      </c>
      <c r="E471" s="880">
        <v>1.0098188766899645</v>
      </c>
      <c r="F471" s="880">
        <v>1.0319318023613775</v>
      </c>
      <c r="G471" s="880">
        <v>1.0267274873564125</v>
      </c>
      <c r="H471" s="880">
        <v>1.0030474422156026</v>
      </c>
      <c r="I471" s="880">
        <v>1.0002686299805503</v>
      </c>
      <c r="K471">
        <v>1.0792632478227648</v>
      </c>
      <c r="L471">
        <v>0</v>
      </c>
      <c r="M471">
        <v>6.9053088272403044E-4</v>
      </c>
      <c r="N471">
        <v>7.0947805721568447E-2</v>
      </c>
      <c r="O471">
        <v>8.9500799437394613E-3</v>
      </c>
      <c r="P471">
        <v>1.2766511848243121E-2</v>
      </c>
      <c r="Q471">
        <v>3.0330372653122541E-3</v>
      </c>
      <c r="R471">
        <v>6.7892125812652479E-4</v>
      </c>
      <c r="S471">
        <v>8.7115444149336418E-2</v>
      </c>
      <c r="T471">
        <v>0.81504566723637117</v>
      </c>
      <c r="U471">
        <v>1.6996462444705561E-2</v>
      </c>
      <c r="V471">
        <v>1.0413628225746888E-2</v>
      </c>
      <c r="W471">
        <v>4.2125700508756886E-2</v>
      </c>
      <c r="X471">
        <v>1.0032720245293189E-2</v>
      </c>
      <c r="Y471">
        <v>1.8477998582878085E-3</v>
      </c>
    </row>
    <row r="472" spans="1:25">
      <c r="A472" s="876"/>
      <c r="B472" s="1202">
        <v>222</v>
      </c>
      <c r="C472" s="880">
        <v>0.98044570907657758</v>
      </c>
      <c r="D472" s="880">
        <v>0.97643575648909153</v>
      </c>
      <c r="E472" s="880">
        <v>0.96467362310563731</v>
      </c>
      <c r="F472" s="880">
        <v>1.0423889502640546</v>
      </c>
      <c r="G472" s="880">
        <v>0.96279251391575538</v>
      </c>
      <c r="H472" s="880">
        <v>1.005527023389033</v>
      </c>
      <c r="I472" s="880">
        <v>1.0110058992380517</v>
      </c>
      <c r="K472">
        <v>1.082604979547289</v>
      </c>
      <c r="L472">
        <v>0</v>
      </c>
      <c r="M472">
        <v>7.7198428829626617E-4</v>
      </c>
      <c r="N472">
        <v>6.891707945380951E-2</v>
      </c>
      <c r="O472">
        <v>9.0776350393366404E-3</v>
      </c>
      <c r="P472">
        <v>1.2420759673752949E-2</v>
      </c>
      <c r="Q472">
        <v>2.9390555695223116E-3</v>
      </c>
      <c r="R472">
        <v>7.5903626564816301E-4</v>
      </c>
      <c r="S472">
        <v>8.9401164386892759E-2</v>
      </c>
      <c r="T472">
        <v>0.81870999552776358</v>
      </c>
      <c r="U472">
        <v>1.7247899306815757E-2</v>
      </c>
      <c r="V472">
        <v>1.0415073656840391E-2</v>
      </c>
      <c r="W472">
        <v>4.2215456603296557E-2</v>
      </c>
      <c r="X472">
        <v>9.2079618530492256E-3</v>
      </c>
      <c r="Y472">
        <v>2.0658464988565755E-3</v>
      </c>
    </row>
    <row r="473" spans="1:25">
      <c r="A473" s="876"/>
      <c r="B473" s="1202">
        <v>223</v>
      </c>
      <c r="C473" s="880">
        <v>0.9641349409465253</v>
      </c>
      <c r="D473" s="880">
        <v>1.0122953198106921</v>
      </c>
      <c r="E473" s="880">
        <v>0.98413823427600222</v>
      </c>
      <c r="F473" s="880">
        <v>1.0248770710612147</v>
      </c>
      <c r="G473" s="880">
        <v>0.98153663346443765</v>
      </c>
      <c r="H473" s="880">
        <v>1.0046248153469617</v>
      </c>
      <c r="I473" s="880">
        <v>0.99663421661814333</v>
      </c>
      <c r="K473">
        <v>1.0816413611431888</v>
      </c>
      <c r="L473">
        <v>0</v>
      </c>
      <c r="M473">
        <v>7.3864568025752708E-4</v>
      </c>
      <c r="N473">
        <v>7.0061195036014948E-2</v>
      </c>
      <c r="O473">
        <v>9.0552603466612473E-3</v>
      </c>
      <c r="P473">
        <v>1.2570480683268192E-2</v>
      </c>
      <c r="Q473">
        <v>2.9986636034548238E-3</v>
      </c>
      <c r="R473">
        <v>7.2621273393118813E-4</v>
      </c>
      <c r="S473">
        <v>8.7991128926166701E-2</v>
      </c>
      <c r="T473">
        <v>0.81712163411306027</v>
      </c>
      <c r="U473">
        <v>1.7539690916450558E-2</v>
      </c>
      <c r="V473">
        <v>1.0416751074629688E-2</v>
      </c>
      <c r="W473">
        <v>4.2338287576494361E-2</v>
      </c>
      <c r="X473">
        <v>9.584190147516736E-3</v>
      </c>
      <c r="Y473">
        <v>1.9765116657972921E-3</v>
      </c>
    </row>
    <row r="474" spans="1:25">
      <c r="A474" s="876"/>
      <c r="B474" s="1202">
        <v>224</v>
      </c>
      <c r="C474" s="880">
        <v>0.95472932268261856</v>
      </c>
      <c r="D474" s="880">
        <v>0.99840654596586675</v>
      </c>
      <c r="E474" s="880">
        <v>0.98962874450545502</v>
      </c>
      <c r="F474" s="880">
        <v>1.0229975066322974</v>
      </c>
      <c r="G474" s="880">
        <v>0.95880495164838442</v>
      </c>
      <c r="H474" s="880">
        <v>0.99819804311561144</v>
      </c>
      <c r="I474" s="880">
        <v>0.99224956600033221</v>
      </c>
      <c r="K474">
        <v>1.0843603511421547</v>
      </c>
      <c r="L474">
        <v>0</v>
      </c>
      <c r="M474">
        <v>7.3804960501040599E-4</v>
      </c>
      <c r="N474">
        <v>7.120529362149304E-2</v>
      </c>
      <c r="O474">
        <v>9.2120520921093983E-3</v>
      </c>
      <c r="P474">
        <v>1.2630547877733427E-2</v>
      </c>
      <c r="Q474">
        <v>3.0644351581877991E-3</v>
      </c>
      <c r="R474">
        <v>7.2555935611376507E-4</v>
      </c>
      <c r="S474">
        <v>8.8838633478905957E-2</v>
      </c>
      <c r="T474">
        <v>0.81667591212433532</v>
      </c>
      <c r="U474">
        <v>1.7712485061668077E-2</v>
      </c>
      <c r="V474">
        <v>1.0417744413586337E-2</v>
      </c>
      <c r="W474">
        <v>4.2866834817515839E-2</v>
      </c>
      <c r="X474">
        <v>9.7741693587527143E-3</v>
      </c>
      <c r="Y474">
        <v>1.9747333867642068E-3</v>
      </c>
    </row>
    <row r="475" spans="1:25">
      <c r="A475" s="876"/>
      <c r="B475" s="1202">
        <v>225</v>
      </c>
      <c r="C475" s="880">
        <v>0.97111854155561095</v>
      </c>
      <c r="D475" s="880">
        <v>0.98762497679349504</v>
      </c>
      <c r="E475" s="880">
        <v>0.99486522575594871</v>
      </c>
      <c r="F475" s="880">
        <v>0.97352430933679757</v>
      </c>
      <c r="G475" s="880">
        <v>0.96585516460595078</v>
      </c>
      <c r="H475" s="880">
        <v>1.0120680394049455</v>
      </c>
      <c r="I475" s="880">
        <v>0.99822339275355809</v>
      </c>
      <c r="K475">
        <v>1.0844091803646141</v>
      </c>
      <c r="L475">
        <v>0</v>
      </c>
      <c r="M475">
        <v>7.3183528871239992E-4</v>
      </c>
      <c r="N475">
        <v>7.1784006271817413E-2</v>
      </c>
      <c r="O475">
        <v>9.1092082480740758E-3</v>
      </c>
      <c r="P475">
        <v>1.2670762738870488E-2</v>
      </c>
      <c r="Q475">
        <v>3.0438077185217403E-3</v>
      </c>
      <c r="R475">
        <v>7.1962970387042782E-4</v>
      </c>
      <c r="S475">
        <v>8.8855148104090814E-2</v>
      </c>
      <c r="T475">
        <v>0.81625176457839588</v>
      </c>
      <c r="U475">
        <v>1.7413557812276634E-2</v>
      </c>
      <c r="V475">
        <v>1.0416025975258175E-2</v>
      </c>
      <c r="W475">
        <v>4.305982770636238E-2</v>
      </c>
      <c r="X475">
        <v>9.8586819677203442E-3</v>
      </c>
      <c r="Y475">
        <v>1.9585948280671796E-3</v>
      </c>
    </row>
    <row r="476" spans="1:25">
      <c r="A476" s="876"/>
      <c r="B476" s="1202">
        <v>226</v>
      </c>
      <c r="C476" s="880">
        <v>1.0119965066477803</v>
      </c>
      <c r="D476" s="880">
        <v>0.99833866271473037</v>
      </c>
      <c r="E476" s="880">
        <v>1.0212618079864766</v>
      </c>
      <c r="F476" s="880">
        <v>0.99783321370573241</v>
      </c>
      <c r="G476" s="880">
        <v>0.98208564681453303</v>
      </c>
      <c r="H476" s="880">
        <v>1.0026734979989007</v>
      </c>
      <c r="I476" s="880">
        <v>1.0069127319174946</v>
      </c>
      <c r="K476">
        <v>1.0734996427074894</v>
      </c>
      <c r="L476">
        <v>0</v>
      </c>
      <c r="M476">
        <v>6.5431948838332726E-4</v>
      </c>
      <c r="N476">
        <v>6.9658388732218288E-2</v>
      </c>
      <c r="O476">
        <v>8.6910726962077991E-3</v>
      </c>
      <c r="P476">
        <v>1.2831474601567581E-2</v>
      </c>
      <c r="Q476">
        <v>2.98423611099637E-3</v>
      </c>
      <c r="R476">
        <v>6.4329571176129216E-4</v>
      </c>
      <c r="S476">
        <v>8.5212178475841435E-2</v>
      </c>
      <c r="T476">
        <v>0.81412786886153343</v>
      </c>
      <c r="U476">
        <v>1.6710165257357006E-2</v>
      </c>
      <c r="V476">
        <v>1.0411982393655669E-2</v>
      </c>
      <c r="W476">
        <v>4.1040986786210459E-2</v>
      </c>
      <c r="X476">
        <v>1.0091473703482887E-2</v>
      </c>
      <c r="Y476">
        <v>1.7508388650398488E-3</v>
      </c>
    </row>
    <row r="477" spans="1:25">
      <c r="A477" s="876"/>
      <c r="B477" s="1202">
        <v>227</v>
      </c>
      <c r="C477" s="880">
        <v>1.0060648622536037</v>
      </c>
      <c r="D477" s="880">
        <v>0.99605931234273215</v>
      </c>
      <c r="E477" s="880">
        <v>0.98982942475588975</v>
      </c>
      <c r="F477" s="880">
        <v>1.037389750666825</v>
      </c>
      <c r="G477" s="880">
        <v>1.0045049972341651</v>
      </c>
      <c r="H477" s="880">
        <v>1.0243397137901558</v>
      </c>
      <c r="I477" s="880">
        <v>1.0164406175339578</v>
      </c>
      <c r="K477">
        <v>1.0783276748866391</v>
      </c>
      <c r="L477">
        <v>0</v>
      </c>
      <c r="M477">
        <v>7.1932946594222371E-4</v>
      </c>
      <c r="N477">
        <v>6.9473303226761096E-2</v>
      </c>
      <c r="O477">
        <v>8.7529797903994205E-3</v>
      </c>
      <c r="P477">
        <v>1.2600557082641583E-2</v>
      </c>
      <c r="Q477">
        <v>2.9118006672310699E-3</v>
      </c>
      <c r="R477">
        <v>7.0746874892157964E-4</v>
      </c>
      <c r="S477">
        <v>8.7408556116729652E-2</v>
      </c>
      <c r="T477">
        <v>0.81665964016994863</v>
      </c>
      <c r="U477">
        <v>1.680868649767996E-2</v>
      </c>
      <c r="V477">
        <v>1.041254876114427E-2</v>
      </c>
      <c r="W477">
        <v>4.1818362221866981E-2</v>
      </c>
      <c r="X477">
        <v>9.567604351701257E-3</v>
      </c>
      <c r="Y477">
        <v>1.9254967175541366E-3</v>
      </c>
    </row>
    <row r="478" spans="1:25">
      <c r="A478" s="876"/>
      <c r="B478" s="1202">
        <v>228</v>
      </c>
      <c r="C478" s="880">
        <v>1.0222175640010269</v>
      </c>
      <c r="D478" s="880">
        <v>0.98336794599690591</v>
      </c>
      <c r="E478" s="880">
        <v>0.98621740312668282</v>
      </c>
      <c r="F478" s="880">
        <v>1.0304689624446237</v>
      </c>
      <c r="G478" s="880">
        <v>1.024658265481696</v>
      </c>
      <c r="H478" s="880">
        <v>0.97667773708479744</v>
      </c>
      <c r="I478" s="880">
        <v>0.98796470474739617</v>
      </c>
      <c r="K478">
        <v>1.066348069626782</v>
      </c>
      <c r="L478">
        <v>0</v>
      </c>
      <c r="M478">
        <v>6.8482698722238374E-4</v>
      </c>
      <c r="N478">
        <v>6.5348866414762133E-2</v>
      </c>
      <c r="O478">
        <v>8.6738389216182276E-3</v>
      </c>
      <c r="P478">
        <v>1.2500183905250017E-2</v>
      </c>
      <c r="Q478">
        <v>2.8721818221015671E-3</v>
      </c>
      <c r="R478">
        <v>6.7299532106761663E-4</v>
      </c>
      <c r="S478">
        <v>8.2492307040927873E-2</v>
      </c>
      <c r="T478">
        <v>0.81695272612211955</v>
      </c>
      <c r="U478">
        <v>1.6543081885389499E-2</v>
      </c>
      <c r="V478">
        <v>1.0411021884130437E-2</v>
      </c>
      <c r="W478">
        <v>3.9433880395994401E-2</v>
      </c>
      <c r="X478">
        <v>9.3001414895443144E-3</v>
      </c>
      <c r="Y478">
        <v>1.8316714110980872E-3</v>
      </c>
    </row>
    <row r="479" spans="1:25">
      <c r="A479" s="876"/>
      <c r="B479" s="1202">
        <v>229</v>
      </c>
      <c r="C479" s="880">
        <v>0.97219875214160989</v>
      </c>
      <c r="D479" s="880">
        <v>1.0394922897220307</v>
      </c>
      <c r="E479" s="880">
        <v>1.0116876399469374</v>
      </c>
      <c r="F479" s="880">
        <v>1.0167553758457455</v>
      </c>
      <c r="G479" s="880">
        <v>0.99786660982541397</v>
      </c>
      <c r="H479" s="880">
        <v>0.96644061966015293</v>
      </c>
      <c r="I479" s="880">
        <v>0.98223219711679899</v>
      </c>
      <c r="K479">
        <v>1.0703359991053798</v>
      </c>
      <c r="L479">
        <v>0</v>
      </c>
      <c r="M479">
        <v>6.5567884187462506E-4</v>
      </c>
      <c r="N479">
        <v>6.7709967326061424E-2</v>
      </c>
      <c r="O479">
        <v>8.8543871400632891E-3</v>
      </c>
      <c r="P479">
        <v>1.2738168908511082E-2</v>
      </c>
      <c r="Q479">
        <v>3.0204834905568855E-3</v>
      </c>
      <c r="R479">
        <v>6.441842396029807E-4</v>
      </c>
      <c r="S479">
        <v>8.3523899436186863E-2</v>
      </c>
      <c r="T479">
        <v>0.81489547541056961</v>
      </c>
      <c r="U479">
        <v>1.7394209598295393E-2</v>
      </c>
      <c r="V479">
        <v>1.0415914748487937E-2</v>
      </c>
      <c r="W479">
        <v>4.0152222953389445E-2</v>
      </c>
      <c r="X479">
        <v>9.889507550606913E-3</v>
      </c>
      <c r="Y479">
        <v>1.7532571449218005E-3</v>
      </c>
    </row>
    <row r="480" spans="1:25">
      <c r="A480" s="876"/>
      <c r="B480" s="1202">
        <v>230</v>
      </c>
      <c r="C480" s="880">
        <v>0.98535616131948167</v>
      </c>
      <c r="D480" s="880">
        <v>0.98725511899085006</v>
      </c>
      <c r="E480" s="880">
        <v>1.0118257583073416</v>
      </c>
      <c r="F480" s="880">
        <v>1.021602395227678</v>
      </c>
      <c r="G480" s="880">
        <v>0.97649013088787007</v>
      </c>
      <c r="H480" s="880">
        <v>1.0065954385956035</v>
      </c>
      <c r="I480" s="880">
        <v>0.9939232506263439</v>
      </c>
      <c r="K480">
        <v>1.0802561499337551</v>
      </c>
      <c r="L480">
        <v>0</v>
      </c>
      <c r="M480">
        <v>6.9231583105999815E-4</v>
      </c>
      <c r="N480">
        <v>7.1579575103928997E-2</v>
      </c>
      <c r="O480">
        <v>8.9793829134374847E-3</v>
      </c>
      <c r="P480">
        <v>1.2784119195757072E-2</v>
      </c>
      <c r="Q480">
        <v>3.0518362241395459E-3</v>
      </c>
      <c r="R480">
        <v>6.8070689948501295E-4</v>
      </c>
      <c r="S480">
        <v>8.7011598830109074E-2</v>
      </c>
      <c r="T480">
        <v>0.81488437960637816</v>
      </c>
      <c r="U480">
        <v>1.7161945629190056E-2</v>
      </c>
      <c r="V480">
        <v>1.0414579536299746E-2</v>
      </c>
      <c r="W480">
        <v>4.2442933931465809E-2</v>
      </c>
      <c r="X480">
        <v>1.0104748109195292E-2</v>
      </c>
      <c r="Y480">
        <v>1.8526597854290972E-3</v>
      </c>
    </row>
    <row r="481" spans="1:25">
      <c r="A481" s="876"/>
      <c r="B481" s="1202">
        <v>231</v>
      </c>
      <c r="C481" s="880">
        <v>1.0037691462001854</v>
      </c>
      <c r="D481" s="880">
        <v>1.0066704683317869</v>
      </c>
      <c r="E481" s="880">
        <v>1.001514404201221</v>
      </c>
      <c r="F481" s="880">
        <v>0.9712240453948523</v>
      </c>
      <c r="G481" s="880">
        <v>1.0199405123015293</v>
      </c>
      <c r="H481" s="880">
        <v>1.028014669113241</v>
      </c>
      <c r="I481" s="880">
        <v>1.0175679639979183</v>
      </c>
      <c r="K481">
        <v>1.0786798724788664</v>
      </c>
      <c r="L481">
        <v>0</v>
      </c>
      <c r="M481">
        <v>7.0201665730150117E-4</v>
      </c>
      <c r="N481">
        <v>7.0315486689834741E-2</v>
      </c>
      <c r="O481">
        <v>8.7235693039082914E-3</v>
      </c>
      <c r="P481">
        <v>1.269862054043918E-2</v>
      </c>
      <c r="Q481">
        <v>2.9387099600457511E-3</v>
      </c>
      <c r="R481">
        <v>6.9047381029028001E-4</v>
      </c>
      <c r="S481">
        <v>8.7376394211895678E-2</v>
      </c>
      <c r="T481">
        <v>0.81571453193693721</v>
      </c>
      <c r="U481">
        <v>1.6847129571543731E-2</v>
      </c>
      <c r="V481">
        <v>1.0412769758232044E-2</v>
      </c>
      <c r="W481">
        <v>4.1987227320351449E-2</v>
      </c>
      <c r="X481">
        <v>9.7977339357104669E-3</v>
      </c>
      <c r="Y481">
        <v>1.8792420969797523E-3</v>
      </c>
    </row>
    <row r="482" spans="1:25">
      <c r="A482" s="876"/>
      <c r="B482" s="1202">
        <v>232</v>
      </c>
      <c r="C482" s="880">
        <v>0.98129726040965681</v>
      </c>
      <c r="D482" s="880">
        <v>0.99774325681214959</v>
      </c>
      <c r="E482" s="880">
        <v>1.0091539763734119</v>
      </c>
      <c r="F482" s="880">
        <v>0.97415169761503284</v>
      </c>
      <c r="G482" s="880">
        <v>0.97931201840464688</v>
      </c>
      <c r="H482" s="880">
        <v>1.0171222721239901</v>
      </c>
      <c r="I482" s="880">
        <v>0.96954930547150564</v>
      </c>
      <c r="K482">
        <v>1.0794105353631129</v>
      </c>
      <c r="L482">
        <v>0</v>
      </c>
      <c r="M482">
        <v>7.024563128661907E-4</v>
      </c>
      <c r="N482">
        <v>7.2039048784196882E-2</v>
      </c>
      <c r="O482">
        <v>8.9658196595098771E-3</v>
      </c>
      <c r="P482">
        <v>1.2737267790527518E-2</v>
      </c>
      <c r="Q482">
        <v>3.0415084522095581E-3</v>
      </c>
      <c r="R482">
        <v>6.907901724401888E-4</v>
      </c>
      <c r="S482">
        <v>8.5153295106118201E-2</v>
      </c>
      <c r="T482">
        <v>0.81509913370605991</v>
      </c>
      <c r="U482">
        <v>1.7232931903725896E-2</v>
      </c>
      <c r="V482">
        <v>1.0414987613968101E-2</v>
      </c>
      <c r="W482">
        <v>4.2792968871743359E-2</v>
      </c>
      <c r="X482">
        <v>1.006513648501532E-2</v>
      </c>
      <c r="Y482">
        <v>1.8801031304630494E-3</v>
      </c>
    </row>
    <row r="483" spans="1:25">
      <c r="A483" s="876"/>
      <c r="B483" s="1202">
        <v>233</v>
      </c>
      <c r="C483" s="880">
        <v>1.0211318351388046</v>
      </c>
      <c r="D483" s="880">
        <v>1.0035687958115667</v>
      </c>
      <c r="E483" s="880">
        <v>0.9961197349524622</v>
      </c>
      <c r="F483" s="880">
        <v>1.0412077354609808</v>
      </c>
      <c r="G483" s="880">
        <v>0.96529494953635564</v>
      </c>
      <c r="H483" s="880">
        <v>1.0339427742110558</v>
      </c>
      <c r="I483" s="880">
        <v>1.0205862151539407</v>
      </c>
      <c r="K483">
        <v>1.0759775297233187</v>
      </c>
      <c r="L483">
        <v>0</v>
      </c>
      <c r="M483">
        <v>7.0314080555628476E-4</v>
      </c>
      <c r="N483">
        <v>6.9262720345794074E-2</v>
      </c>
      <c r="O483">
        <v>8.5893553005600368E-3</v>
      </c>
      <c r="P483">
        <v>1.2637441555715787E-2</v>
      </c>
      <c r="Q483">
        <v>2.877177438857494E-3</v>
      </c>
      <c r="R483">
        <v>6.9164836028188148E-4</v>
      </c>
      <c r="S483">
        <v>8.6489450333083626E-2</v>
      </c>
      <c r="T483">
        <v>0.81615028927603195</v>
      </c>
      <c r="U483">
        <v>1.6560671486315671E-2</v>
      </c>
      <c r="V483">
        <v>1.0411123001189767E-2</v>
      </c>
      <c r="W483">
        <v>4.1511666764652663E-2</v>
      </c>
      <c r="X483">
        <v>9.6166878315241226E-3</v>
      </c>
      <c r="Y483">
        <v>1.8824388348665916E-3</v>
      </c>
    </row>
    <row r="484" spans="1:25">
      <c r="A484" s="876"/>
      <c r="B484" s="1202">
        <v>234</v>
      </c>
      <c r="C484" s="880">
        <v>0.9795107931913748</v>
      </c>
      <c r="D484" s="880">
        <v>1.0250677492778097</v>
      </c>
      <c r="E484" s="880">
        <v>1.0332038301782784</v>
      </c>
      <c r="F484" s="880">
        <v>0.99446263736135809</v>
      </c>
      <c r="G484" s="880">
        <v>0.97212835245952134</v>
      </c>
      <c r="H484" s="880">
        <v>1.0019434649133294</v>
      </c>
      <c r="I484" s="880">
        <v>1.0225535364561271</v>
      </c>
      <c r="K484">
        <v>1.0798617619569386</v>
      </c>
      <c r="L484">
        <v>0</v>
      </c>
      <c r="M484">
        <v>6.4949839999771104E-4</v>
      </c>
      <c r="N484">
        <v>7.1753763192030334E-2</v>
      </c>
      <c r="O484">
        <v>8.8538227402729409E-3</v>
      </c>
      <c r="P484">
        <v>1.2980087083066345E-2</v>
      </c>
      <c r="Q484">
        <v>3.0823285701321703E-3</v>
      </c>
      <c r="R484">
        <v>6.3852671544622455E-4</v>
      </c>
      <c r="S484">
        <v>8.8211389863829051E-2</v>
      </c>
      <c r="T484">
        <v>0.81317480145427634</v>
      </c>
      <c r="U484">
        <v>1.7264361948330684E-2</v>
      </c>
      <c r="V484">
        <v>1.0415168295366043E-2</v>
      </c>
      <c r="W484">
        <v>4.1937922596225141E-2</v>
      </c>
      <c r="X484">
        <v>1.0461228668791799E-2</v>
      </c>
      <c r="Y484">
        <v>1.7378592291694469E-3</v>
      </c>
    </row>
    <row r="485" spans="1:25">
      <c r="A485" s="876"/>
      <c r="B485" s="1202">
        <v>235</v>
      </c>
      <c r="C485" s="880">
        <v>0.95873075874482994</v>
      </c>
      <c r="D485" s="880">
        <v>0.9607230858771213</v>
      </c>
      <c r="E485" s="880">
        <v>0.98674581835959208</v>
      </c>
      <c r="F485" s="880">
        <v>0.9894736114956908</v>
      </c>
      <c r="G485" s="880">
        <v>1.0245120205815015</v>
      </c>
      <c r="H485" s="880">
        <v>1.0065233611360298</v>
      </c>
      <c r="I485" s="880">
        <v>0.98704565491285801</v>
      </c>
      <c r="K485">
        <v>1.0886098955459445</v>
      </c>
      <c r="L485">
        <v>0</v>
      </c>
      <c r="M485">
        <v>7.6105339687059913E-4</v>
      </c>
      <c r="N485">
        <v>7.2782363022533145E-2</v>
      </c>
      <c r="O485">
        <v>9.3641466823703411E-3</v>
      </c>
      <c r="P485">
        <v>1.2621260125485718E-2</v>
      </c>
      <c r="Q485">
        <v>3.0969640328710724E-3</v>
      </c>
      <c r="R485">
        <v>7.4831673962793405E-4</v>
      </c>
      <c r="S485">
        <v>9.0023761937886332E-2</v>
      </c>
      <c r="T485">
        <v>0.81690982194502237</v>
      </c>
      <c r="U485">
        <v>1.7638558804655195E-2</v>
      </c>
      <c r="V485">
        <v>1.0417319434887454E-2</v>
      </c>
      <c r="W485">
        <v>4.3903494689762609E-2</v>
      </c>
      <c r="X485">
        <v>9.8282700449923485E-3</v>
      </c>
      <c r="Y485">
        <v>2.0366714827203159E-3</v>
      </c>
    </row>
    <row r="486" spans="1:25">
      <c r="A486" s="876"/>
      <c r="B486" s="1202">
        <v>236</v>
      </c>
      <c r="C486" s="880">
        <v>0.95394307101977804</v>
      </c>
      <c r="D486" s="880">
        <v>1.001842913966051</v>
      </c>
      <c r="E486" s="880">
        <v>0.98041701660354741</v>
      </c>
      <c r="F486" s="880">
        <v>1.0026137160049386</v>
      </c>
      <c r="G486" s="880">
        <v>0.99377337492735984</v>
      </c>
      <c r="H486" s="880">
        <v>0.99993753370534688</v>
      </c>
      <c r="I486" s="880">
        <v>1.0374194794810514</v>
      </c>
      <c r="K486">
        <v>1.0882558593142031</v>
      </c>
      <c r="L486">
        <v>0</v>
      </c>
      <c r="M486">
        <v>7.5302766269939913E-4</v>
      </c>
      <c r="N486">
        <v>7.0597388989372525E-2</v>
      </c>
      <c r="O486">
        <v>9.2027675101396967E-3</v>
      </c>
      <c r="P486">
        <v>1.2607219392430608E-2</v>
      </c>
      <c r="Q486">
        <v>3.0336751927428087E-3</v>
      </c>
      <c r="R486">
        <v>7.4030289449872506E-4</v>
      </c>
      <c r="S486">
        <v>9.2867983523501466E-2</v>
      </c>
      <c r="T486">
        <v>0.8174243046777947</v>
      </c>
      <c r="U486">
        <v>1.7727083910651684E-2</v>
      </c>
      <c r="V486">
        <v>1.0417828337757489E-2</v>
      </c>
      <c r="W486">
        <v>4.2772436973666818E-2</v>
      </c>
      <c r="X486">
        <v>9.6030351363037454E-3</v>
      </c>
      <c r="Y486">
        <v>2.0148604380419459E-3</v>
      </c>
    </row>
    <row r="487" spans="1:25">
      <c r="A487" s="876"/>
      <c r="B487" s="1202">
        <v>237</v>
      </c>
      <c r="C487" s="880">
        <v>1.0355363970593261</v>
      </c>
      <c r="D487" s="880">
        <v>0.99332446015313047</v>
      </c>
      <c r="E487" s="880">
        <v>0.99901128439601716</v>
      </c>
      <c r="F487" s="880">
        <v>1.0199354842430246</v>
      </c>
      <c r="G487" s="880">
        <v>1.0061027444310864</v>
      </c>
      <c r="H487" s="880">
        <v>0.99945686068045558</v>
      </c>
      <c r="I487" s="880">
        <v>1.0014239818194797</v>
      </c>
      <c r="K487">
        <v>1.0671964569952443</v>
      </c>
      <c r="L487">
        <v>0</v>
      </c>
      <c r="M487">
        <v>6.6981317025345305E-4</v>
      </c>
      <c r="N487">
        <v>6.6538817283151738E-2</v>
      </c>
      <c r="O487">
        <v>8.5163523392044697E-3</v>
      </c>
      <c r="P487">
        <v>1.2609766409368044E-2</v>
      </c>
      <c r="Q487">
        <v>2.8588452137886301E-3</v>
      </c>
      <c r="R487">
        <v>6.5849623445545262E-4</v>
      </c>
      <c r="S487">
        <v>8.2917673711982817E-2</v>
      </c>
      <c r="T487">
        <v>0.81591659986409926</v>
      </c>
      <c r="U487">
        <v>1.63303085376569E-2</v>
      </c>
      <c r="V487">
        <v>1.0409798717367616E-2</v>
      </c>
      <c r="W487">
        <v>3.9800175058113341E-2</v>
      </c>
      <c r="X487">
        <v>9.5172271193472401E-3</v>
      </c>
      <c r="Y487">
        <v>1.7922096769623934E-3</v>
      </c>
    </row>
    <row r="488" spans="1:25">
      <c r="A488" s="876"/>
      <c r="B488" s="1202">
        <v>238</v>
      </c>
      <c r="C488" s="880">
        <v>0.99689336283233976</v>
      </c>
      <c r="D488" s="880">
        <v>0.99470212082758169</v>
      </c>
      <c r="E488" s="880">
        <v>1.0197555543361772</v>
      </c>
      <c r="F488" s="880">
        <v>0.99990837322482118</v>
      </c>
      <c r="G488" s="880">
        <v>0.96624305560798152</v>
      </c>
      <c r="H488" s="880">
        <v>1.0008957633625477</v>
      </c>
      <c r="I488" s="880">
        <v>1.0183127997382981</v>
      </c>
      <c r="K488">
        <v>1.0781294902366787</v>
      </c>
      <c r="L488">
        <v>0</v>
      </c>
      <c r="M488">
        <v>6.6646113757145946E-4</v>
      </c>
      <c r="N488">
        <v>7.0617950770823903E-2</v>
      </c>
      <c r="O488">
        <v>8.8399359711049674E-3</v>
      </c>
      <c r="P488">
        <v>1.2855248092403968E-2</v>
      </c>
      <c r="Q488">
        <v>3.0299832085540941E-3</v>
      </c>
      <c r="R488">
        <v>6.5521587721335416E-4</v>
      </c>
      <c r="S488">
        <v>8.7576662298871524E-2</v>
      </c>
      <c r="T488">
        <v>0.81424842529859742</v>
      </c>
      <c r="U488">
        <v>1.6963327770491411E-2</v>
      </c>
      <c r="V488">
        <v>1.0413437744971794E-2</v>
      </c>
      <c r="W488">
        <v>4.1648631522737581E-2</v>
      </c>
      <c r="X488">
        <v>1.0163851192560028E-2</v>
      </c>
      <c r="Y488">
        <v>1.7832816259188752E-3</v>
      </c>
    </row>
    <row r="489" spans="1:25">
      <c r="A489" s="876"/>
      <c r="B489" s="1202">
        <v>239</v>
      </c>
      <c r="C489" s="880">
        <v>1.0007773220856064</v>
      </c>
      <c r="D489" s="880">
        <v>1.0230737956764691</v>
      </c>
      <c r="E489" s="880">
        <v>1.0290473920785059</v>
      </c>
      <c r="F489" s="880">
        <v>1.0029913037904212</v>
      </c>
      <c r="G489" s="880">
        <v>0.99333708291512834</v>
      </c>
      <c r="H489" s="880">
        <v>1.0012793911228051</v>
      </c>
      <c r="I489" s="880">
        <v>1.0432220550656415</v>
      </c>
      <c r="K489">
        <v>1.0765113570239471</v>
      </c>
      <c r="L489">
        <v>0</v>
      </c>
      <c r="M489">
        <v>6.4154949884071076E-4</v>
      </c>
      <c r="N489">
        <v>6.9966454990897028E-2</v>
      </c>
      <c r="O489">
        <v>8.6746609416348298E-3</v>
      </c>
      <c r="P489">
        <v>1.2939464478804442E-2</v>
      </c>
      <c r="Q489">
        <v>3.0071458854412799E-3</v>
      </c>
      <c r="R489">
        <v>6.3070643828515012E-4</v>
      </c>
      <c r="S489">
        <v>8.8142785372684093E-2</v>
      </c>
      <c r="T489">
        <v>0.81350596570715994</v>
      </c>
      <c r="U489">
        <v>1.6897494070619887E-2</v>
      </c>
      <c r="V489">
        <v>1.0413059287827538E-2</v>
      </c>
      <c r="W489">
        <v>4.1007264269291431E-2</v>
      </c>
      <c r="X489">
        <v>1.0251330067450428E-2</v>
      </c>
      <c r="Y489">
        <v>1.7165750126906755E-3</v>
      </c>
    </row>
    <row r="490" spans="1:25">
      <c r="A490" s="876"/>
      <c r="B490" s="1202">
        <v>240</v>
      </c>
      <c r="C490" s="880">
        <v>1.0084523402985417</v>
      </c>
      <c r="D490" s="880">
        <v>0.96592509256068193</v>
      </c>
      <c r="E490" s="880">
        <v>0.99593809102825892</v>
      </c>
      <c r="F490" s="880">
        <v>1.030404835371824</v>
      </c>
      <c r="G490" s="880">
        <v>0.99791875420634868</v>
      </c>
      <c r="H490" s="880">
        <v>0.96800011618625847</v>
      </c>
      <c r="I490" s="880">
        <v>1.0117373009146706</v>
      </c>
      <c r="K490">
        <v>1.0723543965627769</v>
      </c>
      <c r="L490">
        <v>0</v>
      </c>
      <c r="M490">
        <v>6.8054991668228435E-4</v>
      </c>
      <c r="N490">
        <v>6.6927043361361099E-2</v>
      </c>
      <c r="O490">
        <v>8.8767580897894834E-3</v>
      </c>
      <c r="P490">
        <v>1.2633223715431897E-2</v>
      </c>
      <c r="Q490">
        <v>2.9643705125646882E-3</v>
      </c>
      <c r="R490">
        <v>6.6870249678392354E-4</v>
      </c>
      <c r="S490">
        <v>8.6081808689527958E-2</v>
      </c>
      <c r="T490">
        <v>0.81616497886331085</v>
      </c>
      <c r="U490">
        <v>1.67688924802794E-2</v>
      </c>
      <c r="V490">
        <v>1.0412319997908813E-2</v>
      </c>
      <c r="W490">
        <v>4.0116810207622013E-2</v>
      </c>
      <c r="X490">
        <v>9.6000503063515732E-3</v>
      </c>
      <c r="Y490">
        <v>1.8199877585270189E-3</v>
      </c>
    </row>
    <row r="491" spans="1:25">
      <c r="A491" s="876"/>
      <c r="B491" s="1202">
        <v>241</v>
      </c>
      <c r="C491" s="880">
        <v>0.9741320835093179</v>
      </c>
      <c r="D491" s="880">
        <v>1.0344789115436566</v>
      </c>
      <c r="E491" s="880">
        <v>1.0033639843595192</v>
      </c>
      <c r="F491" s="880">
        <v>1.0309055470956474</v>
      </c>
      <c r="G491" s="880">
        <v>0.98393332100310782</v>
      </c>
      <c r="H491" s="880">
        <v>1.002841420706341</v>
      </c>
      <c r="I491" s="880">
        <v>1.0071528824718547</v>
      </c>
      <c r="K491">
        <v>1.0779716491664508</v>
      </c>
      <c r="L491">
        <v>0</v>
      </c>
      <c r="M491">
        <v>6.928197310367986E-4</v>
      </c>
      <c r="N491">
        <v>6.9763030629422212E-2</v>
      </c>
      <c r="O491">
        <v>8.859547134908323E-3</v>
      </c>
      <c r="P491">
        <v>1.2715994827639439E-2</v>
      </c>
      <c r="Q491">
        <v>2.9961017150736432E-3</v>
      </c>
      <c r="R491">
        <v>6.8111896809647764E-4</v>
      </c>
      <c r="S491">
        <v>8.6999668542941708E-2</v>
      </c>
      <c r="T491">
        <v>0.81556535873538738</v>
      </c>
      <c r="U491">
        <v>1.7359687820805294E-2</v>
      </c>
      <c r="V491">
        <v>1.0415716293694281E-2</v>
      </c>
      <c r="W491">
        <v>4.160474438025933E-2</v>
      </c>
      <c r="X491">
        <v>9.849718548906929E-3</v>
      </c>
      <c r="Y491">
        <v>1.853781300351123E-3</v>
      </c>
    </row>
    <row r="492" spans="1:25">
      <c r="A492" s="876"/>
      <c r="B492" s="1202">
        <v>242</v>
      </c>
      <c r="C492" s="880">
        <v>1.0111083731261059</v>
      </c>
      <c r="D492" s="880">
        <v>1.0112197032018289</v>
      </c>
      <c r="E492" s="880">
        <v>0.96103983927041225</v>
      </c>
      <c r="F492" s="880">
        <v>1.035458679969665</v>
      </c>
      <c r="G492" s="880">
        <v>1.0410010666006051</v>
      </c>
      <c r="H492" s="880">
        <v>0.97000978560658746</v>
      </c>
      <c r="I492" s="880">
        <v>0.95840000393245561</v>
      </c>
      <c r="K492">
        <v>1.0617554985730033</v>
      </c>
      <c r="L492">
        <v>0</v>
      </c>
      <c r="M492">
        <v>7.14213747265183E-4</v>
      </c>
      <c r="N492">
        <v>6.2998780113349737E-2</v>
      </c>
      <c r="O492">
        <v>8.6394678979913441E-3</v>
      </c>
      <c r="P492">
        <v>1.2252527252985467E-2</v>
      </c>
      <c r="Q492">
        <v>2.7940952913193405E-3</v>
      </c>
      <c r="R492">
        <v>7.0176401084307385E-4</v>
      </c>
      <c r="S492">
        <v>7.9560992171318082E-2</v>
      </c>
      <c r="T492">
        <v>0.81900793782746906</v>
      </c>
      <c r="U492">
        <v>1.6724843068670031E-2</v>
      </c>
      <c r="V492">
        <v>1.0412066771756309E-2</v>
      </c>
      <c r="W492">
        <v>3.8688786544714165E-2</v>
      </c>
      <c r="X492">
        <v>8.7784810687802708E-3</v>
      </c>
      <c r="Y492">
        <v>1.909970301070846E-3</v>
      </c>
    </row>
    <row r="493" spans="1:25">
      <c r="A493" s="876"/>
      <c r="B493" s="1202">
        <v>243</v>
      </c>
      <c r="C493" s="880">
        <v>1.0324884016714495</v>
      </c>
      <c r="D493" s="880">
        <v>0.98090928466759841</v>
      </c>
      <c r="E493" s="880">
        <v>1.0187163098338159</v>
      </c>
      <c r="F493" s="880">
        <v>1.0358876543403228</v>
      </c>
      <c r="G493" s="880">
        <v>0.9735258715931393</v>
      </c>
      <c r="H493" s="880">
        <v>1.0020982943340473</v>
      </c>
      <c r="I493" s="880">
        <v>1.0084981216507551</v>
      </c>
      <c r="K493">
        <v>1.0707826963532414</v>
      </c>
      <c r="L493">
        <v>0</v>
      </c>
      <c r="M493">
        <v>6.5049364173125433E-4</v>
      </c>
      <c r="N493">
        <v>6.8706493667170188E-2</v>
      </c>
      <c r="O493">
        <v>8.599046114593353E-3</v>
      </c>
      <c r="P493">
        <v>1.2794085076535748E-2</v>
      </c>
      <c r="Q493">
        <v>2.9412852560166095E-3</v>
      </c>
      <c r="R493">
        <v>6.3954226789305116E-4</v>
      </c>
      <c r="S493">
        <v>8.4370230379890443E-2</v>
      </c>
      <c r="T493">
        <v>0.814331648690089</v>
      </c>
      <c r="U493">
        <v>1.6378517026028099E-2</v>
      </c>
      <c r="V493">
        <v>1.041007585273861E-2</v>
      </c>
      <c r="W493">
        <v>4.0549744822114667E-2</v>
      </c>
      <c r="X493">
        <v>9.9718976137495741E-3</v>
      </c>
      <c r="Y493">
        <v>1.7406232281529353E-3</v>
      </c>
    </row>
    <row r="494" spans="1:25">
      <c r="A494" s="876"/>
      <c r="B494" s="1202">
        <v>244</v>
      </c>
      <c r="C494" s="880">
        <v>1.0125246914357835</v>
      </c>
      <c r="D494" s="880">
        <v>1.0058651645274443</v>
      </c>
      <c r="E494" s="880">
        <v>1.0040167433963545</v>
      </c>
      <c r="F494" s="880">
        <v>1.0064380136697724</v>
      </c>
      <c r="G494" s="880">
        <v>0.95525958661435162</v>
      </c>
      <c r="H494" s="880">
        <v>0.96453168107107456</v>
      </c>
      <c r="I494" s="880">
        <v>0.96923196124806044</v>
      </c>
      <c r="K494">
        <v>1.0630918103067255</v>
      </c>
      <c r="L494">
        <v>0</v>
      </c>
      <c r="M494">
        <v>6.4981242794596723E-4</v>
      </c>
      <c r="N494">
        <v>6.5523070200365824E-2</v>
      </c>
      <c r="O494">
        <v>8.651823826693765E-3</v>
      </c>
      <c r="P494">
        <v>1.2621683923357869E-2</v>
      </c>
      <c r="Q494">
        <v>2.9216958118577661E-3</v>
      </c>
      <c r="R494">
        <v>6.3842538657302671E-4</v>
      </c>
      <c r="S494">
        <v>8.0373121735602945E-2</v>
      </c>
      <c r="T494">
        <v>0.81551273987405759</v>
      </c>
      <c r="U494">
        <v>1.6701448378481226E-2</v>
      </c>
      <c r="V494">
        <v>1.0411932283072585E-2</v>
      </c>
      <c r="W494">
        <v>3.9058744726050539E-2</v>
      </c>
      <c r="X494">
        <v>9.5893531431785473E-3</v>
      </c>
      <c r="Y494">
        <v>1.7375834453796566E-3</v>
      </c>
    </row>
    <row r="495" spans="1:25">
      <c r="A495" s="876"/>
      <c r="B495" s="1202">
        <v>245</v>
      </c>
      <c r="C495" s="880">
        <v>1.0130460383120043</v>
      </c>
      <c r="D495" s="880">
        <v>1.0090700320891335</v>
      </c>
      <c r="E495" s="880">
        <v>1.0175231187496998</v>
      </c>
      <c r="F495" s="880">
        <v>1.0005846463429313</v>
      </c>
      <c r="G495" s="880">
        <v>1.0094092146303666</v>
      </c>
      <c r="H495" s="880">
        <v>1.0268709235047846</v>
      </c>
      <c r="I495" s="880">
        <v>0.96727717915774714</v>
      </c>
      <c r="K495">
        <v>1.0722048230962915</v>
      </c>
      <c r="L495">
        <v>0</v>
      </c>
      <c r="M495">
        <v>6.7089732641764492E-4</v>
      </c>
      <c r="N495">
        <v>7.0626068115979032E-2</v>
      </c>
      <c r="O495">
        <v>8.6327248579135055E-3</v>
      </c>
      <c r="P495">
        <v>1.2758019308227874E-2</v>
      </c>
      <c r="Q495">
        <v>2.9555563285239969E-3</v>
      </c>
      <c r="R495">
        <v>6.5985194532859853E-4</v>
      </c>
      <c r="S495">
        <v>8.2161044133666816E-2</v>
      </c>
      <c r="T495">
        <v>0.81442724562403979</v>
      </c>
      <c r="U495">
        <v>1.6692853262749864E-2</v>
      </c>
      <c r="V495">
        <v>1.0411882872467366E-2</v>
      </c>
      <c r="W495">
        <v>4.171627228494821E-2</v>
      </c>
      <c r="X495">
        <v>1.0038302213815015E-2</v>
      </c>
      <c r="Y495">
        <v>1.795899475049128E-3</v>
      </c>
    </row>
    <row r="496" spans="1:25">
      <c r="A496" s="876"/>
      <c r="B496" s="1202">
        <v>246</v>
      </c>
      <c r="C496" s="880">
        <v>0.97767061789300858</v>
      </c>
      <c r="D496" s="880">
        <v>0.99741382620772034</v>
      </c>
      <c r="E496" s="880">
        <v>0.98652908790633431</v>
      </c>
      <c r="F496" s="880">
        <v>0.97420945015825611</v>
      </c>
      <c r="G496" s="880">
        <v>0.95825818762751347</v>
      </c>
      <c r="H496" s="880">
        <v>0.98685994243583319</v>
      </c>
      <c r="I496" s="880">
        <v>0.98024035476978366</v>
      </c>
      <c r="K496">
        <v>1.0758720523080771</v>
      </c>
      <c r="L496">
        <v>0</v>
      </c>
      <c r="M496">
        <v>7.1758211575618592E-4</v>
      </c>
      <c r="N496">
        <v>6.8552171895806854E-2</v>
      </c>
      <c r="O496">
        <v>9.0006633759175895E-3</v>
      </c>
      <c r="P496">
        <v>1.2551498922718996E-2</v>
      </c>
      <c r="Q496">
        <v>2.9845177395228396E-3</v>
      </c>
      <c r="R496">
        <v>7.0529962099446727E-4</v>
      </c>
      <c r="S496">
        <v>8.5339502769474468E-2</v>
      </c>
      <c r="T496">
        <v>0.81692741802559499</v>
      </c>
      <c r="U496">
        <v>1.7296856995044733E-2</v>
      </c>
      <c r="V496">
        <v>1.0415355099124708E-2</v>
      </c>
      <c r="W496">
        <v>4.13579655595568E-2</v>
      </c>
      <c r="X496">
        <v>9.5387913536860072E-3</v>
      </c>
      <c r="Y496">
        <v>1.919593066389365E-3</v>
      </c>
    </row>
    <row r="497" spans="1:25">
      <c r="A497" s="876"/>
      <c r="B497" s="1202">
        <v>247</v>
      </c>
      <c r="C497" s="880">
        <v>1.0102930693396184</v>
      </c>
      <c r="D497" s="880">
        <v>1.0071318368375075</v>
      </c>
      <c r="E497" s="880">
        <v>0.97395939650977847</v>
      </c>
      <c r="F497" s="880">
        <v>1.0211606910337363</v>
      </c>
      <c r="G497" s="880">
        <v>1.0198128478448316</v>
      </c>
      <c r="H497" s="880">
        <v>1.0174096652949065</v>
      </c>
      <c r="I497" s="880">
        <v>1.0039214581310703</v>
      </c>
      <c r="K497">
        <v>1.0735295487009635</v>
      </c>
      <c r="L497">
        <v>0</v>
      </c>
      <c r="M497">
        <v>7.3127028729595808E-4</v>
      </c>
      <c r="N497">
        <v>6.7211111239395369E-2</v>
      </c>
      <c r="O497">
        <v>8.6651210752637601E-3</v>
      </c>
      <c r="P497">
        <v>1.243712363336835E-2</v>
      </c>
      <c r="Q497">
        <v>2.838839012481355E-3</v>
      </c>
      <c r="R497">
        <v>7.1912070152347208E-4</v>
      </c>
      <c r="S497">
        <v>8.525302833250864E-2</v>
      </c>
      <c r="T497">
        <v>0.81795065626681984</v>
      </c>
      <c r="U497">
        <v>1.673833997199058E-2</v>
      </c>
      <c r="V497">
        <v>1.0412144361189934E-2</v>
      </c>
      <c r="W497">
        <v>4.0904049239019274E-2</v>
      </c>
      <c r="X497">
        <v>9.1740756632266631E-3</v>
      </c>
      <c r="Y497">
        <v>1.9572094914713451E-3</v>
      </c>
    </row>
    <row r="498" spans="1:25">
      <c r="A498" s="876"/>
      <c r="B498" s="1202">
        <v>248</v>
      </c>
      <c r="C498" s="880">
        <v>1.0287056925625462</v>
      </c>
      <c r="D498" s="880">
        <v>0.99890845514363258</v>
      </c>
      <c r="E498" s="880">
        <v>0.98312245340728088</v>
      </c>
      <c r="F498" s="880">
        <v>0.98031586933922266</v>
      </c>
      <c r="G498" s="880">
        <v>0.9787726589222524</v>
      </c>
      <c r="H498" s="880">
        <v>0.98670552925746891</v>
      </c>
      <c r="I498" s="880">
        <v>1.0182824250963405</v>
      </c>
      <c r="K498">
        <v>1.0672227136447558</v>
      </c>
      <c r="L498">
        <v>0</v>
      </c>
      <c r="M498">
        <v>6.8622627402091226E-4</v>
      </c>
      <c r="N498">
        <v>6.4864477574056681E-2</v>
      </c>
      <c r="O498">
        <v>8.5473028542532511E-3</v>
      </c>
      <c r="P498">
        <v>1.249570557868312E-2</v>
      </c>
      <c r="Q498">
        <v>2.8247345013502354E-3</v>
      </c>
      <c r="R498">
        <v>6.7447735064102537E-4</v>
      </c>
      <c r="S498">
        <v>8.4185077890829893E-2</v>
      </c>
      <c r="T498">
        <v>0.81720420758697176</v>
      </c>
      <c r="U498">
        <v>1.6438743353142497E-2</v>
      </c>
      <c r="V498">
        <v>1.0410422074868224E-2</v>
      </c>
      <c r="W498">
        <v>3.9225456062939923E-2</v>
      </c>
      <c r="X498">
        <v>9.2026300839921325E-3</v>
      </c>
      <c r="Y498">
        <v>1.8357050070459877E-3</v>
      </c>
    </row>
    <row r="499" spans="1:25">
      <c r="A499" s="876"/>
      <c r="B499" s="1202">
        <v>249</v>
      </c>
      <c r="C499" s="880">
        <v>1.0224805846480269</v>
      </c>
      <c r="D499" s="880">
        <v>1.0355187204364624</v>
      </c>
      <c r="E499" s="880">
        <v>1.0145708598844889</v>
      </c>
      <c r="F499" s="880">
        <v>1.0033304157769527</v>
      </c>
      <c r="G499" s="880">
        <v>0.96389935878360622</v>
      </c>
      <c r="H499" s="880">
        <v>1.000713131956475</v>
      </c>
      <c r="I499" s="880">
        <v>0.98870076237696736</v>
      </c>
      <c r="K499">
        <v>1.0650947203412238</v>
      </c>
      <c r="L499">
        <v>0</v>
      </c>
      <c r="M499">
        <v>6.4293210848387458E-4</v>
      </c>
      <c r="N499">
        <v>6.7032556808980126E-2</v>
      </c>
      <c r="O499">
        <v>8.4361130075147114E-3</v>
      </c>
      <c r="P499">
        <v>1.2718939172877685E-2</v>
      </c>
      <c r="Q499">
        <v>2.8852778177235472E-3</v>
      </c>
      <c r="R499">
        <v>6.3204999438702496E-4</v>
      </c>
      <c r="S499">
        <v>8.1254506274448385E-2</v>
      </c>
      <c r="T499">
        <v>0.81466398532826401</v>
      </c>
      <c r="U499">
        <v>1.6538826379547959E-2</v>
      </c>
      <c r="V499">
        <v>1.0410997420571645E-2</v>
      </c>
      <c r="W499">
        <v>3.9672886112842476E-2</v>
      </c>
      <c r="X499">
        <v>9.771282403051848E-3</v>
      </c>
      <c r="Y499">
        <v>1.7202317294968291E-3</v>
      </c>
    </row>
    <row r="500" spans="1:25">
      <c r="A500" s="876"/>
      <c r="B500" s="1202">
        <v>250</v>
      </c>
      <c r="C500" s="880">
        <v>1.0022552427779807</v>
      </c>
      <c r="D500" s="880">
        <v>1.0148341449051166</v>
      </c>
      <c r="E500" s="880">
        <v>1.0011078384174958</v>
      </c>
      <c r="F500" s="880">
        <v>0.99662217206681725</v>
      </c>
      <c r="G500" s="880">
        <v>1.015619002148844</v>
      </c>
      <c r="H500" s="880">
        <v>0.98471837287662978</v>
      </c>
      <c r="I500" s="880">
        <v>0.98589882235954207</v>
      </c>
      <c r="K500">
        <v>1.0688090108724977</v>
      </c>
      <c r="L500">
        <v>0</v>
      </c>
      <c r="M500">
        <v>6.7115575500102133E-4</v>
      </c>
      <c r="N500">
        <v>6.7089383308638423E-2</v>
      </c>
      <c r="O500">
        <v>8.6992349439797105E-3</v>
      </c>
      <c r="P500">
        <v>1.2634884223430114E-2</v>
      </c>
      <c r="Q500">
        <v>2.9310754657738101E-3</v>
      </c>
      <c r="R500">
        <v>6.5962832514542859E-4</v>
      </c>
      <c r="S500">
        <v>8.2933741490733195E-2</v>
      </c>
      <c r="T500">
        <v>0.8157473380591288</v>
      </c>
      <c r="U500">
        <v>1.6872577108282997E-2</v>
      </c>
      <c r="V500">
        <v>1.0412916048082112E-2</v>
      </c>
      <c r="W500">
        <v>4.0071971936187133E-2</v>
      </c>
      <c r="X500">
        <v>9.6321248634898011E-3</v>
      </c>
      <c r="Y500">
        <v>1.7952908546269122E-3</v>
      </c>
    </row>
    <row r="501" spans="1:25">
      <c r="A501" s="876"/>
      <c r="B501" s="1202">
        <v>251</v>
      </c>
      <c r="C501" s="880">
        <v>1.02836626938334</v>
      </c>
      <c r="D501" s="880">
        <v>1.0226857414942938</v>
      </c>
      <c r="E501" s="880">
        <v>1.0091635102515077</v>
      </c>
      <c r="F501" s="880">
        <v>1.0350827852490896</v>
      </c>
      <c r="G501" s="880">
        <v>0.9827830711922888</v>
      </c>
      <c r="H501" s="880">
        <v>0.98490670894346743</v>
      </c>
      <c r="I501" s="880">
        <v>0.96548524695232796</v>
      </c>
      <c r="K501">
        <v>1.0607408614400602</v>
      </c>
      <c r="L501">
        <v>0</v>
      </c>
      <c r="M501">
        <v>6.405983509577734E-4</v>
      </c>
      <c r="N501">
        <v>6.5658911208684168E-2</v>
      </c>
      <c r="O501">
        <v>8.4436420376006339E-3</v>
      </c>
      <c r="P501">
        <v>1.2639944483210569E-2</v>
      </c>
      <c r="Q501">
        <v>2.8696599202751951E-3</v>
      </c>
      <c r="R501">
        <v>6.2959168639195292E-4</v>
      </c>
      <c r="S501">
        <v>7.8858129934330709E-2</v>
      </c>
      <c r="T501">
        <v>0.81509836695427973</v>
      </c>
      <c r="U501">
        <v>1.6444169134498025E-2</v>
      </c>
      <c r="V501">
        <v>1.0410453265971275E-2</v>
      </c>
      <c r="W501">
        <v>3.9002757232746731E-2</v>
      </c>
      <c r="X501">
        <v>9.6122929075119195E-3</v>
      </c>
      <c r="Y501">
        <v>1.7135410255152553E-3</v>
      </c>
    </row>
    <row r="502" spans="1:25">
      <c r="A502" s="876"/>
      <c r="B502" s="1202">
        <v>252</v>
      </c>
      <c r="C502" s="880">
        <v>0.99673367010041636</v>
      </c>
      <c r="D502" s="880">
        <v>1.0036051737511746</v>
      </c>
      <c r="E502" s="880">
        <v>1.0259378844788465</v>
      </c>
      <c r="F502" s="880">
        <v>1.007991585684596</v>
      </c>
      <c r="G502" s="880">
        <v>1.0074094843669452</v>
      </c>
      <c r="H502" s="880">
        <v>1.0187741138522182</v>
      </c>
      <c r="I502" s="880">
        <v>1.0112021138218583</v>
      </c>
      <c r="K502">
        <v>1.079513809357733</v>
      </c>
      <c r="L502">
        <v>0</v>
      </c>
      <c r="M502">
        <v>6.665005170896519E-4</v>
      </c>
      <c r="N502">
        <v>7.2012159208418733E-2</v>
      </c>
      <c r="O502">
        <v>8.7994365235148191E-3</v>
      </c>
      <c r="P502">
        <v>1.2902038377990966E-2</v>
      </c>
      <c r="Q502">
        <v>3.0366879488322256E-3</v>
      </c>
      <c r="R502">
        <v>6.5544471163224904E-4</v>
      </c>
      <c r="S502">
        <v>8.7241078592469809E-2</v>
      </c>
      <c r="T502">
        <v>0.81375410140591375</v>
      </c>
      <c r="U502">
        <v>1.6966045567868397E-2</v>
      </c>
      <c r="V502">
        <v>1.0413453368730376E-2</v>
      </c>
      <c r="W502">
        <v>4.2294440634567117E-2</v>
      </c>
      <c r="X502">
        <v>1.0321519097111636E-2</v>
      </c>
      <c r="Y502">
        <v>1.7839044377718619E-3</v>
      </c>
    </row>
    <row r="503" spans="1:25">
      <c r="A503" s="876"/>
      <c r="B503" s="1202">
        <v>253</v>
      </c>
      <c r="C503" s="880">
        <v>0.99262445855382664</v>
      </c>
      <c r="D503" s="880">
        <v>1.023565909878692</v>
      </c>
      <c r="E503" s="880">
        <v>1.0154944682990139</v>
      </c>
      <c r="F503" s="880">
        <v>0.98112919655885356</v>
      </c>
      <c r="G503" s="880">
        <v>1.0102879402273652</v>
      </c>
      <c r="H503" s="880">
        <v>0.95750308562892994</v>
      </c>
      <c r="I503" s="880">
        <v>0.96383520729118122</v>
      </c>
      <c r="K503">
        <v>1.064434600919052</v>
      </c>
      <c r="L503">
        <v>0</v>
      </c>
      <c r="M503">
        <v>6.3634729592398399E-4</v>
      </c>
      <c r="N503">
        <v>6.6486033092532371E-2</v>
      </c>
      <c r="O503">
        <v>8.7436720977981056E-3</v>
      </c>
      <c r="P503">
        <v>1.2724219700422496E-2</v>
      </c>
      <c r="Q503">
        <v>2.9906603348616068E-3</v>
      </c>
      <c r="R503">
        <v>6.2510004992257732E-4</v>
      </c>
      <c r="S503">
        <v>8.0583471996231046E-2</v>
      </c>
      <c r="T503">
        <v>0.81458988985545255</v>
      </c>
      <c r="U503">
        <v>1.7036280660049204E-2</v>
      </c>
      <c r="V503">
        <v>1.0413857128088649E-2</v>
      </c>
      <c r="W503">
        <v>3.9324827890652905E-2</v>
      </c>
      <c r="X503">
        <v>9.8516191372510515E-3</v>
      </c>
      <c r="Y503">
        <v>1.7013162717131795E-3</v>
      </c>
    </row>
    <row r="504" spans="1:25">
      <c r="A504" s="876"/>
      <c r="B504" s="1202">
        <v>254</v>
      </c>
      <c r="C504" s="880">
        <v>0.98863386302653367</v>
      </c>
      <c r="D504" s="880">
        <v>1.0327163252273757</v>
      </c>
      <c r="E504" s="880">
        <v>0.96969324620019759</v>
      </c>
      <c r="F504" s="880">
        <v>0.95853024941853238</v>
      </c>
      <c r="G504" s="880">
        <v>1.0203183582404285</v>
      </c>
      <c r="H504" s="880">
        <v>0.99283714088978359</v>
      </c>
      <c r="I504" s="880">
        <v>0.95355036850943875</v>
      </c>
      <c r="K504">
        <v>1.0676343068070235</v>
      </c>
      <c r="L504">
        <v>0</v>
      </c>
      <c r="M504">
        <v>7.2605773870153419E-4</v>
      </c>
      <c r="N504">
        <v>6.5820731379961736E-2</v>
      </c>
      <c r="O504">
        <v>8.7375079979369018E-3</v>
      </c>
      <c r="P504">
        <v>1.2347912682014519E-2</v>
      </c>
      <c r="Q504">
        <v>2.8554122192602704E-3</v>
      </c>
      <c r="R504">
        <v>7.1367360208540091E-4</v>
      </c>
      <c r="S504">
        <v>8.0890715930177506E-2</v>
      </c>
      <c r="T504">
        <v>0.8182991571532775</v>
      </c>
      <c r="U504">
        <v>1.7105047175081985E-2</v>
      </c>
      <c r="V504">
        <v>1.0414252445060834E-2</v>
      </c>
      <c r="W504">
        <v>4.0177319104127432E-2</v>
      </c>
      <c r="X504">
        <v>9.056250574302838E-3</v>
      </c>
      <c r="Y504">
        <v>1.9423842824367616E-3</v>
      </c>
    </row>
    <row r="505" spans="1:25">
      <c r="A505" s="876"/>
      <c r="B505" s="1202">
        <v>255</v>
      </c>
      <c r="C505" s="880">
        <v>1.0031686899430567</v>
      </c>
      <c r="D505" s="880">
        <v>1.0224159991104531</v>
      </c>
      <c r="E505" s="880">
        <v>0.98884120416594012</v>
      </c>
      <c r="F505" s="880">
        <v>1.0199941573399558</v>
      </c>
      <c r="G505" s="880">
        <v>1.0059491352818488</v>
      </c>
      <c r="H505" s="880">
        <v>1.0271325749817106</v>
      </c>
      <c r="I505" s="880">
        <v>1.0070926671626024</v>
      </c>
      <c r="K505">
        <v>1.0756410605870452</v>
      </c>
      <c r="L505">
        <v>0</v>
      </c>
      <c r="M505">
        <v>7.1488409354997001E-4</v>
      </c>
      <c r="N505">
        <v>6.8832789132283745E-2</v>
      </c>
      <c r="O505">
        <v>8.6569444660138193E-3</v>
      </c>
      <c r="P505">
        <v>1.2571571980920633E-2</v>
      </c>
      <c r="Q505">
        <v>2.8825724331809598E-3</v>
      </c>
      <c r="R505">
        <v>7.031062491993982E-4</v>
      </c>
      <c r="S505">
        <v>8.5831579778990308E-2</v>
      </c>
      <c r="T505">
        <v>0.81673978222671195</v>
      </c>
      <c r="U505">
        <v>1.6857213582804568E-2</v>
      </c>
      <c r="V505">
        <v>1.0412827728027332E-2</v>
      </c>
      <c r="W505">
        <v>4.1461050251327194E-2</v>
      </c>
      <c r="X505">
        <v>9.4928834197274513E-3</v>
      </c>
      <c r="Y505">
        <v>1.913623431408005E-3</v>
      </c>
    </row>
    <row r="506" spans="1:25">
      <c r="A506" s="876"/>
      <c r="B506" s="1202">
        <v>256</v>
      </c>
      <c r="C506" s="880">
        <v>0.96340935931112104</v>
      </c>
      <c r="D506" s="880">
        <v>1.0371515434532776</v>
      </c>
      <c r="E506" s="880">
        <v>0.96611805303976728</v>
      </c>
      <c r="F506" s="880">
        <v>1.014121054321478</v>
      </c>
      <c r="G506" s="880">
        <v>0.99897036513681303</v>
      </c>
      <c r="H506" s="880">
        <v>0.97356725119059151</v>
      </c>
      <c r="I506" s="880">
        <v>0.97699105575488132</v>
      </c>
      <c r="K506">
        <v>1.0720906168387414</v>
      </c>
      <c r="L506">
        <v>0</v>
      </c>
      <c r="M506">
        <v>7.3442938285937895E-4</v>
      </c>
      <c r="N506">
        <v>6.5818491322207254E-2</v>
      </c>
      <c r="O506">
        <v>8.9458773379992515E-3</v>
      </c>
      <c r="P506">
        <v>1.2367692319448117E-2</v>
      </c>
      <c r="Q506">
        <v>2.9137501158623662E-3</v>
      </c>
      <c r="R506">
        <v>7.2165054627064786E-4</v>
      </c>
      <c r="S506">
        <v>8.4183302020213624E-2</v>
      </c>
      <c r="T506">
        <v>0.81859168697853402</v>
      </c>
      <c r="U506">
        <v>1.7552900750356221E-2</v>
      </c>
      <c r="V506">
        <v>1.0416827013791943E-2</v>
      </c>
      <c r="W506">
        <v>4.0276597167712931E-2</v>
      </c>
      <c r="X506">
        <v>9.0721757542940335E-3</v>
      </c>
      <c r="Y506">
        <v>1.964094894910061E-3</v>
      </c>
    </row>
    <row r="507" spans="1:25">
      <c r="A507" s="876"/>
      <c r="B507" s="1202">
        <v>257</v>
      </c>
      <c r="C507" s="880">
        <v>1.0058540555424071</v>
      </c>
      <c r="D507" s="880">
        <v>1.0181092149601512</v>
      </c>
      <c r="E507" s="880">
        <v>0.96765420605397945</v>
      </c>
      <c r="F507" s="880">
        <v>0.99907039575638668</v>
      </c>
      <c r="G507" s="880">
        <v>0.99343317747600379</v>
      </c>
      <c r="H507" s="880">
        <v>0.97734890374492234</v>
      </c>
      <c r="I507" s="880">
        <v>0.98417673354976376</v>
      </c>
      <c r="K507">
        <v>1.0655896121451409</v>
      </c>
      <c r="L507">
        <v>0</v>
      </c>
      <c r="M507">
        <v>7.1085742843026941E-4</v>
      </c>
      <c r="N507">
        <v>6.4017851330084988E-2</v>
      </c>
      <c r="O507">
        <v>8.653252691113408E-3</v>
      </c>
      <c r="P507">
        <v>1.2343054111072791E-2</v>
      </c>
      <c r="Q507">
        <v>2.8190173901844941E-3</v>
      </c>
      <c r="R507">
        <v>6.9855315116885649E-4</v>
      </c>
      <c r="S507">
        <v>8.2105323760667634E-2</v>
      </c>
      <c r="T507">
        <v>0.81846594287904073</v>
      </c>
      <c r="U507">
        <v>1.6812209259158706E-2</v>
      </c>
      <c r="V507">
        <v>1.041256901238719E-2</v>
      </c>
      <c r="W507">
        <v>3.9132602195981532E-2</v>
      </c>
      <c r="X507">
        <v>8.9388623932125672E-3</v>
      </c>
      <c r="Y507">
        <v>1.901231399497233E-3</v>
      </c>
    </row>
    <row r="508" spans="1:25">
      <c r="A508" s="876"/>
      <c r="B508" s="1202">
        <v>258</v>
      </c>
      <c r="C508" s="880">
        <v>0.99317187234542781</v>
      </c>
      <c r="D508" s="880">
        <v>0.9993324917636085</v>
      </c>
      <c r="E508" s="880">
        <v>0.97239495919203633</v>
      </c>
      <c r="F508" s="880">
        <v>1.0430839176721856</v>
      </c>
      <c r="G508" s="880">
        <v>1.0370144308714486</v>
      </c>
      <c r="H508" s="880">
        <v>0.99724396005949423</v>
      </c>
      <c r="I508" s="880">
        <v>0.99812603891592222</v>
      </c>
      <c r="K508">
        <v>1.0747676162263504</v>
      </c>
      <c r="L508">
        <v>0</v>
      </c>
      <c r="M508">
        <v>7.3455936458900501E-4</v>
      </c>
      <c r="N508">
        <v>6.7162667593330977E-2</v>
      </c>
      <c r="O508">
        <v>8.8511056505473189E-3</v>
      </c>
      <c r="P508">
        <v>1.2435564253477692E-2</v>
      </c>
      <c r="Q508">
        <v>2.8934676412550706E-3</v>
      </c>
      <c r="R508">
        <v>7.2211544156866874E-4</v>
      </c>
      <c r="S508">
        <v>8.5831785152974724E-2</v>
      </c>
      <c r="T508">
        <v>0.81807838344674466</v>
      </c>
      <c r="U508">
        <v>1.7026890648863244E-2</v>
      </c>
      <c r="V508">
        <v>1.0413803147880563E-2</v>
      </c>
      <c r="W508">
        <v>4.0919175780789685E-2</v>
      </c>
      <c r="X508">
        <v>9.2018566468477156E-3</v>
      </c>
      <c r="Y508">
        <v>1.9653601866585794E-3</v>
      </c>
    </row>
    <row r="509" spans="1:25">
      <c r="A509" s="876"/>
      <c r="B509" s="1202">
        <v>259</v>
      </c>
      <c r="C509" s="880">
        <v>1.0004237231278574</v>
      </c>
      <c r="D509" s="880">
        <v>1.0183709471305538</v>
      </c>
      <c r="E509" s="880">
        <v>0.96165457367352192</v>
      </c>
      <c r="F509" s="880">
        <v>0.96476913578867496</v>
      </c>
      <c r="G509" s="880">
        <v>1.0251286926286656</v>
      </c>
      <c r="H509" s="880">
        <v>0.97604588978035267</v>
      </c>
      <c r="I509" s="880">
        <v>0.99390045898746116</v>
      </c>
      <c r="K509">
        <v>1.067268284345779</v>
      </c>
      <c r="L509">
        <v>0</v>
      </c>
      <c r="M509">
        <v>7.2268882055770119E-4</v>
      </c>
      <c r="N509">
        <v>6.3875153203370977E-2</v>
      </c>
      <c r="O509">
        <v>8.6990323942056167E-3</v>
      </c>
      <c r="P509">
        <v>1.2309770789509233E-2</v>
      </c>
      <c r="Q509">
        <v>2.8166085816416905E-3</v>
      </c>
      <c r="R509">
        <v>7.1016281888278035E-4</v>
      </c>
      <c r="S509">
        <v>8.3310119727089557E-2</v>
      </c>
      <c r="T509">
        <v>0.81895750308233373</v>
      </c>
      <c r="U509">
        <v>1.6903466476265422E-2</v>
      </c>
      <c r="V509">
        <v>1.0413093621300946E-2</v>
      </c>
      <c r="W509">
        <v>3.9210034380103807E-2</v>
      </c>
      <c r="X509">
        <v>8.8531990037441707E-3</v>
      </c>
      <c r="Y509">
        <v>1.932829087888601E-3</v>
      </c>
    </row>
    <row r="510" spans="1:25">
      <c r="A510" s="876"/>
      <c r="B510" s="1202">
        <v>260</v>
      </c>
      <c r="C510" s="880">
        <v>0.97567965886598995</v>
      </c>
      <c r="D510" s="880">
        <v>0.99005689622669912</v>
      </c>
      <c r="E510" s="880">
        <v>0.99562856479723449</v>
      </c>
      <c r="F510" s="880">
        <v>1.0487491783633334</v>
      </c>
      <c r="G510" s="880">
        <v>0.98115482199792459</v>
      </c>
      <c r="H510" s="880">
        <v>0.97462959607336441</v>
      </c>
      <c r="I510" s="880">
        <v>1.0024734915119224</v>
      </c>
      <c r="K510">
        <v>1.0775127226476957</v>
      </c>
      <c r="L510">
        <v>0</v>
      </c>
      <c r="M510">
        <v>6.9942598464742473E-4</v>
      </c>
      <c r="N510">
        <v>6.8723206649846255E-2</v>
      </c>
      <c r="O510">
        <v>9.0547286290238119E-3</v>
      </c>
      <c r="P510">
        <v>1.2655247091642884E-2</v>
      </c>
      <c r="Q510">
        <v>3.0284910556963901E-3</v>
      </c>
      <c r="R510">
        <v>6.873106354750452E-4</v>
      </c>
      <c r="S510">
        <v>8.7324723881160832E-2</v>
      </c>
      <c r="T510">
        <v>0.81619001290381021</v>
      </c>
      <c r="U510">
        <v>1.7332152733005823E-2</v>
      </c>
      <c r="V510">
        <v>1.0415558003172601E-2</v>
      </c>
      <c r="W510">
        <v>4.1202201405733073E-2</v>
      </c>
      <c r="X510">
        <v>9.7278826659035113E-3</v>
      </c>
      <c r="Y510">
        <v>1.8706329778729813E-3</v>
      </c>
    </row>
    <row r="511" spans="1:25">
      <c r="A511" s="876"/>
      <c r="B511" s="1202">
        <v>261</v>
      </c>
      <c r="C511" s="880">
        <v>1.0259221967017178</v>
      </c>
      <c r="D511" s="880">
        <v>0.98174315945728596</v>
      </c>
      <c r="E511" s="880">
        <v>1.020915214189043</v>
      </c>
      <c r="F511" s="880">
        <v>1.0057032823230669</v>
      </c>
      <c r="G511" s="880">
        <v>1.0152694981075405</v>
      </c>
      <c r="H511" s="880">
        <v>0.98364329268062445</v>
      </c>
      <c r="I511" s="880">
        <v>0.99961571111779113</v>
      </c>
      <c r="K511">
        <v>1.0686546875541876</v>
      </c>
      <c r="L511">
        <v>0</v>
      </c>
      <c r="M511">
        <v>6.3933318600461087E-4</v>
      </c>
      <c r="N511">
        <v>6.7968646306560354E-2</v>
      </c>
      <c r="O511">
        <v>8.6501548644864531E-3</v>
      </c>
      <c r="P511">
        <v>1.2801393365389924E-2</v>
      </c>
      <c r="Q511">
        <v>2.9654323142856136E-3</v>
      </c>
      <c r="R511">
        <v>6.2836707078417844E-4</v>
      </c>
      <c r="S511">
        <v>8.3477414910631029E-2</v>
      </c>
      <c r="T511">
        <v>0.81415560243234808</v>
      </c>
      <c r="U511">
        <v>1.6483344370868565E-2</v>
      </c>
      <c r="V511">
        <v>1.0410678472030029E-2</v>
      </c>
      <c r="W511">
        <v>4.0054792257892602E-2</v>
      </c>
      <c r="X511">
        <v>9.987986349389107E-3</v>
      </c>
      <c r="Y511">
        <v>1.7102080255253199E-3</v>
      </c>
    </row>
    <row r="512" spans="1:25">
      <c r="A512" s="876"/>
      <c r="B512" s="1202">
        <v>262</v>
      </c>
      <c r="C512" s="880">
        <v>0.97008356081333846</v>
      </c>
      <c r="D512" s="880">
        <v>0.99527908099050244</v>
      </c>
      <c r="E512" s="880">
        <v>0.95258434222099431</v>
      </c>
      <c r="F512" s="880">
        <v>1.0326630273034849</v>
      </c>
      <c r="G512" s="880">
        <v>0.97997221685045666</v>
      </c>
      <c r="H512" s="880">
        <v>0.97181740888252843</v>
      </c>
      <c r="I512" s="880">
        <v>0.95398901200642083</v>
      </c>
      <c r="K512">
        <v>1.0723524306296912</v>
      </c>
      <c r="L512">
        <v>0</v>
      </c>
      <c r="M512">
        <v>7.655535791542097E-4</v>
      </c>
      <c r="N512">
        <v>6.5772083361127803E-2</v>
      </c>
      <c r="O512">
        <v>9.0814316926947219E-3</v>
      </c>
      <c r="P512">
        <v>1.2239541049661771E-2</v>
      </c>
      <c r="Q512">
        <v>2.9081233825889799E-3</v>
      </c>
      <c r="R512">
        <v>7.5224924989259108E-4</v>
      </c>
      <c r="S512">
        <v>8.3262775021685193E-2</v>
      </c>
      <c r="T512">
        <v>0.81970294360650231</v>
      </c>
      <c r="U512">
        <v>1.7432136311818516E-2</v>
      </c>
      <c r="V512">
        <v>1.041613277718326E-2</v>
      </c>
      <c r="W512">
        <v>4.0633535862406568E-2</v>
      </c>
      <c r="X512">
        <v>8.86965741397297E-3</v>
      </c>
      <c r="Y512">
        <v>2.0473744793090515E-3</v>
      </c>
    </row>
    <row r="513" spans="1:25">
      <c r="A513" s="876"/>
      <c r="B513" s="1202">
        <v>263</v>
      </c>
      <c r="C513" s="880">
        <v>0.98852930872109124</v>
      </c>
      <c r="D513" s="880">
        <v>1.0034510113902224</v>
      </c>
      <c r="E513" s="880">
        <v>0.98842988661808129</v>
      </c>
      <c r="F513" s="880">
        <v>0.98558625191014126</v>
      </c>
      <c r="G513" s="880">
        <v>0.98103065095658737</v>
      </c>
      <c r="H513" s="880">
        <v>1.0029483979374827</v>
      </c>
      <c r="I513" s="880">
        <v>0.98696783757769613</v>
      </c>
      <c r="K513">
        <v>1.0757385386788421</v>
      </c>
      <c r="L513">
        <v>0</v>
      </c>
      <c r="M513">
        <v>7.160913119659319E-4</v>
      </c>
      <c r="N513">
        <v>6.8834577312329254E-2</v>
      </c>
      <c r="O513">
        <v>8.8731946270161066E-3</v>
      </c>
      <c r="P513">
        <v>1.2564322043311107E-2</v>
      </c>
      <c r="Q513">
        <v>2.9492455057219128E-3</v>
      </c>
      <c r="R513">
        <v>7.0402560640529322E-4</v>
      </c>
      <c r="S513">
        <v>8.5299648617858603E-2</v>
      </c>
      <c r="T513">
        <v>0.81677314874177642</v>
      </c>
      <c r="U513">
        <v>1.7106856333708984E-2</v>
      </c>
      <c r="V513">
        <v>1.041426284534226E-2</v>
      </c>
      <c r="W513">
        <v>4.1473891247245633E-2</v>
      </c>
      <c r="X513">
        <v>9.5453314914355353E-3</v>
      </c>
      <c r="Y513">
        <v>1.91612561865643E-3</v>
      </c>
    </row>
    <row r="514" spans="1:25">
      <c r="A514" s="876"/>
      <c r="B514" s="1202">
        <v>264</v>
      </c>
      <c r="C514" s="880">
        <v>0.97721853469389797</v>
      </c>
      <c r="D514" s="880">
        <v>0.99806682091157106</v>
      </c>
      <c r="E514" s="880">
        <v>1.0056789484459401</v>
      </c>
      <c r="F514" s="880">
        <v>0.98987391596075414</v>
      </c>
      <c r="G514" s="880">
        <v>0.97439330572585658</v>
      </c>
      <c r="H514" s="880">
        <v>1.0136983110040281</v>
      </c>
      <c r="I514" s="880">
        <v>0.99869227639586788</v>
      </c>
      <c r="K514">
        <v>1.0823313764885827</v>
      </c>
      <c r="L514">
        <v>0</v>
      </c>
      <c r="M514">
        <v>7.0806105900619908E-4</v>
      </c>
      <c r="N514">
        <v>7.182931834828031E-2</v>
      </c>
      <c r="O514">
        <v>9.0016843857306239E-3</v>
      </c>
      <c r="P514">
        <v>1.2747479796805331E-2</v>
      </c>
      <c r="Q514">
        <v>3.043144279282073E-3</v>
      </c>
      <c r="R514">
        <v>6.9626183677118337E-4</v>
      </c>
      <c r="S514">
        <v>8.7939477558586721E-2</v>
      </c>
      <c r="T514">
        <v>0.81537881506264942</v>
      </c>
      <c r="U514">
        <v>1.7304858908810412E-2</v>
      </c>
      <c r="V514">
        <v>1.0415401099599195E-2</v>
      </c>
      <c r="W514">
        <v>4.2769434860797539E-2</v>
      </c>
      <c r="X514">
        <v>1.001856621323759E-2</v>
      </c>
      <c r="Y514">
        <v>1.894995197038355E-3</v>
      </c>
    </row>
    <row r="515" spans="1:25">
      <c r="A515" s="876"/>
      <c r="B515" s="1202">
        <v>265</v>
      </c>
      <c r="C515" s="880">
        <v>1.011189860421005</v>
      </c>
      <c r="D515" s="880">
        <v>1.0028845042290238</v>
      </c>
      <c r="E515" s="880">
        <v>0.96113511429616361</v>
      </c>
      <c r="F515" s="880">
        <v>0.99962904096497196</v>
      </c>
      <c r="G515" s="880">
        <v>1.0135159933229183</v>
      </c>
      <c r="H515" s="880">
        <v>0.972309026513968</v>
      </c>
      <c r="I515" s="880">
        <v>1.0256556102396306</v>
      </c>
      <c r="K515">
        <v>1.06864675819952</v>
      </c>
      <c r="L515">
        <v>0</v>
      </c>
      <c r="M515">
        <v>7.1886259411064351E-4</v>
      </c>
      <c r="N515">
        <v>6.3431034883714835E-2</v>
      </c>
      <c r="O515">
        <v>8.6769600543707588E-3</v>
      </c>
      <c r="P515">
        <v>1.233296045659883E-2</v>
      </c>
      <c r="Q515">
        <v>2.8047661021359418E-3</v>
      </c>
      <c r="R515">
        <v>7.0636902591880875E-4</v>
      </c>
      <c r="S515">
        <v>8.5571715080339728E-2</v>
      </c>
      <c r="T515">
        <v>0.81900012033125735</v>
      </c>
      <c r="U515">
        <v>1.6723495287929133E-2</v>
      </c>
      <c r="V515">
        <v>1.0412059023790587E-2</v>
      </c>
      <c r="W515">
        <v>3.8951632970548537E-2</v>
      </c>
      <c r="X515">
        <v>8.8320039429613476E-3</v>
      </c>
      <c r="Y515">
        <v>1.9225036340641841E-3</v>
      </c>
    </row>
    <row r="516" spans="1:25">
      <c r="A516" s="876"/>
      <c r="B516" s="1202">
        <v>266</v>
      </c>
      <c r="C516" s="880">
        <v>0.97302174185060875</v>
      </c>
      <c r="D516" s="880">
        <v>1.0141212805883679</v>
      </c>
      <c r="E516" s="880">
        <v>0.99808338980692146</v>
      </c>
      <c r="F516" s="880">
        <v>0.98836977560607797</v>
      </c>
      <c r="G516" s="880">
        <v>0.9920866989442223</v>
      </c>
      <c r="H516" s="880">
        <v>0.97799242803287112</v>
      </c>
      <c r="I516" s="880">
        <v>1.0406051054023657</v>
      </c>
      <c r="K516">
        <v>1.0794064925135378</v>
      </c>
      <c r="L516">
        <v>0</v>
      </c>
      <c r="M516">
        <v>6.9124287364028729E-4</v>
      </c>
      <c r="N516">
        <v>6.8442012337444208E-2</v>
      </c>
      <c r="O516">
        <v>8.9639488447472836E-3</v>
      </c>
      <c r="P516">
        <v>1.2712148668598705E-2</v>
      </c>
      <c r="Q516">
        <v>3.0109396950317932E-3</v>
      </c>
      <c r="R516">
        <v>6.792894003275707E-4</v>
      </c>
      <c r="S516">
        <v>8.9941779996315696E-2</v>
      </c>
      <c r="T516">
        <v>0.81599155956250502</v>
      </c>
      <c r="U516">
        <v>1.7379497434239995E-2</v>
      </c>
      <c r="V516">
        <v>1.0415830172904218E-2</v>
      </c>
      <c r="W516">
        <v>4.0964597344877514E-2</v>
      </c>
      <c r="X516">
        <v>9.7473301101850089E-3</v>
      </c>
      <c r="Y516">
        <v>1.8488018200010119E-3</v>
      </c>
    </row>
    <row r="517" spans="1:25">
      <c r="A517" s="876"/>
      <c r="B517" s="1202">
        <v>267</v>
      </c>
      <c r="C517" s="880">
        <v>1.0072835456162328</v>
      </c>
      <c r="D517" s="880">
        <v>0.99848481581859849</v>
      </c>
      <c r="E517" s="880">
        <v>0.96213611713049085</v>
      </c>
      <c r="F517" s="880">
        <v>0.95639986452366288</v>
      </c>
      <c r="G517" s="880">
        <v>0.96956319689477233</v>
      </c>
      <c r="H517" s="880">
        <v>0.96985451457167882</v>
      </c>
      <c r="I517" s="880">
        <v>0.98007594779469687</v>
      </c>
      <c r="K517">
        <v>1.0657573735183101</v>
      </c>
      <c r="L517">
        <v>0</v>
      </c>
      <c r="M517">
        <v>7.2000408747470467E-4</v>
      </c>
      <c r="N517">
        <v>6.3727996562181269E-2</v>
      </c>
      <c r="O517">
        <v>8.7310555020441768E-3</v>
      </c>
      <c r="P517">
        <v>1.2297314281528471E-2</v>
      </c>
      <c r="Q517">
        <v>2.824227208876907E-3</v>
      </c>
      <c r="R517">
        <v>7.0746305979128583E-4</v>
      </c>
      <c r="S517">
        <v>8.2180407737484168E-2</v>
      </c>
      <c r="T517">
        <v>0.81891800463033748</v>
      </c>
      <c r="U517">
        <v>1.6788350151800437E-2</v>
      </c>
      <c r="V517">
        <v>1.041243185391586E-2</v>
      </c>
      <c r="W517">
        <v>3.9106464867929513E-2</v>
      </c>
      <c r="X517">
        <v>8.8581805162787821E-3</v>
      </c>
      <c r="Y517">
        <v>1.9254812336168975E-3</v>
      </c>
    </row>
    <row r="518" spans="1:25">
      <c r="A518" s="876"/>
      <c r="B518" s="1202">
        <v>268</v>
      </c>
      <c r="C518" s="880">
        <v>1.0010711637341845</v>
      </c>
      <c r="D518" s="880">
        <v>0.98683824070381332</v>
      </c>
      <c r="E518" s="880">
        <v>1.0010479144168811</v>
      </c>
      <c r="F518" s="880">
        <v>0.96261269051307841</v>
      </c>
      <c r="G518" s="880">
        <v>0.97350757703481716</v>
      </c>
      <c r="H518" s="880">
        <v>0.97256081598537547</v>
      </c>
      <c r="I518" s="880">
        <v>0.98494751116742174</v>
      </c>
      <c r="K518">
        <v>1.0702003828496276</v>
      </c>
      <c r="L518">
        <v>0</v>
      </c>
      <c r="M518">
        <v>6.7368858168833951E-4</v>
      </c>
      <c r="N518">
        <v>6.731774988539839E-2</v>
      </c>
      <c r="O518">
        <v>8.8404162174890565E-3</v>
      </c>
      <c r="P518">
        <v>1.264491200473555E-2</v>
      </c>
      <c r="Q518">
        <v>2.972250257448082E-3</v>
      </c>
      <c r="R518">
        <v>6.6199703897998829E-4</v>
      </c>
      <c r="S518">
        <v>8.3684372169707658E-2</v>
      </c>
      <c r="T518">
        <v>0.81575217385025123</v>
      </c>
      <c r="U518">
        <v>1.6892534195943203E-2</v>
      </c>
      <c r="V518">
        <v>1.0413030775074789E-2</v>
      </c>
      <c r="W518">
        <v>4.0210020969239944E-2</v>
      </c>
      <c r="X518">
        <v>9.682876354210182E-3</v>
      </c>
      <c r="Y518">
        <v>1.8017377128382787E-3</v>
      </c>
    </row>
    <row r="519" spans="1:25">
      <c r="A519" s="876"/>
      <c r="B519" s="1202">
        <v>269</v>
      </c>
      <c r="C519" s="880">
        <v>1.0310819098088881</v>
      </c>
      <c r="D519" s="880">
        <v>0.96279333178178916</v>
      </c>
      <c r="E519" s="880">
        <v>1.0113215950996888</v>
      </c>
      <c r="F519" s="880">
        <v>1.0315912265961069</v>
      </c>
      <c r="G519" s="880">
        <v>1.0360560904224489</v>
      </c>
      <c r="H519" s="880">
        <v>1.0294302759983918</v>
      </c>
      <c r="I519" s="880">
        <v>0.9961730929785273</v>
      </c>
      <c r="K519">
        <v>1.0760625565382964</v>
      </c>
      <c r="L519">
        <v>0</v>
      </c>
      <c r="M519">
        <v>6.864661314286793E-4</v>
      </c>
      <c r="N519">
        <v>7.0892630453574634E-2</v>
      </c>
      <c r="O519">
        <v>8.6970369688586513E-3</v>
      </c>
      <c r="P519">
        <v>1.2744408396645349E-2</v>
      </c>
      <c r="Q519">
        <v>2.9487947457013022E-3</v>
      </c>
      <c r="R519">
        <v>6.7523156846504228E-4</v>
      </c>
      <c r="S519">
        <v>8.519732954982287E-2</v>
      </c>
      <c r="T519">
        <v>0.81492488493919313</v>
      </c>
      <c r="U519">
        <v>1.6400858850376655E-2</v>
      </c>
      <c r="V519">
        <v>1.0410204288829192E-2</v>
      </c>
      <c r="W519">
        <v>4.2049998702596458E-2</v>
      </c>
      <c r="X519">
        <v>9.9698864663263932E-3</v>
      </c>
      <c r="Y519">
        <v>1.8377577393351228E-3</v>
      </c>
    </row>
    <row r="520" spans="1:25">
      <c r="A520" s="876"/>
      <c r="B520" s="1202">
        <v>270</v>
      </c>
      <c r="C520" s="880">
        <v>1.0057261010842236</v>
      </c>
      <c r="D520" s="880">
        <v>0.98744146606201388</v>
      </c>
      <c r="E520" s="880">
        <v>0.99429478254775794</v>
      </c>
      <c r="F520" s="880">
        <v>0.99555004324224516</v>
      </c>
      <c r="G520" s="880">
        <v>0.98636936769637373</v>
      </c>
      <c r="H520" s="880">
        <v>1.0430695619940309</v>
      </c>
      <c r="I520" s="880">
        <v>0.99810358007224731</v>
      </c>
      <c r="K520">
        <v>1.0807752983605308</v>
      </c>
      <c r="L520">
        <v>0</v>
      </c>
      <c r="M520">
        <v>7.2924541156164826E-4</v>
      </c>
      <c r="N520">
        <v>7.1439098499345446E-2</v>
      </c>
      <c r="O520">
        <v>8.7966283515384675E-3</v>
      </c>
      <c r="P520">
        <v>1.2631242878782263E-2</v>
      </c>
      <c r="Q520">
        <v>2.9376293219574275E-3</v>
      </c>
      <c r="R520">
        <v>7.1744466640563556E-4</v>
      </c>
      <c r="S520">
        <v>8.6902713088431005E-2</v>
      </c>
      <c r="T520">
        <v>0.81629792451302663</v>
      </c>
      <c r="U520">
        <v>1.6814348208445504E-2</v>
      </c>
      <c r="V520">
        <v>1.0412581308530972E-2</v>
      </c>
      <c r="W520">
        <v>4.286972700064675E-2</v>
      </c>
      <c r="X520">
        <v>9.7325580585956185E-3</v>
      </c>
      <c r="Y520">
        <v>1.952647876385422E-3</v>
      </c>
    </row>
    <row r="521" spans="1:25">
      <c r="A521" s="876"/>
      <c r="B521" s="1202">
        <v>271</v>
      </c>
      <c r="C521" s="880">
        <v>0.98869472935080172</v>
      </c>
      <c r="D521" s="880">
        <v>1.0072837018693666</v>
      </c>
      <c r="E521" s="880">
        <v>1.0147485727242549</v>
      </c>
      <c r="F521" s="880">
        <v>0.98239135249597209</v>
      </c>
      <c r="G521" s="880">
        <v>1.0232070059377167</v>
      </c>
      <c r="H521" s="880">
        <v>0.97637689057690735</v>
      </c>
      <c r="I521" s="880">
        <v>1.0343849634349391</v>
      </c>
      <c r="K521">
        <v>1.0760711867092869</v>
      </c>
      <c r="L521">
        <v>0</v>
      </c>
      <c r="M521">
        <v>6.5807831118853499E-4</v>
      </c>
      <c r="N521">
        <v>6.8622588318759378E-2</v>
      </c>
      <c r="O521">
        <v>8.8537018817575232E-3</v>
      </c>
      <c r="P521">
        <v>1.2824403229371241E-2</v>
      </c>
      <c r="Q521">
        <v>3.022445634970671E-3</v>
      </c>
      <c r="R521">
        <v>6.4668514894550516E-4</v>
      </c>
      <c r="S521">
        <v>8.8223161903209404E-2</v>
      </c>
      <c r="T521">
        <v>0.81464972625264087</v>
      </c>
      <c r="U521">
        <v>1.7103994148989023E-2</v>
      </c>
      <c r="V521">
        <v>1.0414246391546467E-2</v>
      </c>
      <c r="W521">
        <v>4.0609050268296421E-2</v>
      </c>
      <c r="X521">
        <v>9.9991980462592212E-3</v>
      </c>
      <c r="Y521">
        <v>1.7600637957276082E-3</v>
      </c>
    </row>
    <row r="522" spans="1:25">
      <c r="A522" s="876"/>
      <c r="B522" s="1202">
        <v>272</v>
      </c>
      <c r="C522" s="880">
        <v>0.98763871964288941</v>
      </c>
      <c r="D522" s="880">
        <v>1.0007655044658601</v>
      </c>
      <c r="E522" s="880">
        <v>0.98857524666317886</v>
      </c>
      <c r="F522" s="880">
        <v>0.98972656851614071</v>
      </c>
      <c r="G522" s="880">
        <v>0.96764462713083332</v>
      </c>
      <c r="H522" s="880">
        <v>1.0241490576929992</v>
      </c>
      <c r="I522" s="880">
        <v>1.0033288658388935</v>
      </c>
      <c r="K522">
        <v>1.0809561410310906</v>
      </c>
      <c r="L522">
        <v>0</v>
      </c>
      <c r="M522">
        <v>7.32707725255641E-4</v>
      </c>
      <c r="N522">
        <v>7.048895394283522E-2</v>
      </c>
      <c r="O522">
        <v>8.8938943747766518E-3</v>
      </c>
      <c r="P522">
        <v>1.2597927270651569E-2</v>
      </c>
      <c r="Q522">
        <v>2.9559691600811759E-3</v>
      </c>
      <c r="R522">
        <v>7.206199847967611E-4</v>
      </c>
      <c r="S522">
        <v>8.7677516672055825E-2</v>
      </c>
      <c r="T522">
        <v>0.81676135632572755</v>
      </c>
      <c r="U522">
        <v>1.7122282196537348E-2</v>
      </c>
      <c r="V522">
        <v>1.0414351523754773E-2</v>
      </c>
      <c r="W522">
        <v>4.2466420526683875E-2</v>
      </c>
      <c r="X522">
        <v>9.62826673214273E-3</v>
      </c>
      <c r="Y522">
        <v>1.9612900463026385E-3</v>
      </c>
    </row>
    <row r="523" spans="1:25">
      <c r="A523" s="876"/>
      <c r="B523" s="1202">
        <v>273</v>
      </c>
      <c r="C523" s="880">
        <v>1.0275347490257523</v>
      </c>
      <c r="D523" s="880">
        <v>1.0193769057865314</v>
      </c>
      <c r="E523" s="880">
        <v>0.99122465824358108</v>
      </c>
      <c r="F523" s="880">
        <v>1.0249775083280837</v>
      </c>
      <c r="G523" s="880">
        <v>1.0359149522262625</v>
      </c>
      <c r="H523" s="880">
        <v>1.0014880349747015</v>
      </c>
      <c r="I523" s="880">
        <v>0.99666761306715856</v>
      </c>
      <c r="K523">
        <v>1.0658554281176753</v>
      </c>
      <c r="L523">
        <v>0</v>
      </c>
      <c r="M523">
        <v>6.7817580966030412E-4</v>
      </c>
      <c r="N523">
        <v>6.5756709946061767E-2</v>
      </c>
      <c r="O523">
        <v>8.4650623138305212E-3</v>
      </c>
      <c r="P523">
        <v>1.2536475918440038E-2</v>
      </c>
      <c r="Q523">
        <v>2.8248559093544596E-3</v>
      </c>
      <c r="R523">
        <v>6.6671912060595076E-4</v>
      </c>
      <c r="S523">
        <v>8.2171351367262266E-2</v>
      </c>
      <c r="T523">
        <v>0.81654654683267403</v>
      </c>
      <c r="U523">
        <v>1.6457476384118451E-2</v>
      </c>
      <c r="V523">
        <v>1.0410529765145688E-2</v>
      </c>
      <c r="W523">
        <v>3.9543197282437582E-2</v>
      </c>
      <c r="X523">
        <v>9.3400894250129079E-3</v>
      </c>
      <c r="Y523">
        <v>1.8145896623903586E-3</v>
      </c>
    </row>
    <row r="524" spans="1:25">
      <c r="A524" s="876"/>
      <c r="B524" s="1202">
        <v>274</v>
      </c>
      <c r="C524" s="880">
        <v>0.98846823709806286</v>
      </c>
      <c r="D524" s="880">
        <v>0.99036196547168209</v>
      </c>
      <c r="E524" s="880">
        <v>1.030871971364957</v>
      </c>
      <c r="F524" s="880">
        <v>0.97677714608128785</v>
      </c>
      <c r="G524" s="880">
        <v>1.034600759648644</v>
      </c>
      <c r="H524" s="880">
        <v>1.0167641900332895</v>
      </c>
      <c r="I524" s="880">
        <v>1.0088877683699855</v>
      </c>
      <c r="K524">
        <v>1.0827193867157889</v>
      </c>
      <c r="L524">
        <v>0</v>
      </c>
      <c r="M524">
        <v>6.6849332557781551E-4</v>
      </c>
      <c r="N524">
        <v>7.3341153924326413E-2</v>
      </c>
      <c r="O524">
        <v>8.9361109692402893E-3</v>
      </c>
      <c r="P524">
        <v>1.2959467971577463E-2</v>
      </c>
      <c r="Q524">
        <v>3.0958711868561682E-3</v>
      </c>
      <c r="R524">
        <v>6.5739338975798168E-4</v>
      </c>
      <c r="S524">
        <v>8.8278690501670309E-2</v>
      </c>
      <c r="T524">
        <v>0.81336051969399514</v>
      </c>
      <c r="U524">
        <v>1.7107913265476761E-2</v>
      </c>
      <c r="V524">
        <v>1.0414268921309127E-2</v>
      </c>
      <c r="W524">
        <v>4.2932645271933925E-2</v>
      </c>
      <c r="X524">
        <v>1.0514636847974245E-2</v>
      </c>
      <c r="Y524">
        <v>1.7892080972485348E-3</v>
      </c>
    </row>
    <row r="525" spans="1:25">
      <c r="A525" s="876"/>
      <c r="B525" s="1202">
        <v>275</v>
      </c>
      <c r="C525" s="880">
        <v>1.000990298345608</v>
      </c>
      <c r="D525" s="880">
        <v>1.0140318231395764</v>
      </c>
      <c r="E525" s="880">
        <v>0.95592374785601497</v>
      </c>
      <c r="F525" s="880">
        <v>0.96600282835326146</v>
      </c>
      <c r="G525" s="880">
        <v>1.0104044502725558</v>
      </c>
      <c r="H525" s="880">
        <v>0.97903624946063605</v>
      </c>
      <c r="I525" s="880">
        <v>1.0117805053339077</v>
      </c>
      <c r="K525">
        <v>1.0694384069126945</v>
      </c>
      <c r="L525">
        <v>0</v>
      </c>
      <c r="M525">
        <v>7.3489636248722857E-4</v>
      </c>
      <c r="N525">
        <v>6.3806605582026887E-2</v>
      </c>
      <c r="O525">
        <v>8.7138975346432307E-3</v>
      </c>
      <c r="P525">
        <v>1.2284206346311447E-2</v>
      </c>
      <c r="Q525">
        <v>2.8039525206869247E-3</v>
      </c>
      <c r="R525">
        <v>7.2220163240925941E-4</v>
      </c>
      <c r="S525">
        <v>8.5048136736586344E-2</v>
      </c>
      <c r="T525">
        <v>0.81942817145694591</v>
      </c>
      <c r="U525">
        <v>1.6893898865854667E-2</v>
      </c>
      <c r="V525">
        <v>1.0413038620131029E-2</v>
      </c>
      <c r="W525">
        <v>3.9326373353736128E-2</v>
      </c>
      <c r="X525">
        <v>8.7672258561353709E-3</v>
      </c>
      <c r="Y525">
        <v>1.965594769713864E-3</v>
      </c>
    </row>
    <row r="526" spans="1:25">
      <c r="A526" s="876"/>
      <c r="B526" s="1202">
        <v>276</v>
      </c>
      <c r="C526" s="880">
        <v>0.98744502552380797</v>
      </c>
      <c r="D526" s="880">
        <v>1.007166278599434</v>
      </c>
      <c r="E526" s="880">
        <v>0.97252628926245333</v>
      </c>
      <c r="F526" s="880">
        <v>0.99681766722473519</v>
      </c>
      <c r="G526" s="880">
        <v>1.0089010611421669</v>
      </c>
      <c r="H526" s="880">
        <v>0.97852297655825182</v>
      </c>
      <c r="I526" s="880">
        <v>1.0164713535848953</v>
      </c>
      <c r="K526">
        <v>1.0740053900392579</v>
      </c>
      <c r="L526">
        <v>0</v>
      </c>
      <c r="M526">
        <v>7.2174675171659684E-4</v>
      </c>
      <c r="N526">
        <v>6.5995770955007443E-2</v>
      </c>
      <c r="O526">
        <v>8.8654578276731299E-3</v>
      </c>
      <c r="P526">
        <v>1.2452128690300726E-2</v>
      </c>
      <c r="Q526">
        <v>2.9002365539595332E-3</v>
      </c>
      <c r="R526">
        <v>7.0927882329927829E-4</v>
      </c>
      <c r="S526">
        <v>8.6888744210041932E-2</v>
      </c>
      <c r="T526">
        <v>0.81806765793420688</v>
      </c>
      <c r="U526">
        <v>1.7125640849708922E-2</v>
      </c>
      <c r="V526">
        <v>1.0414370831590891E-2</v>
      </c>
      <c r="W526">
        <v>4.0204555013149137E-2</v>
      </c>
      <c r="X526">
        <v>9.1728719587160779E-3</v>
      </c>
      <c r="Y526">
        <v>1.9304231433193736E-3</v>
      </c>
    </row>
    <row r="527" spans="1:25">
      <c r="A527" s="876"/>
      <c r="B527" s="1202">
        <v>277</v>
      </c>
      <c r="C527" s="880">
        <v>0.97224661764166154</v>
      </c>
      <c r="D527" s="880">
        <v>1.0017300495959809</v>
      </c>
      <c r="E527" s="880">
        <v>0.99681548888953264</v>
      </c>
      <c r="F527" s="880">
        <v>1.0319848397968376</v>
      </c>
      <c r="G527" s="880">
        <v>0.99995409613090591</v>
      </c>
      <c r="H527" s="880">
        <v>1.0033489616763045</v>
      </c>
      <c r="I527" s="880">
        <v>1.0165882097738002</v>
      </c>
      <c r="K527">
        <v>1.0828255208062376</v>
      </c>
      <c r="L527">
        <v>0</v>
      </c>
      <c r="M527">
        <v>7.1629316080742413E-4</v>
      </c>
      <c r="N527">
        <v>7.067556064512566E-2</v>
      </c>
      <c r="O527">
        <v>9.0300583212347511E-3</v>
      </c>
      <c r="P527">
        <v>1.2694601742988138E-2</v>
      </c>
      <c r="Q527">
        <v>3.0265059801242496E-3</v>
      </c>
      <c r="R527">
        <v>7.0423039132237221E-4</v>
      </c>
      <c r="S527">
        <v>8.9422403840464695E-2</v>
      </c>
      <c r="T527">
        <v>0.81609403385318158</v>
      </c>
      <c r="U527">
        <v>1.7393353249170282E-2</v>
      </c>
      <c r="V527">
        <v>1.0415909825607339E-2</v>
      </c>
      <c r="W527">
        <v>4.233822303041726E-2</v>
      </c>
      <c r="X527">
        <v>9.8302501117134965E-3</v>
      </c>
      <c r="Y527">
        <v>1.9166829756933894E-3</v>
      </c>
    </row>
    <row r="528" spans="1:25">
      <c r="A528" s="876"/>
      <c r="B528" s="1202">
        <v>278</v>
      </c>
      <c r="C528" s="880">
        <v>0.99367578853602068</v>
      </c>
      <c r="D528" s="880">
        <v>1.0130557278781531</v>
      </c>
      <c r="E528" s="880">
        <v>1.0251407419757288</v>
      </c>
      <c r="F528" s="880">
        <v>0.98751413757059714</v>
      </c>
      <c r="G528" s="880">
        <v>0.96952276317390285</v>
      </c>
      <c r="H528" s="880">
        <v>0.99328019793119371</v>
      </c>
      <c r="I528" s="880">
        <v>0.97569530442704355</v>
      </c>
      <c r="K528">
        <v>1.0720951202981124</v>
      </c>
      <c r="L528">
        <v>0</v>
      </c>
      <c r="M528">
        <v>6.4967608795106946E-4</v>
      </c>
      <c r="N528">
        <v>6.9989677395540004E-2</v>
      </c>
      <c r="O528">
        <v>8.7825445496722502E-3</v>
      </c>
      <c r="P528">
        <v>1.2839334645624621E-2</v>
      </c>
      <c r="Q528">
        <v>3.0305780938273698E-3</v>
      </c>
      <c r="R528">
        <v>6.3861518153422378E-4</v>
      </c>
      <c r="S528">
        <v>8.3154794447409516E-2</v>
      </c>
      <c r="T528">
        <v>0.81381776574268794</v>
      </c>
      <c r="U528">
        <v>1.7018255915107607E-2</v>
      </c>
      <c r="V528">
        <v>1.0413753509523832E-2</v>
      </c>
      <c r="W528">
        <v>4.1128621424421703E-2</v>
      </c>
      <c r="X528">
        <v>1.0192755476017397E-2</v>
      </c>
      <c r="Y528">
        <v>1.7381000046981425E-3</v>
      </c>
    </row>
    <row r="529" spans="1:25">
      <c r="A529" s="876"/>
      <c r="B529" s="1202">
        <v>279</v>
      </c>
      <c r="C529" s="880">
        <v>0.96112704306359864</v>
      </c>
      <c r="D529" s="880">
        <v>0.99456610451543181</v>
      </c>
      <c r="E529" s="880">
        <v>1.0216793680551541</v>
      </c>
      <c r="F529" s="880">
        <v>0.98308231825852144</v>
      </c>
      <c r="G529" s="880">
        <v>0.96167994082160413</v>
      </c>
      <c r="H529" s="880">
        <v>0.9915425545518558</v>
      </c>
      <c r="I529" s="880">
        <v>0.97425328700837077</v>
      </c>
      <c r="K529">
        <v>1.0815710789947399</v>
      </c>
      <c r="L529">
        <v>0</v>
      </c>
      <c r="M529">
        <v>6.8207445017413914E-4</v>
      </c>
      <c r="N529">
        <v>7.2693767531207668E-2</v>
      </c>
      <c r="O529">
        <v>9.1695645839826433E-3</v>
      </c>
      <c r="P529">
        <v>1.2866123239725273E-2</v>
      </c>
      <c r="Q529">
        <v>3.148949174820764E-3</v>
      </c>
      <c r="R529">
        <v>6.7045730039888628E-4</v>
      </c>
      <c r="S529">
        <v>8.6571397824889471E-2</v>
      </c>
      <c r="T529">
        <v>0.81409446218698023</v>
      </c>
      <c r="U529">
        <v>1.7594582306257493E-2</v>
      </c>
      <c r="V529">
        <v>1.0417066627889972E-2</v>
      </c>
      <c r="W529">
        <v>4.281730272704843E-2</v>
      </c>
      <c r="X529">
        <v>1.038471618621656E-2</v>
      </c>
      <c r="Y529">
        <v>1.8247637554960911E-3</v>
      </c>
    </row>
    <row r="530" spans="1:25">
      <c r="A530" s="876"/>
      <c r="B530" s="1202">
        <v>280</v>
      </c>
      <c r="C530" s="880">
        <v>0.99312620308946964</v>
      </c>
      <c r="D530" s="880">
        <v>1.0363185163879618</v>
      </c>
      <c r="E530" s="880">
        <v>1.0207007746635497</v>
      </c>
      <c r="F530" s="880">
        <v>0.99074141143506222</v>
      </c>
      <c r="G530" s="880">
        <v>1.0016571112248385</v>
      </c>
      <c r="H530" s="880">
        <v>0.98475173862030319</v>
      </c>
      <c r="I530" s="880">
        <v>0.98863981833829917</v>
      </c>
      <c r="K530">
        <v>1.0693940928472896</v>
      </c>
      <c r="L530">
        <v>0</v>
      </c>
      <c r="M530">
        <v>6.4273744583399439E-4</v>
      </c>
      <c r="N530">
        <v>6.8281679092279599E-2</v>
      </c>
      <c r="O530">
        <v>8.6819006361073016E-3</v>
      </c>
      <c r="P530">
        <v>1.2801442292425157E-2</v>
      </c>
      <c r="Q530">
        <v>2.9876847515870279E-3</v>
      </c>
      <c r="R530">
        <v>6.3168167950370519E-4</v>
      </c>
      <c r="S530">
        <v>8.3061552113412887E-2</v>
      </c>
      <c r="T530">
        <v>0.81417276339919353</v>
      </c>
      <c r="U530">
        <v>1.7027673636387703E-2</v>
      </c>
      <c r="V530">
        <v>1.0413807649028514E-2</v>
      </c>
      <c r="W530">
        <v>4.024508622209487E-2</v>
      </c>
      <c r="X530">
        <v>1.0012329523303085E-2</v>
      </c>
      <c r="Y530">
        <v>1.7192292977994009E-3</v>
      </c>
    </row>
    <row r="531" spans="1:25">
      <c r="A531" s="876"/>
      <c r="B531" s="1202">
        <v>281</v>
      </c>
      <c r="C531" s="880">
        <v>1.0008590727603497</v>
      </c>
      <c r="D531" s="880">
        <v>0.97783839243149773</v>
      </c>
      <c r="E531" s="880">
        <v>1.0228518125655881</v>
      </c>
      <c r="F531" s="880">
        <v>0.98543011462984453</v>
      </c>
      <c r="G531" s="880">
        <v>1.0135085323462614</v>
      </c>
      <c r="H531" s="880">
        <v>0.96331359255867954</v>
      </c>
      <c r="I531" s="880">
        <v>1.0072736367984418</v>
      </c>
      <c r="K531">
        <v>1.0723690630161797</v>
      </c>
      <c r="L531">
        <v>0</v>
      </c>
      <c r="M531">
        <v>6.4053705995167443E-4</v>
      </c>
      <c r="N531">
        <v>6.8482612099840523E-2</v>
      </c>
      <c r="O531">
        <v>8.8856695576326333E-3</v>
      </c>
      <c r="P531">
        <v>1.2853398007718239E-2</v>
      </c>
      <c r="Q531">
        <v>3.051118920426971E-3</v>
      </c>
      <c r="R531">
        <v>6.2932174313682233E-4</v>
      </c>
      <c r="S531">
        <v>8.5654687397734131E-2</v>
      </c>
      <c r="T531">
        <v>0.81400069316494494</v>
      </c>
      <c r="U531">
        <v>1.6896113874766798E-2</v>
      </c>
      <c r="V531">
        <v>1.0413051353517562E-2</v>
      </c>
      <c r="W531">
        <v>4.030504375111383E-2</v>
      </c>
      <c r="X531">
        <v>1.0125083876336812E-2</v>
      </c>
      <c r="Y531">
        <v>1.7128063289615603E-3</v>
      </c>
    </row>
    <row r="532" spans="1:25">
      <c r="A532" s="876"/>
      <c r="B532" s="1202">
        <v>282</v>
      </c>
      <c r="C532" s="880">
        <v>1.0316780372861001</v>
      </c>
      <c r="D532" s="880">
        <v>1.0101332949587718</v>
      </c>
      <c r="E532" s="880">
        <v>0.9981071085524742</v>
      </c>
      <c r="F532" s="880">
        <v>0.99703208473924954</v>
      </c>
      <c r="G532" s="880">
        <v>0.99557669424768269</v>
      </c>
      <c r="H532" s="880">
        <v>0.97668553879797537</v>
      </c>
      <c r="I532" s="880">
        <v>1.0171835345360583</v>
      </c>
      <c r="K532">
        <v>1.0641599263357207</v>
      </c>
      <c r="L532">
        <v>0</v>
      </c>
      <c r="M532">
        <v>6.5240298582257077E-4</v>
      </c>
      <c r="N532">
        <v>6.4599933528711601E-2</v>
      </c>
      <c r="O532">
        <v>8.47206372937819E-3</v>
      </c>
      <c r="P532">
        <v>1.2604681933060689E-2</v>
      </c>
      <c r="Q532">
        <v>2.8449531638138344E-3</v>
      </c>
      <c r="R532">
        <v>6.4110931492103972E-4</v>
      </c>
      <c r="S532">
        <v>8.3035589564102633E-2</v>
      </c>
      <c r="T532">
        <v>0.81598964308622135</v>
      </c>
      <c r="U532">
        <v>1.6391382054072749E-2</v>
      </c>
      <c r="V532">
        <v>1.0410149809720885E-2</v>
      </c>
      <c r="W532">
        <v>3.8664369594762889E-2</v>
      </c>
      <c r="X532">
        <v>9.4135653291903057E-3</v>
      </c>
      <c r="Y532">
        <v>1.7448882135862056E-3</v>
      </c>
    </row>
    <row r="533" spans="1:25">
      <c r="A533" s="876"/>
      <c r="B533" s="1202">
        <v>283</v>
      </c>
      <c r="C533" s="880">
        <v>0.98858012426551412</v>
      </c>
      <c r="D533" s="880">
        <v>1.0211275049644772</v>
      </c>
      <c r="E533" s="880">
        <v>1.0317491441372597</v>
      </c>
      <c r="F533" s="880">
        <v>0.99448287914829203</v>
      </c>
      <c r="G533" s="880">
        <v>1.0040076932476776</v>
      </c>
      <c r="H533" s="880">
        <v>1.0073574758338606</v>
      </c>
      <c r="I533" s="880">
        <v>0.99285931760248902</v>
      </c>
      <c r="K533">
        <v>1.0762977627352448</v>
      </c>
      <c r="L533">
        <v>0</v>
      </c>
      <c r="M533">
        <v>6.5034040611422397E-4</v>
      </c>
      <c r="N533">
        <v>7.1530086866854678E-2</v>
      </c>
      <c r="O533">
        <v>8.7905931045848956E-3</v>
      </c>
      <c r="P533">
        <v>1.2923978948245032E-2</v>
      </c>
      <c r="Q533">
        <v>3.0550534856581802E-3</v>
      </c>
      <c r="R533">
        <v>6.3941660048410999E-4</v>
      </c>
      <c r="S533">
        <v>8.5218841803263792E-2</v>
      </c>
      <c r="T533">
        <v>0.81329063648023392</v>
      </c>
      <c r="U533">
        <v>1.7105976997581741E-2</v>
      </c>
      <c r="V533">
        <v>1.0414257790316654E-2</v>
      </c>
      <c r="W533">
        <v>4.1847894479465637E-2</v>
      </c>
      <c r="X533">
        <v>1.0391085381777888E-2</v>
      </c>
      <c r="Y533">
        <v>1.7402812028920473E-3</v>
      </c>
    </row>
    <row r="534" spans="1:25">
      <c r="A534" s="876"/>
      <c r="B534" s="1202">
        <v>284</v>
      </c>
      <c r="C534" s="880">
        <v>0.97277484899062938</v>
      </c>
      <c r="D534" s="880">
        <v>1.0299292011778691</v>
      </c>
      <c r="E534" s="880">
        <v>0.9916768950459709</v>
      </c>
      <c r="F534" s="880">
        <v>0.98986062923055096</v>
      </c>
      <c r="G534" s="880">
        <v>1.02292475440078</v>
      </c>
      <c r="H534" s="880">
        <v>1.0131230968954708</v>
      </c>
      <c r="I534" s="880">
        <v>1.0408205140810449</v>
      </c>
      <c r="K534">
        <v>1.0830169451426566</v>
      </c>
      <c r="L534">
        <v>0</v>
      </c>
      <c r="M534">
        <v>7.2003879982855288E-4</v>
      </c>
      <c r="N534">
        <v>6.9927061411680133E-2</v>
      </c>
      <c r="O534">
        <v>8.892723341951049E-3</v>
      </c>
      <c r="P534">
        <v>1.2667445546875567E-2</v>
      </c>
      <c r="Q534">
        <v>2.9711859731027732E-3</v>
      </c>
      <c r="R534">
        <v>7.0800559691137736E-4</v>
      </c>
      <c r="S534">
        <v>9.0617787649556067E-2</v>
      </c>
      <c r="T534">
        <v>0.81650990407576685</v>
      </c>
      <c r="U534">
        <v>1.7383908397199214E-2</v>
      </c>
      <c r="V534">
        <v>1.0415855530136898E-2</v>
      </c>
      <c r="W534">
        <v>4.2037975288051463E-2</v>
      </c>
      <c r="X534">
        <v>9.6781732904419743E-3</v>
      </c>
      <c r="Y534">
        <v>1.926957840810474E-3</v>
      </c>
    </row>
    <row r="535" spans="1:25">
      <c r="A535" s="876"/>
      <c r="B535" s="1202">
        <v>285</v>
      </c>
      <c r="C535" s="880">
        <v>0.98659717364519173</v>
      </c>
      <c r="D535" s="880">
        <v>0.99829780279323332</v>
      </c>
      <c r="E535" s="880">
        <v>1.0040272554241823</v>
      </c>
      <c r="F535" s="880">
        <v>0.98935837996762266</v>
      </c>
      <c r="G535" s="880">
        <v>1.0002192785408772</v>
      </c>
      <c r="H535" s="880">
        <v>1.0004219476199301</v>
      </c>
      <c r="I535" s="880">
        <v>1.0030981848537412</v>
      </c>
      <c r="K535">
        <v>1.0782820963513289</v>
      </c>
      <c r="L535">
        <v>0</v>
      </c>
      <c r="M535">
        <v>6.9447291592450282E-4</v>
      </c>
      <c r="N535">
        <v>7.0074123822984072E-2</v>
      </c>
      <c r="O535">
        <v>8.9150135862369247E-3</v>
      </c>
      <c r="P535">
        <v>1.2718454746588875E-2</v>
      </c>
      <c r="Q535">
        <v>3.0089098735977581E-3</v>
      </c>
      <c r="R535">
        <v>6.8274634914616838E-4</v>
      </c>
      <c r="S535">
        <v>8.6994640868879938E-2</v>
      </c>
      <c r="T535">
        <v>0.81551189261874857</v>
      </c>
      <c r="U535">
        <v>1.7140358109351252E-2</v>
      </c>
      <c r="V535">
        <v>1.041445543646752E-2</v>
      </c>
      <c r="W535">
        <v>4.1771358920563093E-2</v>
      </c>
      <c r="X535">
        <v>9.8864044395861779E-3</v>
      </c>
      <c r="Y535">
        <v>1.8582104951023624E-3</v>
      </c>
    </row>
    <row r="536" spans="1:25">
      <c r="A536" s="876"/>
      <c r="B536" s="1202">
        <v>286</v>
      </c>
      <c r="C536" s="880">
        <v>0.99249943331219681</v>
      </c>
      <c r="D536" s="880">
        <v>0.99568415739359972</v>
      </c>
      <c r="E536" s="880">
        <v>0.96067631441439227</v>
      </c>
      <c r="F536" s="880">
        <v>1.0079997922656279</v>
      </c>
      <c r="G536" s="880">
        <v>0.9964287821502682</v>
      </c>
      <c r="H536" s="880">
        <v>1.0190090995364465</v>
      </c>
      <c r="I536" s="880">
        <v>0.9978497310216492</v>
      </c>
      <c r="K536">
        <v>1.078269242041912</v>
      </c>
      <c r="L536">
        <v>0</v>
      </c>
      <c r="M536">
        <v>7.7126569111007101E-4</v>
      </c>
      <c r="N536">
        <v>6.8013321243545283E-2</v>
      </c>
      <c r="O536">
        <v>8.8743983253049101E-3</v>
      </c>
      <c r="P536">
        <v>1.2349639346389198E-2</v>
      </c>
      <c r="Q536">
        <v>2.8656917676831866E-3</v>
      </c>
      <c r="R536">
        <v>7.5848244882871063E-4</v>
      </c>
      <c r="S536">
        <v>8.6806963106353649E-2</v>
      </c>
      <c r="T536">
        <v>0.81903776853781052</v>
      </c>
      <c r="U536">
        <v>1.7038426721834733E-2</v>
      </c>
      <c r="V536">
        <v>1.041386946511993E-2</v>
      </c>
      <c r="W536">
        <v>4.1778994808734433E-2</v>
      </c>
      <c r="X536">
        <v>9.0386127693780696E-3</v>
      </c>
      <c r="Y536">
        <v>2.064339192039692E-3</v>
      </c>
    </row>
    <row r="537" spans="1:25">
      <c r="A537" s="876"/>
      <c r="B537" s="1202">
        <v>287</v>
      </c>
      <c r="C537" s="880">
        <v>0.99007990819320169</v>
      </c>
      <c r="D537" s="880">
        <v>1.0157757377184098</v>
      </c>
      <c r="E537" s="880">
        <v>1.0013186308067328</v>
      </c>
      <c r="F537" s="880">
        <v>1.0107297533027988</v>
      </c>
      <c r="G537" s="880">
        <v>0.98901291157232762</v>
      </c>
      <c r="H537" s="880">
        <v>1.0028869427321241</v>
      </c>
      <c r="I537" s="880">
        <v>1.0254904165587173</v>
      </c>
      <c r="K537">
        <v>1.0777444657471025</v>
      </c>
      <c r="L537">
        <v>0</v>
      </c>
      <c r="M537">
        <v>6.9129681011212874E-4</v>
      </c>
      <c r="N537">
        <v>6.9169842589660288E-2</v>
      </c>
      <c r="O537">
        <v>8.8018645078204883E-3</v>
      </c>
      <c r="P537">
        <v>1.2708046274640863E-2</v>
      </c>
      <c r="Q537">
        <v>2.9664870913152122E-3</v>
      </c>
      <c r="R537">
        <v>6.7963776006078685E-4</v>
      </c>
      <c r="S537">
        <v>8.7952019960954558E-2</v>
      </c>
      <c r="T537">
        <v>0.81573032834936232</v>
      </c>
      <c r="U537">
        <v>1.7080064675600398E-2</v>
      </c>
      <c r="V537">
        <v>1.0414108828563071E-2</v>
      </c>
      <c r="W537">
        <v>4.1308660793539925E-2</v>
      </c>
      <c r="X537">
        <v>9.7749517853379236E-3</v>
      </c>
      <c r="Y537">
        <v>1.8497499403580706E-3</v>
      </c>
    </row>
    <row r="538" spans="1:25">
      <c r="A538" s="876"/>
      <c r="B538" s="1202">
        <v>288</v>
      </c>
      <c r="C538" s="880">
        <v>0.95249489914357077</v>
      </c>
      <c r="D538" s="880">
        <v>0.99230534433399908</v>
      </c>
      <c r="E538" s="880">
        <v>1.0136378685565075</v>
      </c>
      <c r="F538" s="880">
        <v>1.0262969882497879</v>
      </c>
      <c r="G538" s="880">
        <v>1.0151708280512142</v>
      </c>
      <c r="H538" s="880">
        <v>0.98184938754989315</v>
      </c>
      <c r="I538" s="880">
        <v>1.0186491424776711</v>
      </c>
      <c r="K538">
        <v>1.0862220355991241</v>
      </c>
      <c r="L538">
        <v>0</v>
      </c>
      <c r="M538">
        <v>6.9403941117532157E-4</v>
      </c>
      <c r="N538">
        <v>7.2131592440560055E-2</v>
      </c>
      <c r="O538">
        <v>9.2639078037602234E-3</v>
      </c>
      <c r="P538">
        <v>1.2863367335118238E-2</v>
      </c>
      <c r="Q538">
        <v>3.1554457808655638E-3</v>
      </c>
      <c r="R538">
        <v>6.8210377299087323E-4</v>
      </c>
      <c r="S538">
        <v>9.1068177073205067E-2</v>
      </c>
      <c r="T538">
        <v>0.81473886303778431</v>
      </c>
      <c r="U538">
        <v>1.7754036143560931E-2</v>
      </c>
      <c r="V538">
        <v>1.0417983277630509E-2</v>
      </c>
      <c r="W538">
        <v>4.2717720386439444E-2</v>
      </c>
      <c r="X538">
        <v>1.026641634375078E-2</v>
      </c>
      <c r="Y538">
        <v>1.8564616146328219E-3</v>
      </c>
    </row>
    <row r="539" spans="1:25">
      <c r="A539" s="876"/>
      <c r="B539" s="1202">
        <v>289</v>
      </c>
      <c r="C539" s="880">
        <v>0.99875837007701262</v>
      </c>
      <c r="D539" s="880">
        <v>0.98306714918227767</v>
      </c>
      <c r="E539" s="880">
        <v>1.0004146091688733</v>
      </c>
      <c r="F539" s="880">
        <v>0.96198531396242448</v>
      </c>
      <c r="G539" s="880">
        <v>0.97645960373634144</v>
      </c>
      <c r="H539" s="880">
        <v>0.98201010485105134</v>
      </c>
      <c r="I539" s="880">
        <v>1.0069490457889869</v>
      </c>
      <c r="K539">
        <v>1.0745086948910814</v>
      </c>
      <c r="L539">
        <v>0</v>
      </c>
      <c r="M539">
        <v>6.8411334515244642E-4</v>
      </c>
      <c r="N539">
        <v>6.8236819698901205E-2</v>
      </c>
      <c r="O539">
        <v>8.8790239284061954E-3</v>
      </c>
      <c r="P539">
        <v>1.2675325385259745E-2</v>
      </c>
      <c r="Q539">
        <v>2.9824730153652367E-3</v>
      </c>
      <c r="R539">
        <v>6.7235845414210919E-4</v>
      </c>
      <c r="S539">
        <v>8.6259392761114287E-2</v>
      </c>
      <c r="T539">
        <v>0.81580328824307735</v>
      </c>
      <c r="U539">
        <v>1.6931651711362797E-2</v>
      </c>
      <c r="V539">
        <v>1.0413255649314045E-2</v>
      </c>
      <c r="W539">
        <v>4.0776653824627897E-2</v>
      </c>
      <c r="X539">
        <v>9.7326274953931907E-3</v>
      </c>
      <c r="Y539">
        <v>1.8299380692699818E-3</v>
      </c>
    </row>
    <row r="540" spans="1:25">
      <c r="A540" s="876"/>
      <c r="B540" s="1202">
        <v>290</v>
      </c>
      <c r="C540" s="880">
        <v>0.97885282858038125</v>
      </c>
      <c r="D540" s="880">
        <v>0.99928040110016692</v>
      </c>
      <c r="E540" s="880">
        <v>1.0220253356945541</v>
      </c>
      <c r="F540" s="880">
        <v>0.98942642224241117</v>
      </c>
      <c r="G540" s="880">
        <v>1.0257632332647608</v>
      </c>
      <c r="H540" s="880">
        <v>0.99877765874394808</v>
      </c>
      <c r="I540" s="880">
        <v>1.0055519029330047</v>
      </c>
      <c r="K540">
        <v>1.0805891569137589</v>
      </c>
      <c r="L540">
        <v>0</v>
      </c>
      <c r="M540">
        <v>6.7242253230690515E-4</v>
      </c>
      <c r="N540">
        <v>7.175071931176269E-2</v>
      </c>
      <c r="O540">
        <v>8.9808327595686955E-3</v>
      </c>
      <c r="P540">
        <v>1.2881513369786003E-2</v>
      </c>
      <c r="Q540">
        <v>3.0862873851214886E-3</v>
      </c>
      <c r="R540">
        <v>6.6104878417932045E-4</v>
      </c>
      <c r="S540">
        <v>8.7793910903160507E-2</v>
      </c>
      <c r="T540">
        <v>0.81406678773123664</v>
      </c>
      <c r="U540">
        <v>1.7275966695093129E-2</v>
      </c>
      <c r="V540">
        <v>1.0415235007389336E-2</v>
      </c>
      <c r="W540">
        <v>4.2251986327620387E-2</v>
      </c>
      <c r="X540">
        <v>1.0298134295284705E-2</v>
      </c>
      <c r="Y540">
        <v>1.7991568758629712E-3</v>
      </c>
    </row>
    <row r="541" spans="1:25">
      <c r="A541" s="876"/>
      <c r="B541" s="1202">
        <v>291</v>
      </c>
      <c r="C541" s="880">
        <v>1.0410889642589953</v>
      </c>
      <c r="D541" s="880">
        <v>1.0126639365804737</v>
      </c>
      <c r="E541" s="880">
        <v>1.0074632671872505</v>
      </c>
      <c r="F541" s="880">
        <v>0.98879794102436502</v>
      </c>
      <c r="G541" s="880">
        <v>0.99473147302987708</v>
      </c>
      <c r="H541" s="880">
        <v>1.0071635532938588</v>
      </c>
      <c r="I541" s="880">
        <v>0.99531193449896971</v>
      </c>
      <c r="K541">
        <v>1.0647564852283264</v>
      </c>
      <c r="L541">
        <v>0</v>
      </c>
      <c r="M541">
        <v>6.5279868494665452E-4</v>
      </c>
      <c r="N541">
        <v>6.6583152672211307E-2</v>
      </c>
      <c r="O541">
        <v>8.3842979359503994E-3</v>
      </c>
      <c r="P541">
        <v>1.2658701233688936E-2</v>
      </c>
      <c r="Q541">
        <v>2.8425719500533926E-3</v>
      </c>
      <c r="R541">
        <v>6.4183812819049743E-4</v>
      </c>
      <c r="S541">
        <v>8.1450451269133292E-2</v>
      </c>
      <c r="T541">
        <v>0.81523515606608621</v>
      </c>
      <c r="U541">
        <v>1.6243212104345629E-2</v>
      </c>
      <c r="V541">
        <v>1.040929802748552E-2</v>
      </c>
      <c r="W541">
        <v>3.9597549895219138E-2</v>
      </c>
      <c r="X541">
        <v>9.6161828278569488E-3</v>
      </c>
      <c r="Y541">
        <v>1.74687180305244E-3</v>
      </c>
    </row>
    <row r="542" spans="1:25">
      <c r="A542" s="876"/>
      <c r="B542" s="1202">
        <v>292</v>
      </c>
      <c r="C542" s="880">
        <v>0.9767754202619896</v>
      </c>
      <c r="D542" s="880">
        <v>0.98312914110880456</v>
      </c>
      <c r="E542" s="880">
        <v>1.0330036481649678</v>
      </c>
      <c r="F542" s="880">
        <v>0.98271022940993047</v>
      </c>
      <c r="G542" s="880">
        <v>1.0214910914080821</v>
      </c>
      <c r="H542" s="880">
        <v>0.99506379721317728</v>
      </c>
      <c r="I542" s="880">
        <v>0.9919616605820093</v>
      </c>
      <c r="K542">
        <v>1.0815605403293274</v>
      </c>
      <c r="L542">
        <v>0</v>
      </c>
      <c r="M542">
        <v>6.6165625388932379E-4</v>
      </c>
      <c r="N542">
        <v>7.3046697724518786E-2</v>
      </c>
      <c r="O542">
        <v>9.0785462053577896E-3</v>
      </c>
      <c r="P542">
        <v>1.2967249630068289E-2</v>
      </c>
      <c r="Q542">
        <v>3.1501108016814381E-3</v>
      </c>
      <c r="R542">
        <v>6.5043632711008609E-4</v>
      </c>
      <c r="S542">
        <v>8.7363500817766795E-2</v>
      </c>
      <c r="T542">
        <v>0.81319073743630466</v>
      </c>
      <c r="U542">
        <v>1.7312709262705062E-2</v>
      </c>
      <c r="V542">
        <v>1.041544622880388E-2</v>
      </c>
      <c r="W542">
        <v>4.2699319284983252E-2</v>
      </c>
      <c r="X542">
        <v>1.0577169597799661E-2</v>
      </c>
      <c r="Y542">
        <v>1.7702732661160486E-3</v>
      </c>
    </row>
    <row r="543" spans="1:25">
      <c r="A543" s="876"/>
      <c r="B543" s="1202">
        <v>293</v>
      </c>
      <c r="C543" s="880">
        <v>1.0143339890004746</v>
      </c>
      <c r="D543" s="880">
        <v>0.97651555460461958</v>
      </c>
      <c r="E543" s="880">
        <v>1.0434096692468162</v>
      </c>
      <c r="F543" s="880">
        <v>1.0443067295081661</v>
      </c>
      <c r="G543" s="880">
        <v>1.0315062243211779</v>
      </c>
      <c r="H543" s="880">
        <v>0.97750444297308769</v>
      </c>
      <c r="I543" s="880">
        <v>1.0256976114812089</v>
      </c>
      <c r="K543">
        <v>1.0738247847586095</v>
      </c>
      <c r="L543">
        <v>0</v>
      </c>
      <c r="M543">
        <v>6.1447520291960892E-4</v>
      </c>
      <c r="N543">
        <v>7.0042565094162262E-2</v>
      </c>
      <c r="O543">
        <v>8.773973550378537E-3</v>
      </c>
      <c r="P543">
        <v>1.3034135674336552E-2</v>
      </c>
      <c r="Q543">
        <v>3.0742069033242074E-3</v>
      </c>
      <c r="R543">
        <v>6.038734668016904E-4</v>
      </c>
      <c r="S543">
        <v>8.6640445692259399E-2</v>
      </c>
      <c r="T543">
        <v>0.81236415485877744</v>
      </c>
      <c r="U543">
        <v>1.6671657510576122E-2</v>
      </c>
      <c r="V543">
        <v>1.04117610247837E-2</v>
      </c>
      <c r="W543">
        <v>4.0660348647015392E-2</v>
      </c>
      <c r="X543">
        <v>1.0518593029313184E-2</v>
      </c>
      <c r="Y543">
        <v>1.6435445097993707E-3</v>
      </c>
    </row>
    <row r="544" spans="1:25">
      <c r="A544" s="876"/>
      <c r="B544" s="1202">
        <v>294</v>
      </c>
      <c r="C544" s="880">
        <v>0.99696977749414273</v>
      </c>
      <c r="D544" s="880">
        <v>0.97661497684936305</v>
      </c>
      <c r="E544" s="880">
        <v>0.98924994016120649</v>
      </c>
      <c r="F544" s="880">
        <v>1.00193164118658</v>
      </c>
      <c r="G544" s="880">
        <v>1.0011950331092256</v>
      </c>
      <c r="H544" s="880">
        <v>0.966580584398255</v>
      </c>
      <c r="I544" s="880">
        <v>0.98210899320396539</v>
      </c>
      <c r="K544">
        <v>1.0708019595190637</v>
      </c>
      <c r="L544">
        <v>0</v>
      </c>
      <c r="M544">
        <v>6.9303621267724123E-4</v>
      </c>
      <c r="N544">
        <v>6.6748021183044778E-2</v>
      </c>
      <c r="O544">
        <v>8.9263040205135938E-3</v>
      </c>
      <c r="P544">
        <v>1.2551758671692526E-2</v>
      </c>
      <c r="Q544">
        <v>2.9633273907086572E-3</v>
      </c>
      <c r="R544">
        <v>6.8094381254031036E-4</v>
      </c>
      <c r="S544">
        <v>8.4009491877900133E-2</v>
      </c>
      <c r="T544">
        <v>0.81670663081139605</v>
      </c>
      <c r="U544">
        <v>1.6962027583681438E-2</v>
      </c>
      <c r="V544">
        <v>1.0413430270608544E-2</v>
      </c>
      <c r="W544">
        <v>4.0193972548300712E-2</v>
      </c>
      <c r="X544">
        <v>9.4857829766857114E-3</v>
      </c>
      <c r="Y544">
        <v>1.8533045846672494E-3</v>
      </c>
    </row>
    <row r="545" spans="1:25">
      <c r="A545" s="876"/>
      <c r="B545" s="1202">
        <v>295</v>
      </c>
      <c r="C545" s="880">
        <v>0.99968713478647464</v>
      </c>
      <c r="D545" s="880">
        <v>0.96395133978426528</v>
      </c>
      <c r="E545" s="880">
        <v>1.0227327911382289</v>
      </c>
      <c r="F545" s="880">
        <v>1.0058916463215202</v>
      </c>
      <c r="G545" s="880">
        <v>0.99138204606297298</v>
      </c>
      <c r="H545" s="880">
        <v>0.96515623074641133</v>
      </c>
      <c r="I545" s="880">
        <v>0.97496206107594607</v>
      </c>
      <c r="K545">
        <v>1.071712125404233</v>
      </c>
      <c r="L545">
        <v>0</v>
      </c>
      <c r="M545">
        <v>6.475992635279074E-4</v>
      </c>
      <c r="N545">
        <v>6.9215736921042395E-2</v>
      </c>
      <c r="O545">
        <v>8.9643953121104798E-3</v>
      </c>
      <c r="P545">
        <v>1.2825067543002246E-2</v>
      </c>
      <c r="Q545">
        <v>3.0744591976706141E-3</v>
      </c>
      <c r="R545">
        <v>6.3629397402079893E-4</v>
      </c>
      <c r="S545">
        <v>8.3664627707047551E-2</v>
      </c>
      <c r="T545">
        <v>0.81401021004699292</v>
      </c>
      <c r="U545">
        <v>1.6915921269272272E-2</v>
      </c>
      <c r="V545">
        <v>1.0413165219971588E-2</v>
      </c>
      <c r="W545">
        <v>4.0739785579040427E-2</v>
      </c>
      <c r="X545">
        <v>1.0168279454556664E-2</v>
      </c>
      <c r="Y545">
        <v>1.7317824430324515E-3</v>
      </c>
    </row>
    <row r="546" spans="1:25">
      <c r="A546" s="876"/>
      <c r="B546" s="1202">
        <v>296</v>
      </c>
      <c r="C546" s="880">
        <v>0.95438712252908842</v>
      </c>
      <c r="D546" s="880">
        <v>0.98295810561191788</v>
      </c>
      <c r="E546" s="880">
        <v>0.98676760782579587</v>
      </c>
      <c r="F546" s="880">
        <v>1.020830027213216</v>
      </c>
      <c r="G546" s="880">
        <v>1.0039551804425615</v>
      </c>
      <c r="H546" s="880">
        <v>1.0423159436728233</v>
      </c>
      <c r="I546" s="880">
        <v>0.98030443222711483</v>
      </c>
      <c r="K546">
        <v>1.0921122802459187</v>
      </c>
      <c r="L546">
        <v>0</v>
      </c>
      <c r="M546">
        <v>7.8206354682526069E-4</v>
      </c>
      <c r="N546">
        <v>7.4838340574183204E-2</v>
      </c>
      <c r="O546">
        <v>9.2923769730497898E-3</v>
      </c>
      <c r="P546">
        <v>1.2623850708689918E-2</v>
      </c>
      <c r="Q546">
        <v>3.0786177501796576E-3</v>
      </c>
      <c r="R546">
        <v>7.6940320010608848E-4</v>
      </c>
      <c r="S546">
        <v>9.0121116324971176E-2</v>
      </c>
      <c r="T546">
        <v>0.81690805297295055</v>
      </c>
      <c r="U546">
        <v>1.771883595950028E-2</v>
      </c>
      <c r="V546">
        <v>1.0417780922891797E-2</v>
      </c>
      <c r="W546">
        <v>4.5143014175494829E-2</v>
      </c>
      <c r="X546">
        <v>9.8888923537327582E-3</v>
      </c>
      <c r="Y546">
        <v>2.0940618769920236E-3</v>
      </c>
    </row>
    <row r="547" spans="1:25">
      <c r="A547" s="876"/>
      <c r="B547" s="1202">
        <v>297</v>
      </c>
      <c r="C547" s="880">
        <v>1.0003109252927189</v>
      </c>
      <c r="D547" s="880">
        <v>1.0083569495921492</v>
      </c>
      <c r="E547" s="880">
        <v>0.99517514301876331</v>
      </c>
      <c r="F547" s="880">
        <v>1.0125004780468703</v>
      </c>
      <c r="G547" s="880">
        <v>1.0313207917249569</v>
      </c>
      <c r="H547" s="880">
        <v>1.0189324540757543</v>
      </c>
      <c r="I547" s="880">
        <v>0.99936237135322215</v>
      </c>
      <c r="K547">
        <v>1.0761384447775753</v>
      </c>
      <c r="L547">
        <v>0</v>
      </c>
      <c r="M547">
        <v>7.0697200931639536E-4</v>
      </c>
      <c r="N547">
        <v>6.9418288764344707E-2</v>
      </c>
      <c r="O547">
        <v>8.7459230952546783E-3</v>
      </c>
      <c r="P547">
        <v>1.2623716009104889E-2</v>
      </c>
      <c r="Q547">
        <v>2.9278739876762456E-3</v>
      </c>
      <c r="R547">
        <v>6.9524263447392457E-4</v>
      </c>
      <c r="S547">
        <v>8.5715036647618786E-2</v>
      </c>
      <c r="T547">
        <v>0.816226690883047</v>
      </c>
      <c r="U547">
        <v>1.6905372558041244E-2</v>
      </c>
      <c r="V547">
        <v>1.0413104578762964E-2</v>
      </c>
      <c r="W547">
        <v>4.1631885653918489E-2</v>
      </c>
      <c r="X547">
        <v>9.6500607102832318E-3</v>
      </c>
      <c r="Y547">
        <v>1.8922212643651634E-3</v>
      </c>
    </row>
    <row r="548" spans="1:25">
      <c r="A548" s="876"/>
      <c r="B548" s="1202">
        <v>298</v>
      </c>
      <c r="C548" s="880">
        <v>1.0001482839939355</v>
      </c>
      <c r="D548" s="880">
        <v>1.0070020415316472</v>
      </c>
      <c r="E548" s="880">
        <v>1.0099024762137905</v>
      </c>
      <c r="F548" s="880">
        <v>1.013972724560636</v>
      </c>
      <c r="G548" s="880">
        <v>1.0168067981653359</v>
      </c>
      <c r="H548" s="880">
        <v>1.0003350429569178</v>
      </c>
      <c r="I548" s="880">
        <v>1.0232436862458725</v>
      </c>
      <c r="K548">
        <v>1.0760029834811073</v>
      </c>
      <c r="L548">
        <v>0</v>
      </c>
      <c r="M548">
        <v>6.7345497275443232E-4</v>
      </c>
      <c r="N548">
        <v>6.9205350221928461E-2</v>
      </c>
      <c r="O548">
        <v>8.7536150461459909E-3</v>
      </c>
      <c r="P548">
        <v>1.2766581701627207E-2</v>
      </c>
      <c r="Q548">
        <v>2.9737936369849307E-3</v>
      </c>
      <c r="R548">
        <v>6.620750743108688E-4</v>
      </c>
      <c r="S548">
        <v>8.7158621132022635E-2</v>
      </c>
      <c r="T548">
        <v>0.81503894583280567</v>
      </c>
      <c r="U548">
        <v>1.6908121662142356E-2</v>
      </c>
      <c r="V548">
        <v>1.0413120382494017E-2</v>
      </c>
      <c r="W548">
        <v>4.1088772398487516E-2</v>
      </c>
      <c r="X548">
        <v>9.9054912656276854E-3</v>
      </c>
      <c r="Y548">
        <v>1.8019500992845949E-3</v>
      </c>
    </row>
    <row r="549" spans="1:25">
      <c r="A549" s="876"/>
      <c r="B549" s="1202">
        <v>299</v>
      </c>
      <c r="C549" s="880">
        <v>0.99283949838281038</v>
      </c>
      <c r="D549" s="880">
        <v>0.98591604271287525</v>
      </c>
      <c r="E549" s="880">
        <v>0.9937344648353299</v>
      </c>
      <c r="F549" s="880">
        <v>0.99970229680085398</v>
      </c>
      <c r="G549" s="880">
        <v>1.0184612200737637</v>
      </c>
      <c r="H549" s="880">
        <v>1.0317042753460277</v>
      </c>
      <c r="I549" s="880">
        <v>1.0127329186485718</v>
      </c>
      <c r="K549">
        <v>1.0835924623444706</v>
      </c>
      <c r="L549">
        <v>0</v>
      </c>
      <c r="M549">
        <v>7.3212625662834449E-4</v>
      </c>
      <c r="N549">
        <v>7.1583506075372533E-2</v>
      </c>
      <c r="O549">
        <v>8.9181634455933849E-3</v>
      </c>
      <c r="P549">
        <v>1.2657640621366151E-2</v>
      </c>
      <c r="Q549">
        <v>2.9761877305798088E-3</v>
      </c>
      <c r="R549">
        <v>7.2014974993046691E-4</v>
      </c>
      <c r="S549">
        <v>8.8972306992685588E-2</v>
      </c>
      <c r="T549">
        <v>0.8163432758500323</v>
      </c>
      <c r="U549">
        <v>1.7032590759631653E-2</v>
      </c>
      <c r="V549">
        <v>1.0413835916016771E-2</v>
      </c>
      <c r="W549">
        <v>4.2972925579469738E-2</v>
      </c>
      <c r="X549">
        <v>9.7739956584104153E-3</v>
      </c>
      <c r="Y549">
        <v>1.9600102220094684E-3</v>
      </c>
    </row>
    <row r="550" spans="1:25">
      <c r="A550" s="876"/>
      <c r="B550" s="1202">
        <v>300</v>
      </c>
      <c r="C550" s="880">
        <v>1.0225173355599306</v>
      </c>
      <c r="D550" s="880">
        <v>0.99907480329500453</v>
      </c>
      <c r="E550" s="880">
        <v>1.0069448299945862</v>
      </c>
      <c r="F550" s="880">
        <v>1.0266230908843099</v>
      </c>
      <c r="G550" s="880">
        <v>1.0136306545471134</v>
      </c>
      <c r="H550" s="880">
        <v>0.99722178718104559</v>
      </c>
      <c r="I550" s="880">
        <v>1.0069343121532355</v>
      </c>
      <c r="K550">
        <v>1.069787734327603</v>
      </c>
      <c r="L550">
        <v>0</v>
      </c>
      <c r="M550">
        <v>6.6356368573127357E-4</v>
      </c>
      <c r="N550">
        <v>6.7561775440484195E-2</v>
      </c>
      <c r="O550">
        <v>8.5982682045929945E-3</v>
      </c>
      <c r="P550">
        <v>1.2695017585091848E-2</v>
      </c>
      <c r="Q550">
        <v>2.9106715454397052E-3</v>
      </c>
      <c r="R550">
        <v>6.5232243962086672E-4</v>
      </c>
      <c r="S550">
        <v>8.4114213625270703E-2</v>
      </c>
      <c r="T550">
        <v>0.81527688529689457</v>
      </c>
      <c r="U550">
        <v>1.6538231947619872E-2</v>
      </c>
      <c r="V550">
        <v>1.0410994003370264E-2</v>
      </c>
      <c r="W550">
        <v>4.019372911163558E-2</v>
      </c>
      <c r="X550">
        <v>9.7237821706993681E-3</v>
      </c>
      <c r="Y550">
        <v>1.7754066426135717E-3</v>
      </c>
    </row>
    <row r="551" spans="1:25">
      <c r="A551" s="876"/>
      <c r="B551" s="1202">
        <v>301</v>
      </c>
      <c r="C551" s="880">
        <v>1.0213141646031738</v>
      </c>
      <c r="D551" s="880">
        <v>0.9916678157776182</v>
      </c>
      <c r="E551" s="880">
        <v>0.96549522368180052</v>
      </c>
      <c r="F551" s="880">
        <v>0.99797570079772557</v>
      </c>
      <c r="G551" s="880">
        <v>0.9850245728181396</v>
      </c>
      <c r="H551" s="880">
        <v>1.0173323477659182</v>
      </c>
      <c r="I551" s="880">
        <v>0.96374246357477733</v>
      </c>
      <c r="K551">
        <v>1.0690439279708515</v>
      </c>
      <c r="L551">
        <v>0</v>
      </c>
      <c r="M551">
        <v>7.423566224289234E-4</v>
      </c>
      <c r="N551">
        <v>6.6454063309436234E-2</v>
      </c>
      <c r="O551">
        <v>8.6426411905148239E-3</v>
      </c>
      <c r="P551">
        <v>1.2314541467637037E-2</v>
      </c>
      <c r="Q551">
        <v>2.8038377245922174E-3</v>
      </c>
      <c r="R551">
        <v>7.3003591760426891E-4</v>
      </c>
      <c r="S551">
        <v>8.1582012376288385E-2</v>
      </c>
      <c r="T551">
        <v>0.81864269227667885</v>
      </c>
      <c r="U551">
        <v>1.6557715002927541E-2</v>
      </c>
      <c r="V551">
        <v>1.0411106005300687E-2</v>
      </c>
      <c r="W551">
        <v>4.0683280373989397E-2</v>
      </c>
      <c r="X551">
        <v>8.9774418368670627E-3</v>
      </c>
      <c r="Y551">
        <v>1.9869171114432599E-3</v>
      </c>
    </row>
    <row r="552" spans="1:25">
      <c r="A552" s="876"/>
      <c r="B552" s="1202">
        <v>302</v>
      </c>
      <c r="C552" s="880">
        <v>1.0064391680175715</v>
      </c>
      <c r="D552" s="880">
        <v>1.0060602688898148</v>
      </c>
      <c r="E552" s="880">
        <v>1.0155198250901303</v>
      </c>
      <c r="F552" s="880">
        <v>1.0416711351520227</v>
      </c>
      <c r="G552" s="880">
        <v>1.0026793020185292</v>
      </c>
      <c r="H552" s="880">
        <v>0.96133081385469021</v>
      </c>
      <c r="I552" s="880">
        <v>1.0248802393275536</v>
      </c>
      <c r="K552">
        <v>1.0689441298469449</v>
      </c>
      <c r="L552">
        <v>0</v>
      </c>
      <c r="M552">
        <v>6.3588889312623446E-4</v>
      </c>
      <c r="N552">
        <v>6.6449632057743596E-2</v>
      </c>
      <c r="O552">
        <v>8.7032381660398506E-3</v>
      </c>
      <c r="P552">
        <v>1.2787362411952979E-2</v>
      </c>
      <c r="Q552">
        <v>2.9730967726210992E-3</v>
      </c>
      <c r="R552">
        <v>6.2470858101004007E-4</v>
      </c>
      <c r="S552">
        <v>8.5377202540426814E-2</v>
      </c>
      <c r="T552">
        <v>0.8145878560445543</v>
      </c>
      <c r="U552">
        <v>1.6802435162834542E-2</v>
      </c>
      <c r="V552">
        <v>1.0412512824194984E-2</v>
      </c>
      <c r="W552">
        <v>3.9302623003442075E-2</v>
      </c>
      <c r="X552">
        <v>9.8591003528695435E-3</v>
      </c>
      <c r="Y552">
        <v>1.7002508223809456E-3</v>
      </c>
    </row>
    <row r="553" spans="1:25">
      <c r="A553" s="876"/>
      <c r="B553" s="1202">
        <v>303</v>
      </c>
      <c r="C553" s="880">
        <v>0.99342535977879276</v>
      </c>
      <c r="D553" s="880">
        <v>0.99010698071907532</v>
      </c>
      <c r="E553" s="880">
        <v>1.0027200977330022</v>
      </c>
      <c r="F553" s="880">
        <v>0.9806209197648571</v>
      </c>
      <c r="G553" s="880">
        <v>0.99628876937701261</v>
      </c>
      <c r="H553" s="880">
        <v>0.98016935863784505</v>
      </c>
      <c r="I553" s="880">
        <v>0.9901909600398765</v>
      </c>
      <c r="K553">
        <v>1.0732765491064296</v>
      </c>
      <c r="L553">
        <v>0</v>
      </c>
      <c r="M553">
        <v>6.8057901394940484E-4</v>
      </c>
      <c r="N553">
        <v>6.8370014358930406E-2</v>
      </c>
      <c r="O553">
        <v>8.8927425797609479E-3</v>
      </c>
      <c r="P553">
        <v>1.267739788781461E-2</v>
      </c>
      <c r="Q553">
        <v>2.9956109399882211E-3</v>
      </c>
      <c r="R553">
        <v>6.6885671428696021E-4</v>
      </c>
      <c r="S553">
        <v>8.4910356728430933E-2</v>
      </c>
      <c r="T553">
        <v>0.81561727658488636</v>
      </c>
      <c r="U553">
        <v>1.7022545981429226E-2</v>
      </c>
      <c r="V553">
        <v>1.0413778171759935E-2</v>
      </c>
      <c r="W553">
        <v>4.079191773904859E-2</v>
      </c>
      <c r="X553">
        <v>9.7762229463102153E-3</v>
      </c>
      <c r="Y553">
        <v>1.8204074877324981E-3</v>
      </c>
    </row>
    <row r="554" spans="1:25">
      <c r="A554" s="876"/>
      <c r="B554" s="1202">
        <v>304</v>
      </c>
      <c r="C554" s="880">
        <v>1.0022598246701095</v>
      </c>
      <c r="D554" s="880">
        <v>0.99893859669830498</v>
      </c>
      <c r="E554" s="880">
        <v>0.99926967066154848</v>
      </c>
      <c r="F554" s="880">
        <v>0.99651449649172041</v>
      </c>
      <c r="G554" s="880">
        <v>1.0180030046043276</v>
      </c>
      <c r="H554" s="880">
        <v>1.0206612619415512</v>
      </c>
      <c r="I554" s="880">
        <v>0.98993992639250084</v>
      </c>
      <c r="K554">
        <v>1.0763006222108766</v>
      </c>
      <c r="L554">
        <v>0</v>
      </c>
      <c r="M554">
        <v>7.0423461915169918E-4</v>
      </c>
      <c r="N554">
        <v>7.0038995282343877E-2</v>
      </c>
      <c r="O554">
        <v>8.7726928599259502E-3</v>
      </c>
      <c r="P554">
        <v>1.2650487152148776E-2</v>
      </c>
      <c r="Q554">
        <v>2.9469035392767138E-3</v>
      </c>
      <c r="R554">
        <v>6.9257847277540618E-4</v>
      </c>
      <c r="S554">
        <v>8.5199954185458435E-2</v>
      </c>
      <c r="T554">
        <v>0.81589573140980187</v>
      </c>
      <c r="U554">
        <v>1.6872499974264096E-2</v>
      </c>
      <c r="V554">
        <v>1.0412915604662992E-2</v>
      </c>
      <c r="W554">
        <v>4.1886395003081833E-2</v>
      </c>
      <c r="X554">
        <v>9.7507330518262908E-3</v>
      </c>
      <c r="Y554">
        <v>1.8849702944624645E-3</v>
      </c>
    </row>
    <row r="555" spans="1:25">
      <c r="A555" s="876"/>
      <c r="B555" s="1202">
        <v>305</v>
      </c>
      <c r="C555" s="880">
        <v>0.98626467371049964</v>
      </c>
      <c r="D555" s="880">
        <v>0.99521964716193434</v>
      </c>
      <c r="E555" s="880">
        <v>0.99225679654070342</v>
      </c>
      <c r="F555" s="880">
        <v>0.99552032397886447</v>
      </c>
      <c r="G555" s="880">
        <v>0.99324183798024546</v>
      </c>
      <c r="H555" s="880">
        <v>1.0053084461611237</v>
      </c>
      <c r="I555" s="880">
        <v>0.99639741260044579</v>
      </c>
      <c r="K555">
        <v>1.0785157368952287</v>
      </c>
      <c r="L555">
        <v>0</v>
      </c>
      <c r="M555">
        <v>7.1679281144969547E-4</v>
      </c>
      <c r="N555">
        <v>6.973137619225675E-2</v>
      </c>
      <c r="O555">
        <v>8.9327221287254337E-3</v>
      </c>
      <c r="P555">
        <v>1.2616645409919323E-2</v>
      </c>
      <c r="Q555">
        <v>2.9787020130235811E-3</v>
      </c>
      <c r="R555">
        <v>7.047509266143886E-4</v>
      </c>
      <c r="S555">
        <v>8.6752725812069095E-2</v>
      </c>
      <c r="T555">
        <v>0.81646292736247528</v>
      </c>
      <c r="U555">
        <v>1.7146136647408893E-2</v>
      </c>
      <c r="V555">
        <v>1.0414488655457412E-2</v>
      </c>
      <c r="W555">
        <v>4.190361141840418E-2</v>
      </c>
      <c r="X555">
        <v>9.670343439159906E-3</v>
      </c>
      <c r="Y555">
        <v>1.918099701163845E-3</v>
      </c>
    </row>
    <row r="556" spans="1:25">
      <c r="A556" s="876"/>
      <c r="B556" s="1202">
        <v>306</v>
      </c>
      <c r="C556" s="880">
        <v>0.99450295009008616</v>
      </c>
      <c r="D556" s="880">
        <v>1.0136799298686381</v>
      </c>
      <c r="E556" s="880">
        <v>0.99692554785762522</v>
      </c>
      <c r="F556" s="880">
        <v>1.0438410818799484</v>
      </c>
      <c r="G556" s="880">
        <v>0.97850325597302024</v>
      </c>
      <c r="H556" s="880">
        <v>1.0192768365046285</v>
      </c>
      <c r="I556" s="880">
        <v>0.97033913126575333</v>
      </c>
      <c r="K556">
        <v>1.074475850272278</v>
      </c>
      <c r="L556">
        <v>0</v>
      </c>
      <c r="M556">
        <v>7.067450705888908E-4</v>
      </c>
      <c r="N556">
        <v>6.9775002449393483E-2</v>
      </c>
      <c r="O556">
        <v>8.7723614764900135E-3</v>
      </c>
      <c r="P556">
        <v>1.2609615712051783E-2</v>
      </c>
      <c r="Q556">
        <v>2.9430593712713683E-3</v>
      </c>
      <c r="R556">
        <v>6.9501891165318712E-4</v>
      </c>
      <c r="S556">
        <v>8.3504597300724001E-2</v>
      </c>
      <c r="T556">
        <v>0.81608513650329717</v>
      </c>
      <c r="U556">
        <v>1.7004101259247673E-2</v>
      </c>
      <c r="V556">
        <v>1.0413672138878633E-2</v>
      </c>
      <c r="W556">
        <v>4.1795588779440361E-2</v>
      </c>
      <c r="X556">
        <v>9.6928290758222357E-3</v>
      </c>
      <c r="Y556">
        <v>1.8916123645973245E-3</v>
      </c>
    </row>
    <row r="557" spans="1:25">
      <c r="A557" s="876"/>
      <c r="B557" s="1202">
        <v>307</v>
      </c>
      <c r="C557" s="880">
        <v>0.98446450136910912</v>
      </c>
      <c r="D557" s="880">
        <v>1.0292167619348196</v>
      </c>
      <c r="E557" s="880">
        <v>0.98408396968319578</v>
      </c>
      <c r="F557" s="880">
        <v>1.0170109153763736</v>
      </c>
      <c r="G557" s="880">
        <v>0.96727044058330502</v>
      </c>
      <c r="H557" s="880">
        <v>1.0035259921469144</v>
      </c>
      <c r="I557" s="880">
        <v>0.9961980815243443</v>
      </c>
      <c r="K557">
        <v>1.0746484116819151</v>
      </c>
      <c r="L557">
        <v>0</v>
      </c>
      <c r="M557">
        <v>7.1635012126599945E-4</v>
      </c>
      <c r="N557">
        <v>6.7932278981600702E-2</v>
      </c>
      <c r="O557">
        <v>8.7903641894589799E-3</v>
      </c>
      <c r="P557">
        <v>1.2530037781248475E-2</v>
      </c>
      <c r="Q557">
        <v>2.9143571021738599E-3</v>
      </c>
      <c r="R557">
        <v>7.0426468085256217E-4</v>
      </c>
      <c r="S557">
        <v>8.5390417218868253E-2</v>
      </c>
      <c r="T557">
        <v>0.81712604443296255</v>
      </c>
      <c r="U557">
        <v>1.7177489734200198E-2</v>
      </c>
      <c r="V557">
        <v>1.0414668894449208E-2</v>
      </c>
      <c r="W557">
        <v>4.1053315589730285E-2</v>
      </c>
      <c r="X557">
        <v>9.4147468971442546E-3</v>
      </c>
      <c r="Y557">
        <v>1.9167763004910258E-3</v>
      </c>
    </row>
    <row r="558" spans="1:25">
      <c r="A558" s="876"/>
      <c r="B558" s="1202">
        <v>308</v>
      </c>
      <c r="C558" s="880">
        <v>0.98867648700201338</v>
      </c>
      <c r="D558" s="880">
        <v>1.0281663257584388</v>
      </c>
      <c r="E558" s="880">
        <v>0.98514910523230126</v>
      </c>
      <c r="F558" s="880">
        <v>1.0107503699080742</v>
      </c>
      <c r="G558" s="880">
        <v>1.0100799123202071</v>
      </c>
      <c r="H558" s="880">
        <v>0.97984003056831659</v>
      </c>
      <c r="I558" s="880">
        <v>0.99958639892093104</v>
      </c>
      <c r="K558">
        <v>1.0705210215584136</v>
      </c>
      <c r="L558">
        <v>0</v>
      </c>
      <c r="M558">
        <v>6.9528237798746314E-4</v>
      </c>
      <c r="N558">
        <v>6.6126148539821752E-2</v>
      </c>
      <c r="O558">
        <v>8.7576700364568293E-3</v>
      </c>
      <c r="P558">
        <v>1.252617877778721E-2</v>
      </c>
      <c r="Q558">
        <v>2.9064356909083927E-3</v>
      </c>
      <c r="R558">
        <v>6.832697052300224E-4</v>
      </c>
      <c r="S558">
        <v>8.4515427684460742E-2</v>
      </c>
      <c r="T558">
        <v>0.81703949445884949</v>
      </c>
      <c r="U558">
        <v>1.7104309739610461E-2</v>
      </c>
      <c r="V558">
        <v>1.0414248205777252E-2</v>
      </c>
      <c r="W558">
        <v>3.9932393146690677E-2</v>
      </c>
      <c r="X558">
        <v>9.3510930529689118E-3</v>
      </c>
      <c r="Y558">
        <v>1.8596348978383265E-3</v>
      </c>
    </row>
    <row r="559" spans="1:25">
      <c r="A559" s="876"/>
      <c r="B559" s="1202">
        <v>309</v>
      </c>
      <c r="C559" s="880">
        <v>0.99466276818827726</v>
      </c>
      <c r="D559" s="880">
        <v>0.98853255412863561</v>
      </c>
      <c r="E559" s="880">
        <v>1.0106864354893255</v>
      </c>
      <c r="F559" s="880">
        <v>1.0289434021045598</v>
      </c>
      <c r="G559" s="880">
        <v>0.98570276524204337</v>
      </c>
      <c r="H559" s="880">
        <v>0.99233228582901523</v>
      </c>
      <c r="I559" s="880">
        <v>0.99686146632122263</v>
      </c>
      <c r="K559">
        <v>1.0758693420591323</v>
      </c>
      <c r="L559">
        <v>0</v>
      </c>
      <c r="M559">
        <v>6.7728040554615649E-4</v>
      </c>
      <c r="N559">
        <v>6.9760257776081566E-2</v>
      </c>
      <c r="O559">
        <v>8.8892279877848639E-3</v>
      </c>
      <c r="P559">
        <v>1.2756856134723439E-2</v>
      </c>
      <c r="Q559">
        <v>3.0180516142336816E-3</v>
      </c>
      <c r="R559">
        <v>6.6575925661030693E-4</v>
      </c>
      <c r="S559">
        <v>8.5882289366571926E-2</v>
      </c>
      <c r="T559">
        <v>0.81497592706526767</v>
      </c>
      <c r="U559">
        <v>1.7001369114030634E-2</v>
      </c>
      <c r="V559">
        <v>1.0413656432638866E-2</v>
      </c>
      <c r="W559">
        <v>4.1396180818530123E-2</v>
      </c>
      <c r="X559">
        <v>9.9750696691909366E-3</v>
      </c>
      <c r="Y559">
        <v>1.8119772290132972E-3</v>
      </c>
    </row>
    <row r="560" spans="1:25">
      <c r="A560" s="876"/>
      <c r="B560" s="1202">
        <v>310</v>
      </c>
      <c r="C560" s="880">
        <v>0.99580579225953714</v>
      </c>
      <c r="D560" s="880">
        <v>1.0039833468575299</v>
      </c>
      <c r="E560" s="880">
        <v>0.97454286483359953</v>
      </c>
      <c r="F560" s="880">
        <v>1.0061877736550284</v>
      </c>
      <c r="G560" s="880">
        <v>0.98473216424639776</v>
      </c>
      <c r="H560" s="880">
        <v>0.97200160925668644</v>
      </c>
      <c r="I560" s="880">
        <v>0.9752299982590219</v>
      </c>
      <c r="K560">
        <v>1.0679228732753914</v>
      </c>
      <c r="L560">
        <v>0</v>
      </c>
      <c r="M560">
        <v>7.0910958080434882E-4</v>
      </c>
      <c r="N560">
        <v>6.5241690565015178E-2</v>
      </c>
      <c r="O560">
        <v>8.8058670323704243E-3</v>
      </c>
      <c r="P560">
        <v>1.2409337696865969E-2</v>
      </c>
      <c r="Q560">
        <v>2.8859932362652568E-3</v>
      </c>
      <c r="R560">
        <v>6.9678062878354827E-4</v>
      </c>
      <c r="S560">
        <v>8.2565891266326255E-2</v>
      </c>
      <c r="T560">
        <v>0.81790304065028041</v>
      </c>
      <c r="U560">
        <v>1.6981854290665708E-2</v>
      </c>
      <c r="V560">
        <v>1.0413544248083904E-2</v>
      </c>
      <c r="W560">
        <v>3.9689341300286125E-2</v>
      </c>
      <c r="X560">
        <v>9.1422347633757107E-3</v>
      </c>
      <c r="Y560">
        <v>1.8964071778762716E-3</v>
      </c>
    </row>
    <row r="561" spans="1:25">
      <c r="A561" s="876"/>
      <c r="B561" s="1202">
        <v>311</v>
      </c>
      <c r="C561" s="880">
        <v>1.0007740186063683</v>
      </c>
      <c r="D561" s="880">
        <v>1.0220174458993669</v>
      </c>
      <c r="E561" s="880">
        <v>1.0003882740128096</v>
      </c>
      <c r="F561" s="880">
        <v>1.0008516706560786</v>
      </c>
      <c r="G561" s="880">
        <v>0.98039346467234645</v>
      </c>
      <c r="H561" s="880">
        <v>1.0165235232346808</v>
      </c>
      <c r="I561" s="880">
        <v>0.99023112813252612</v>
      </c>
      <c r="K561">
        <v>1.0735235134191687</v>
      </c>
      <c r="L561">
        <v>0</v>
      </c>
      <c r="M561">
        <v>6.9231280262633068E-4</v>
      </c>
      <c r="N561">
        <v>6.9086674651679614E-2</v>
      </c>
      <c r="O561">
        <v>8.6794596117404227E-3</v>
      </c>
      <c r="P561">
        <v>1.2647093876521232E-2</v>
      </c>
      <c r="Q561">
        <v>2.9238267077845797E-3</v>
      </c>
      <c r="R561">
        <v>6.8078811151718751E-4</v>
      </c>
      <c r="S561">
        <v>8.4241860036853911E-2</v>
      </c>
      <c r="T561">
        <v>0.81580541406224727</v>
      </c>
      <c r="U561">
        <v>1.6897549847968027E-2</v>
      </c>
      <c r="V561">
        <v>1.041305960847389E-2</v>
      </c>
      <c r="W561">
        <v>4.12852500782218E-2</v>
      </c>
      <c r="X561">
        <v>9.7019688109763469E-3</v>
      </c>
      <c r="Y561">
        <v>1.8528808178091371E-3</v>
      </c>
    </row>
    <row r="562" spans="1:25">
      <c r="A562" s="876"/>
      <c r="B562" s="1202">
        <v>312</v>
      </c>
      <c r="C562" s="880">
        <v>0.97108044312942032</v>
      </c>
      <c r="D562" s="880">
        <v>1.0320359836656425</v>
      </c>
      <c r="E562" s="880">
        <v>1.0123588679297004</v>
      </c>
      <c r="F562" s="880">
        <v>0.97885199313547344</v>
      </c>
      <c r="G562" s="880">
        <v>1.0020380660921082</v>
      </c>
      <c r="H562" s="880">
        <v>0.98774555331263181</v>
      </c>
      <c r="I562" s="880">
        <v>1.007926915615043</v>
      </c>
      <c r="K562">
        <v>1.0769752595720967</v>
      </c>
      <c r="L562">
        <v>0</v>
      </c>
      <c r="M562">
        <v>6.7251761125125141E-4</v>
      </c>
      <c r="N562">
        <v>6.9621323113198963E-2</v>
      </c>
      <c r="O562">
        <v>8.8985658981406614E-3</v>
      </c>
      <c r="P562">
        <v>1.2790410597298643E-2</v>
      </c>
      <c r="Q562">
        <v>3.0359811825596793E-3</v>
      </c>
      <c r="R562">
        <v>6.6098811206682635E-4</v>
      </c>
      <c r="S562">
        <v>8.6891770044109445E-2</v>
      </c>
      <c r="T562">
        <v>0.81484155808336833</v>
      </c>
      <c r="U562">
        <v>1.7414240998877374E-2</v>
      </c>
      <c r="V562">
        <v>1.0416029902682115E-2</v>
      </c>
      <c r="W562">
        <v>4.1266863720504102E-2</v>
      </c>
      <c r="X562">
        <v>1.0011053784168909E-2</v>
      </c>
      <c r="Y562">
        <v>1.7989917463733193E-3</v>
      </c>
    </row>
    <row r="563" spans="1:25">
      <c r="A563" s="876"/>
      <c r="B563" s="1202">
        <v>313</v>
      </c>
      <c r="C563" s="880">
        <v>0.97881478868178529</v>
      </c>
      <c r="D563" s="880">
        <v>1.0116010765527974</v>
      </c>
      <c r="E563" s="880">
        <v>1.0157058422024132</v>
      </c>
      <c r="F563" s="880">
        <v>0.98423093526525351</v>
      </c>
      <c r="G563" s="880">
        <v>1.0091451075734572</v>
      </c>
      <c r="H563" s="880">
        <v>1.0135391384996388</v>
      </c>
      <c r="I563" s="880">
        <v>0.98234437684878084</v>
      </c>
      <c r="K563">
        <v>1.0792373469631804</v>
      </c>
      <c r="L563">
        <v>0</v>
      </c>
      <c r="M563">
        <v>6.870643925281102E-4</v>
      </c>
      <c r="N563">
        <v>7.1904662430130897E-2</v>
      </c>
      <c r="O563">
        <v>8.922713456985509E-3</v>
      </c>
      <c r="P563">
        <v>1.2800998088738471E-2</v>
      </c>
      <c r="Q563">
        <v>3.0498825325269772E-3</v>
      </c>
      <c r="R563">
        <v>6.7560195582717691E-4</v>
      </c>
      <c r="S563">
        <v>8.5775852363922697E-2</v>
      </c>
      <c r="T563">
        <v>0.81457293670224684</v>
      </c>
      <c r="U563">
        <v>1.7276638094860339E-2</v>
      </c>
      <c r="V563">
        <v>1.0415238867054531E-2</v>
      </c>
      <c r="W563">
        <v>4.2523727612983495E-2</v>
      </c>
      <c r="X563">
        <v>1.0167393438793818E-2</v>
      </c>
      <c r="Y563">
        <v>1.8387658116366921E-3</v>
      </c>
    </row>
    <row r="564" spans="1:25">
      <c r="A564" s="876"/>
      <c r="B564" s="1202">
        <v>314</v>
      </c>
      <c r="C564" s="880">
        <v>0.99511079136340985</v>
      </c>
      <c r="D564" s="880">
        <v>1.0242455958533556</v>
      </c>
      <c r="E564" s="880">
        <v>1.0031025578118742</v>
      </c>
      <c r="F564" s="880">
        <v>1.0016063728908926</v>
      </c>
      <c r="G564" s="880">
        <v>1.0144348129094398</v>
      </c>
      <c r="H564" s="880">
        <v>0.96306596125871535</v>
      </c>
      <c r="I564" s="880">
        <v>1.0118515580937497</v>
      </c>
      <c r="K564">
        <v>1.0684181834607445</v>
      </c>
      <c r="L564">
        <v>0</v>
      </c>
      <c r="M564">
        <v>6.5511920144375665E-4</v>
      </c>
      <c r="N564">
        <v>6.5867266941093072E-2</v>
      </c>
      <c r="O564">
        <v>8.7187456304424846E-3</v>
      </c>
      <c r="P564">
        <v>1.2675378742286931E-2</v>
      </c>
      <c r="Q564">
        <v>2.945551737025342E-3</v>
      </c>
      <c r="R564">
        <v>6.4360649525090649E-4</v>
      </c>
      <c r="S564">
        <v>8.4558502958315282E-2</v>
      </c>
      <c r="T564">
        <v>0.81558643637430794</v>
      </c>
      <c r="U564">
        <v>1.6993714682546051E-2</v>
      </c>
      <c r="V564">
        <v>1.0413612429730235E-2</v>
      </c>
      <c r="W564">
        <v>3.9288429928577916E-2</v>
      </c>
      <c r="X564">
        <v>9.6303720273621992E-3</v>
      </c>
      <c r="Y564">
        <v>1.7516847152488284E-3</v>
      </c>
    </row>
    <row r="565" spans="1:25">
      <c r="A565" s="876"/>
      <c r="B565" s="1202">
        <v>315</v>
      </c>
      <c r="C565" s="880">
        <v>1.0264542913275052</v>
      </c>
      <c r="D565" s="880">
        <v>0.9879047014709661</v>
      </c>
      <c r="E565" s="880">
        <v>0.96271934194570918</v>
      </c>
      <c r="F565" s="880">
        <v>1.0097043848178002</v>
      </c>
      <c r="G565" s="880">
        <v>0.99662614844859732</v>
      </c>
      <c r="H565" s="880">
        <v>1.0202545607616413</v>
      </c>
      <c r="I565" s="880">
        <v>1.0261280210921004</v>
      </c>
      <c r="K565">
        <v>1.0740434555345313</v>
      </c>
      <c r="L565">
        <v>0</v>
      </c>
      <c r="M565">
        <v>7.4658915489746723E-4</v>
      </c>
      <c r="N565">
        <v>6.6260250542073545E-2</v>
      </c>
      <c r="O565">
        <v>8.6168314853988133E-3</v>
      </c>
      <c r="P565">
        <v>1.2357969094756087E-2</v>
      </c>
      <c r="Q565">
        <v>2.7867235724533452E-3</v>
      </c>
      <c r="R565">
        <v>7.342371581593052E-4</v>
      </c>
      <c r="S565">
        <v>8.6697280490454581E-2</v>
      </c>
      <c r="T565">
        <v>0.81887017625445313</v>
      </c>
      <c r="U565">
        <v>1.6474799714736425E-2</v>
      </c>
      <c r="V565">
        <v>1.04106293515011E-2</v>
      </c>
      <c r="W565">
        <v>4.0643717409574377E-2</v>
      </c>
      <c r="X565">
        <v>8.9390781125732663E-3</v>
      </c>
      <c r="Y565">
        <v>1.9983515032954914E-3</v>
      </c>
    </row>
    <row r="566" spans="1:25">
      <c r="A566" s="876"/>
      <c r="B566" s="1202">
        <v>316</v>
      </c>
      <c r="C566" s="880">
        <v>0.99239752392589042</v>
      </c>
      <c r="D566" s="880">
        <v>0.99379745137944286</v>
      </c>
      <c r="E566" s="880">
        <v>0.97242197207306991</v>
      </c>
      <c r="F566" s="880">
        <v>0.99458765730362275</v>
      </c>
      <c r="G566" s="880">
        <v>1.0178196810269675</v>
      </c>
      <c r="H566" s="880">
        <v>0.99861505895036728</v>
      </c>
      <c r="I566" s="880">
        <v>0.98825360380991856</v>
      </c>
      <c r="K566">
        <v>1.0749062170087806</v>
      </c>
      <c r="L566">
        <v>0</v>
      </c>
      <c r="M566">
        <v>7.3828054103289992E-4</v>
      </c>
      <c r="N566">
        <v>6.7510660900186217E-2</v>
      </c>
      <c r="O566">
        <v>8.8842955287495549E-3</v>
      </c>
      <c r="P566">
        <v>1.2429314289196539E-2</v>
      </c>
      <c r="Q566">
        <v>2.9031912392339519E-3</v>
      </c>
      <c r="R566">
        <v>7.2579585118663832E-4</v>
      </c>
      <c r="S566">
        <v>8.5333812084579741E-2</v>
      </c>
      <c r="T566">
        <v>0.81807617730125082</v>
      </c>
      <c r="U566">
        <v>1.7040176399326888E-2</v>
      </c>
      <c r="V566">
        <v>1.0413879523463144E-2</v>
      </c>
      <c r="W566">
        <v>4.1130417284579716E-2</v>
      </c>
      <c r="X566">
        <v>9.2214000996673328E-3</v>
      </c>
      <c r="Y566">
        <v>1.9753770483919878E-3</v>
      </c>
    </row>
    <row r="567" spans="1:25">
      <c r="A567" s="876"/>
      <c r="B567" s="1202">
        <v>317</v>
      </c>
      <c r="C567" s="880">
        <v>0.98346103217711378</v>
      </c>
      <c r="D567" s="880">
        <v>1.0216073372659884</v>
      </c>
      <c r="E567" s="880">
        <v>0.98198723360277229</v>
      </c>
      <c r="F567" s="880">
        <v>0.99017316909416009</v>
      </c>
      <c r="G567" s="880">
        <v>0.97211584578595978</v>
      </c>
      <c r="H567" s="880">
        <v>1.0012227721905231</v>
      </c>
      <c r="I567" s="880">
        <v>0.98424130586216385</v>
      </c>
      <c r="K567">
        <v>1.074253458485618</v>
      </c>
      <c r="L567">
        <v>0</v>
      </c>
      <c r="M567">
        <v>7.2142870701584255E-4</v>
      </c>
      <c r="N567">
        <v>6.796645228040947E-2</v>
      </c>
      <c r="O567">
        <v>8.8341407214980565E-3</v>
      </c>
      <c r="P567">
        <v>1.250312192782476E-2</v>
      </c>
      <c r="Q567">
        <v>2.9210441734410439E-3</v>
      </c>
      <c r="R567">
        <v>7.0923616150176338E-4</v>
      </c>
      <c r="S567">
        <v>8.4682010335281416E-2</v>
      </c>
      <c r="T567">
        <v>0.81729653166553362</v>
      </c>
      <c r="U567">
        <v>1.7195016693764539E-2</v>
      </c>
      <c r="V567">
        <v>1.041476965140312E-2</v>
      </c>
      <c r="W567">
        <v>4.1133642288843954E-2</v>
      </c>
      <c r="X567">
        <v>9.3886142611625534E-3</v>
      </c>
      <c r="Y567">
        <v>1.9303070319699966E-3</v>
      </c>
    </row>
    <row r="568" spans="1:25">
      <c r="A568" s="876"/>
      <c r="B568" s="1202">
        <v>318</v>
      </c>
      <c r="C568" s="880">
        <v>0.99138408685970547</v>
      </c>
      <c r="D568" s="880">
        <v>1.0070580405942993</v>
      </c>
      <c r="E568" s="880">
        <v>1.0173906167204749</v>
      </c>
      <c r="F568" s="880">
        <v>1.0099218547825317</v>
      </c>
      <c r="G568" s="880">
        <v>1.0020365229397457</v>
      </c>
      <c r="H568" s="880">
        <v>1.0009956066602677</v>
      </c>
      <c r="I568" s="880">
        <v>1.0032042596672808</v>
      </c>
      <c r="K568">
        <v>1.0766573372457511</v>
      </c>
      <c r="L568">
        <v>0</v>
      </c>
      <c r="M568">
        <v>6.6917840849257102E-4</v>
      </c>
      <c r="N568">
        <v>7.0385827270877346E-2</v>
      </c>
      <c r="O568">
        <v>8.8307385019592462E-3</v>
      </c>
      <c r="P568">
        <v>1.2818225519102501E-2</v>
      </c>
      <c r="Q568">
        <v>3.0225017454361654E-3</v>
      </c>
      <c r="R568">
        <v>6.5787819050167767E-4</v>
      </c>
      <c r="S568">
        <v>8.6228536219285098E-2</v>
      </c>
      <c r="T568">
        <v>0.81443786450943934</v>
      </c>
      <c r="U568">
        <v>1.7057595628267797E-2</v>
      </c>
      <c r="V568">
        <v>1.0413979661107731E-2</v>
      </c>
      <c r="W568">
        <v>4.157809456013338E-2</v>
      </c>
      <c r="X568">
        <v>1.010474628307432E-2</v>
      </c>
      <c r="Y568">
        <v>1.7905275650583531E-3</v>
      </c>
    </row>
    <row r="569" spans="1:25">
      <c r="A569" s="876"/>
      <c r="B569" s="1202">
        <v>319</v>
      </c>
      <c r="C569" s="880">
        <v>0.97201336831572405</v>
      </c>
      <c r="D569" s="880">
        <v>0.96918762606389941</v>
      </c>
      <c r="E569" s="880">
        <v>0.99296014191314996</v>
      </c>
      <c r="F569" s="880">
        <v>0.96364461240229116</v>
      </c>
      <c r="G569" s="880">
        <v>1.0061493276937741</v>
      </c>
      <c r="H569" s="880">
        <v>1.0023994012993578</v>
      </c>
      <c r="I569" s="880">
        <v>1.0030633264782434</v>
      </c>
      <c r="K569">
        <v>1.0852305006179546</v>
      </c>
      <c r="L569">
        <v>0</v>
      </c>
      <c r="M569">
        <v>7.344263722785984E-4</v>
      </c>
      <c r="N569">
        <v>7.1602262325821356E-2</v>
      </c>
      <c r="O569">
        <v>9.1929338663882358E-3</v>
      </c>
      <c r="P569">
        <v>1.2665784188224109E-2</v>
      </c>
      <c r="Q569">
        <v>3.0615346063492194E-3</v>
      </c>
      <c r="R569">
        <v>7.2207669110129012E-4</v>
      </c>
      <c r="S569">
        <v>8.9684715009203761E-2</v>
      </c>
      <c r="T569">
        <v>0.81640596600608895</v>
      </c>
      <c r="U569">
        <v>1.739752704765225E-2</v>
      </c>
      <c r="V569">
        <v>1.0415933819456324E-2</v>
      </c>
      <c r="W569">
        <v>4.300707156558134E-2</v>
      </c>
      <c r="X569">
        <v>9.843867143705106E-3</v>
      </c>
      <c r="Y569">
        <v>1.9652547206604628E-3</v>
      </c>
    </row>
    <row r="570" spans="1:25">
      <c r="A570" s="876"/>
      <c r="B570" s="1202">
        <v>320</v>
      </c>
      <c r="C570" s="880">
        <v>1.0059273546805543</v>
      </c>
      <c r="D570" s="880">
        <v>1.015282674118456</v>
      </c>
      <c r="E570" s="880">
        <v>0.99326475336089681</v>
      </c>
      <c r="F570" s="880">
        <v>0.98286638822378769</v>
      </c>
      <c r="G570" s="880">
        <v>1.0184393552960924</v>
      </c>
      <c r="H570" s="880">
        <v>0.99975925850543002</v>
      </c>
      <c r="I570" s="880">
        <v>0.9894859548562237</v>
      </c>
      <c r="K570">
        <v>1.0702848692189491</v>
      </c>
      <c r="L570">
        <v>0</v>
      </c>
      <c r="M570">
        <v>6.9005958317012257E-4</v>
      </c>
      <c r="N570">
        <v>6.7333578430022509E-2</v>
      </c>
      <c r="O570">
        <v>8.6654393719408345E-3</v>
      </c>
      <c r="P570">
        <v>1.2575514219143621E-2</v>
      </c>
      <c r="Q570">
        <v>2.8968204450216238E-3</v>
      </c>
      <c r="R570">
        <v>6.7838540364365343E-4</v>
      </c>
      <c r="S570">
        <v>8.3438166509851433E-2</v>
      </c>
      <c r="T570">
        <v>0.81638130185328772</v>
      </c>
      <c r="U570">
        <v>1.6810984200069372E-2</v>
      </c>
      <c r="V570">
        <v>1.0412561969909468E-2</v>
      </c>
      <c r="W570">
        <v>4.0434666648435189E-2</v>
      </c>
      <c r="X570">
        <v>9.5011683117627223E-3</v>
      </c>
      <c r="Y570">
        <v>1.8463414390298158E-3</v>
      </c>
    </row>
    <row r="571" spans="1:25">
      <c r="A571" s="876"/>
      <c r="B571" s="1202">
        <v>321</v>
      </c>
      <c r="C571" s="880">
        <v>1.0237504214403781</v>
      </c>
      <c r="D571" s="880">
        <v>1.0072370667298844</v>
      </c>
      <c r="E571" s="880">
        <v>1.0400272220616102</v>
      </c>
      <c r="F571" s="880">
        <v>1.0079601561003835</v>
      </c>
      <c r="G571" s="880">
        <v>1.0124088275319514</v>
      </c>
      <c r="H571" s="880">
        <v>0.9873081827384258</v>
      </c>
      <c r="I571" s="880">
        <v>1.020235592724374</v>
      </c>
      <c r="K571">
        <v>1.0691622468492885</v>
      </c>
      <c r="L571">
        <v>0</v>
      </c>
      <c r="M571">
        <v>6.0922230950997383E-4</v>
      </c>
      <c r="N571">
        <v>6.8728340796381002E-2</v>
      </c>
      <c r="O571">
        <v>8.5507406692343739E-3</v>
      </c>
      <c r="P571">
        <v>1.2972928669736311E-2</v>
      </c>
      <c r="Q571">
        <v>2.9929937838706002E-3</v>
      </c>
      <c r="R571">
        <v>5.9879179368168309E-4</v>
      </c>
      <c r="S571">
        <v>8.4426647320042236E-2</v>
      </c>
      <c r="T571">
        <v>0.81263242717778117</v>
      </c>
      <c r="U571">
        <v>1.6518311994597062E-2</v>
      </c>
      <c r="V571">
        <v>1.0410879489852873E-2</v>
      </c>
      <c r="W571">
        <v>3.9987233572448662E-2</v>
      </c>
      <c r="X571">
        <v>1.0322460020431093E-2</v>
      </c>
      <c r="Y571">
        <v>1.629713870739805E-3</v>
      </c>
    </row>
    <row r="572" spans="1:25">
      <c r="A572" s="876"/>
      <c r="B572" s="1202">
        <v>322</v>
      </c>
      <c r="C572" s="880">
        <v>0.9916841058031105</v>
      </c>
      <c r="D572" s="880">
        <v>0.99791368788774426</v>
      </c>
      <c r="E572" s="880">
        <v>0.96957201881377431</v>
      </c>
      <c r="F572" s="880">
        <v>0.97361114496112411</v>
      </c>
      <c r="G572" s="880">
        <v>0.98685880862494912</v>
      </c>
      <c r="H572" s="880">
        <v>0.98010966909067831</v>
      </c>
      <c r="I572" s="880">
        <v>1.0263019790072996</v>
      </c>
      <c r="K572">
        <v>1.0750570970555562</v>
      </c>
      <c r="L572">
        <v>0</v>
      </c>
      <c r="M572">
        <v>7.2786285333296572E-4</v>
      </c>
      <c r="N572">
        <v>6.5947469226479705E-2</v>
      </c>
      <c r="O572">
        <v>8.8711039398883685E-3</v>
      </c>
      <c r="P572">
        <v>1.243854423827692E-2</v>
      </c>
      <c r="Q572">
        <v>2.8913475147835273E-3</v>
      </c>
      <c r="R572">
        <v>7.1531812160964298E-4</v>
      </c>
      <c r="S572">
        <v>8.7814985469756621E-2</v>
      </c>
      <c r="T572">
        <v>0.81830906916990709</v>
      </c>
      <c r="U572">
        <v>1.7052435112144267E-2</v>
      </c>
      <c r="V572">
        <v>1.0413949994930682E-2</v>
      </c>
      <c r="W572">
        <v>4.0258091630262338E-2</v>
      </c>
      <c r="X572">
        <v>9.1257853683847333E-3</v>
      </c>
      <c r="Y572">
        <v>1.9468601224660338E-3</v>
      </c>
    </row>
    <row r="573" spans="1:25">
      <c r="A573" s="876"/>
      <c r="B573" s="1202">
        <v>323</v>
      </c>
      <c r="C573" s="880">
        <v>0.9993203250656395</v>
      </c>
      <c r="D573" s="880">
        <v>0.97359483645583889</v>
      </c>
      <c r="E573" s="880">
        <v>0.99988303701154801</v>
      </c>
      <c r="F573" s="880">
        <v>1.0267972428990506</v>
      </c>
      <c r="G573" s="880">
        <v>1.0098226762327966</v>
      </c>
      <c r="H573" s="880">
        <v>1.0114086719528066</v>
      </c>
      <c r="I573" s="880">
        <v>0.99494000448258968</v>
      </c>
      <c r="K573">
        <v>1.0789522952877428</v>
      </c>
      <c r="L573">
        <v>0</v>
      </c>
      <c r="M573">
        <v>7.0863463137889608E-4</v>
      </c>
      <c r="N573">
        <v>7.0602616869023874E-2</v>
      </c>
      <c r="O573">
        <v>8.920064281862327E-3</v>
      </c>
      <c r="P573">
        <v>1.2676173997466711E-2</v>
      </c>
      <c r="Q573">
        <v>2.9924726565988659E-3</v>
      </c>
      <c r="R573">
        <v>6.9682080744265518E-4</v>
      </c>
      <c r="S573">
        <v>8.6656893025912285E-2</v>
      </c>
      <c r="T573">
        <v>0.81584620222623494</v>
      </c>
      <c r="U573">
        <v>1.6922130413830633E-2</v>
      </c>
      <c r="V573">
        <v>1.0413200914382232E-2</v>
      </c>
      <c r="W573">
        <v>4.2205743158911763E-2</v>
      </c>
      <c r="X573">
        <v>9.8320950365133608E-3</v>
      </c>
      <c r="Y573">
        <v>1.8965165309414692E-3</v>
      </c>
    </row>
    <row r="574" spans="1:25">
      <c r="A574" s="876"/>
      <c r="B574" s="1202">
        <v>324</v>
      </c>
      <c r="C574" s="880">
        <v>0.9978075661984761</v>
      </c>
      <c r="D574" s="880">
        <v>1.0052225723451238</v>
      </c>
      <c r="E574" s="880">
        <v>1.0352455179064823</v>
      </c>
      <c r="F574" s="880">
        <v>1.0020032969231627</v>
      </c>
      <c r="G574" s="880">
        <v>1.0041363572262934</v>
      </c>
      <c r="H574" s="880">
        <v>0.96788023227284037</v>
      </c>
      <c r="I574" s="880">
        <v>0.99076302183716813</v>
      </c>
      <c r="K574">
        <v>1.0696572451582871</v>
      </c>
      <c r="L574">
        <v>0</v>
      </c>
      <c r="M574">
        <v>6.1965854484023059E-4</v>
      </c>
      <c r="N574">
        <v>6.8852382811027013E-2</v>
      </c>
      <c r="O574">
        <v>8.7824244024874779E-3</v>
      </c>
      <c r="P574">
        <v>1.2926800281494838E-2</v>
      </c>
      <c r="Q574">
        <v>3.0591947203531594E-3</v>
      </c>
      <c r="R574">
        <v>6.088379814131004E-4</v>
      </c>
      <c r="S574">
        <v>8.3515419432318411E-2</v>
      </c>
      <c r="T574">
        <v>0.81301234604739758</v>
      </c>
      <c r="U574">
        <v>1.6947785764323094E-2</v>
      </c>
      <c r="V574">
        <v>1.0413348398887926E-2</v>
      </c>
      <c r="W574">
        <v>4.018729293865083E-2</v>
      </c>
      <c r="X574">
        <v>1.0314014642752245E-2</v>
      </c>
      <c r="Y574">
        <v>1.657056282019827E-3</v>
      </c>
    </row>
    <row r="575" spans="1:25">
      <c r="A575" s="876"/>
      <c r="B575" s="1202">
        <v>325</v>
      </c>
      <c r="C575" s="880">
        <v>0.97950175856171995</v>
      </c>
      <c r="D575" s="880">
        <v>1.0116594919028867</v>
      </c>
      <c r="E575" s="880">
        <v>0.98771150753630466</v>
      </c>
      <c r="F575" s="880">
        <v>0.98682798375256953</v>
      </c>
      <c r="G575" s="880">
        <v>1.0257049612186444</v>
      </c>
      <c r="H575" s="880">
        <v>1.0131640000131943</v>
      </c>
      <c r="I575" s="880">
        <v>1.0456779108056291</v>
      </c>
      <c r="K575">
        <v>1.0837354997601651</v>
      </c>
      <c r="L575">
        <v>0</v>
      </c>
      <c r="M575">
        <v>7.2799551593889745E-4</v>
      </c>
      <c r="N575">
        <v>6.9833869677308175E-2</v>
      </c>
      <c r="O575">
        <v>8.9161812886978196E-3</v>
      </c>
      <c r="P575">
        <v>1.2640570657424416E-2</v>
      </c>
      <c r="Q575">
        <v>2.963176593952442E-3</v>
      </c>
      <c r="R575">
        <v>7.1584566865115029E-4</v>
      </c>
      <c r="S575">
        <v>9.1225088042004882E-2</v>
      </c>
      <c r="T575">
        <v>0.81683143816808645</v>
      </c>
      <c r="U575">
        <v>1.7264521189613365E-2</v>
      </c>
      <c r="V575">
        <v>1.0415169210793876E-2</v>
      </c>
      <c r="W575">
        <v>4.2096840927059849E-2</v>
      </c>
      <c r="X575">
        <v>9.612497920904765E-3</v>
      </c>
      <c r="Y575">
        <v>1.9482959316071806E-3</v>
      </c>
    </row>
    <row r="576" spans="1:25">
      <c r="A576" s="876"/>
      <c r="B576" s="1202">
        <v>326</v>
      </c>
      <c r="C576" s="880">
        <v>1.0043760624999125</v>
      </c>
      <c r="D576" s="880">
        <v>0.9746116606577937</v>
      </c>
      <c r="E576" s="880">
        <v>0.99785943639678443</v>
      </c>
      <c r="F576" s="880">
        <v>1.0148752467297704</v>
      </c>
      <c r="G576" s="880">
        <v>1.0181500697150054</v>
      </c>
      <c r="H576" s="880">
        <v>1.0030036650026168</v>
      </c>
      <c r="I576" s="880">
        <v>1.0262098233098009</v>
      </c>
      <c r="K576">
        <v>1.0790294364057065</v>
      </c>
      <c r="L576">
        <v>0</v>
      </c>
      <c r="M576">
        <v>7.0180305759055849E-4</v>
      </c>
      <c r="N576">
        <v>6.947315273357596E-2</v>
      </c>
      <c r="O576">
        <v>8.870211849909361E-3</v>
      </c>
      <c r="P576">
        <v>1.268417647974158E-2</v>
      </c>
      <c r="Q576">
        <v>2.9699319779159378E-3</v>
      </c>
      <c r="R576">
        <v>6.900041663192466E-4</v>
      </c>
      <c r="S576">
        <v>8.8572841058746105E-2</v>
      </c>
      <c r="T576">
        <v>0.81600965595550479</v>
      </c>
      <c r="U576">
        <v>1.6836949323405324E-2</v>
      </c>
      <c r="V576">
        <v>1.0412711235201383E-2</v>
      </c>
      <c r="W576">
        <v>4.1588147236363601E-2</v>
      </c>
      <c r="X576">
        <v>9.7454935657030929E-3</v>
      </c>
      <c r="Y576">
        <v>1.8779638809086929E-3</v>
      </c>
    </row>
    <row r="577" spans="1:25">
      <c r="A577" s="876"/>
      <c r="B577" s="1202">
        <v>327</v>
      </c>
      <c r="C577" s="880">
        <v>0.98332197283789402</v>
      </c>
      <c r="D577" s="880">
        <v>0.97718839286980708</v>
      </c>
      <c r="E577" s="880">
        <v>1.0038861382249957</v>
      </c>
      <c r="F577" s="880">
        <v>0.95737235036522905</v>
      </c>
      <c r="G577" s="880">
        <v>1.0071247719001482</v>
      </c>
      <c r="H577" s="880">
        <v>1.0211488688817896</v>
      </c>
      <c r="I577" s="880">
        <v>1.0003225507142628</v>
      </c>
      <c r="K577">
        <v>1.0845451367974144</v>
      </c>
      <c r="L577">
        <v>0</v>
      </c>
      <c r="M577">
        <v>7.1957855564203045E-4</v>
      </c>
      <c r="N577">
        <v>7.2602714474297031E-2</v>
      </c>
      <c r="O577">
        <v>9.0473560030530451E-3</v>
      </c>
      <c r="P577">
        <v>1.2741936496578753E-2</v>
      </c>
      <c r="Q577">
        <v>3.04824868155957E-3</v>
      </c>
      <c r="R577">
        <v>7.0769345922571509E-4</v>
      </c>
      <c r="S577">
        <v>8.8739009041637867E-2</v>
      </c>
      <c r="T577">
        <v>0.81552326678862819</v>
      </c>
      <c r="U577">
        <v>1.7197448377104664E-2</v>
      </c>
      <c r="V577">
        <v>1.0414783630382504E-2</v>
      </c>
      <c r="W577">
        <v>4.3282825661406031E-2</v>
      </c>
      <c r="X577">
        <v>1.0033324434256063E-2</v>
      </c>
      <c r="Y577">
        <v>1.9261083049262611E-3</v>
      </c>
    </row>
    <row r="578" spans="1:25">
      <c r="A578" s="876"/>
      <c r="B578" s="1202">
        <v>328</v>
      </c>
      <c r="C578" s="880">
        <v>0.98760328473215231</v>
      </c>
      <c r="D578" s="880">
        <v>0.97184301249165539</v>
      </c>
      <c r="E578" s="880">
        <v>0.98155486327600872</v>
      </c>
      <c r="F578" s="880">
        <v>0.98118424547858374</v>
      </c>
      <c r="G578" s="880">
        <v>0.97947498513158515</v>
      </c>
      <c r="H578" s="880">
        <v>0.99068899330671134</v>
      </c>
      <c r="I578" s="880">
        <v>1.0040185837686342</v>
      </c>
      <c r="K578">
        <v>1.0789843386931099</v>
      </c>
      <c r="L578">
        <v>0</v>
      </c>
      <c r="M578">
        <v>7.3065273292525839E-4</v>
      </c>
      <c r="N578">
        <v>6.8734612057184577E-2</v>
      </c>
      <c r="O578">
        <v>9.0345884755392084E-3</v>
      </c>
      <c r="P578">
        <v>1.2540484819317962E-2</v>
      </c>
      <c r="Q578">
        <v>2.9748776096127695E-3</v>
      </c>
      <c r="R578">
        <v>7.1821874773215111E-4</v>
      </c>
      <c r="S578">
        <v>8.7800118119005413E-2</v>
      </c>
      <c r="T578">
        <v>0.81733170654067833</v>
      </c>
      <c r="U578">
        <v>1.7122896538906026E-2</v>
      </c>
      <c r="V578">
        <v>1.041435505541499E-2</v>
      </c>
      <c r="W578">
        <v>4.1611003142956043E-2</v>
      </c>
      <c r="X578">
        <v>9.4773756491063222E-3</v>
      </c>
      <c r="Y578">
        <v>1.9547546705803568E-3</v>
      </c>
    </row>
    <row r="579" spans="1:25">
      <c r="A579" s="876"/>
      <c r="B579" s="1202">
        <v>329</v>
      </c>
      <c r="C579" s="880">
        <v>0.9794427095275452</v>
      </c>
      <c r="D579" s="880">
        <v>0.97746537210270745</v>
      </c>
      <c r="E579" s="880">
        <v>0.98811697584549685</v>
      </c>
      <c r="F579" s="880">
        <v>0.97591389674966622</v>
      </c>
      <c r="G579" s="880">
        <v>0.96960425181728693</v>
      </c>
      <c r="H579" s="880">
        <v>0.98330182239852926</v>
      </c>
      <c r="I579" s="880">
        <v>1.0010831797306459</v>
      </c>
      <c r="K579">
        <v>1.0790702630164375</v>
      </c>
      <c r="L579">
        <v>0</v>
      </c>
      <c r="M579">
        <v>7.1901920901128917E-4</v>
      </c>
      <c r="N579">
        <v>6.9027401468679792E-2</v>
      </c>
      <c r="O579">
        <v>9.0818140697860299E-3</v>
      </c>
      <c r="P579">
        <v>1.2596943696318185E-2</v>
      </c>
      <c r="Q579">
        <v>3.0116977482283853E-3</v>
      </c>
      <c r="R579">
        <v>7.066859931065347E-4</v>
      </c>
      <c r="S579">
        <v>8.7745612184921454E-2</v>
      </c>
      <c r="T579">
        <v>0.81679853623594501</v>
      </c>
      <c r="U579">
        <v>1.7265562039978387E-2</v>
      </c>
      <c r="V579">
        <v>1.0415175194313824E-2</v>
      </c>
      <c r="W579">
        <v>4.1599049765875591E-2</v>
      </c>
      <c r="X579">
        <v>9.6174375140349131E-3</v>
      </c>
      <c r="Y579">
        <v>1.9233663142609687E-3</v>
      </c>
    </row>
    <row r="580" spans="1:25">
      <c r="A580" s="876"/>
      <c r="B580" s="1202">
        <v>330</v>
      </c>
      <c r="C580" s="880">
        <v>0.99353404418654878</v>
      </c>
      <c r="D580" s="880">
        <v>0.99118371750231349</v>
      </c>
      <c r="E580" s="880">
        <v>1.0156407545679766</v>
      </c>
      <c r="F580" s="880">
        <v>0.99400834081133616</v>
      </c>
      <c r="G580" s="880">
        <v>0.99287985253892141</v>
      </c>
      <c r="H580" s="880">
        <v>1.0262870344368098</v>
      </c>
      <c r="I580" s="880">
        <v>0.99352024198514832</v>
      </c>
      <c r="K580">
        <v>1.0809856621586951</v>
      </c>
      <c r="L580">
        <v>0</v>
      </c>
      <c r="M580">
        <v>6.9296863658198078E-4</v>
      </c>
      <c r="N580">
        <v>7.2525000778439278E-2</v>
      </c>
      <c r="O580">
        <v>8.8866128948860684E-3</v>
      </c>
      <c r="P580">
        <v>1.2811001938462987E-2</v>
      </c>
      <c r="Q580">
        <v>3.0327265191870461E-3</v>
      </c>
      <c r="R580">
        <v>6.8156837209657373E-4</v>
      </c>
      <c r="S580">
        <v>8.6797065218314526E-2</v>
      </c>
      <c r="T580">
        <v>0.81457815686583601</v>
      </c>
      <c r="U580">
        <v>1.7020683855677916E-2</v>
      </c>
      <c r="V580">
        <v>1.0413767466987226E-2</v>
      </c>
      <c r="W580">
        <v>4.2892479216824639E-2</v>
      </c>
      <c r="X580">
        <v>1.0184563238670794E-2</v>
      </c>
      <c r="Y580">
        <v>1.855004429893396E-3</v>
      </c>
    </row>
    <row r="581" spans="1:25">
      <c r="A581" s="876"/>
      <c r="B581" s="1202">
        <v>331</v>
      </c>
      <c r="C581" s="880">
        <v>1.0220490165323961</v>
      </c>
      <c r="D581" s="880">
        <v>0.97770446121961696</v>
      </c>
      <c r="E581" s="880">
        <v>1.0121024478283376</v>
      </c>
      <c r="F581" s="880">
        <v>0.97481504568651067</v>
      </c>
      <c r="G581" s="880">
        <v>0.98331875246782219</v>
      </c>
      <c r="H581" s="880">
        <v>0.98703656038017762</v>
      </c>
      <c r="I581" s="880">
        <v>0.98794912942547819</v>
      </c>
      <c r="K581">
        <v>1.0692483597311493</v>
      </c>
      <c r="L581">
        <v>0</v>
      </c>
      <c r="M581">
        <v>6.5750691217754636E-4</v>
      </c>
      <c r="N581">
        <v>6.8016978046774521E-2</v>
      </c>
      <c r="O581">
        <v>8.7020816811435222E-3</v>
      </c>
      <c r="P581">
        <v>1.2724097059958491E-2</v>
      </c>
      <c r="Q581">
        <v>2.9562430154590228E-3</v>
      </c>
      <c r="R581">
        <v>6.4627127659137721E-4</v>
      </c>
      <c r="S581">
        <v>8.3105036858320616E-2</v>
      </c>
      <c r="T581">
        <v>0.81486215357603753</v>
      </c>
      <c r="U581">
        <v>1.6545810027122451E-2</v>
      </c>
      <c r="V581">
        <v>1.0411037567355452E-2</v>
      </c>
      <c r="W581">
        <v>4.0322929385761611E-2</v>
      </c>
      <c r="X581">
        <v>9.8542907771900397E-3</v>
      </c>
      <c r="Y581">
        <v>1.758937371612657E-3</v>
      </c>
    </row>
    <row r="582" spans="1:25">
      <c r="A582" s="876"/>
      <c r="B582" s="1202">
        <v>332</v>
      </c>
      <c r="C582" s="880">
        <v>0.98869172229933</v>
      </c>
      <c r="D582" s="880">
        <v>1.0041594474476534</v>
      </c>
      <c r="E582" s="880">
        <v>0.9981838908381202</v>
      </c>
      <c r="F582" s="880">
        <v>1.0062419223925336</v>
      </c>
      <c r="G582" s="880">
        <v>0.99649267687434007</v>
      </c>
      <c r="H582" s="880">
        <v>0.99863851993036579</v>
      </c>
      <c r="I582" s="880">
        <v>1.0122659488759362</v>
      </c>
      <c r="K582">
        <v>1.0774698965503464</v>
      </c>
      <c r="L582">
        <v>0</v>
      </c>
      <c r="M582">
        <v>6.9815540732746863E-4</v>
      </c>
      <c r="N582">
        <v>6.917407946641918E-2</v>
      </c>
      <c r="O582">
        <v>8.8683999419871574E-3</v>
      </c>
      <c r="P582">
        <v>1.267298763670228E-2</v>
      </c>
      <c r="Q582">
        <v>2.9769594511031123E-3</v>
      </c>
      <c r="R582">
        <v>6.8634053130964311E-4</v>
      </c>
      <c r="S582">
        <v>8.7283534149352138E-2</v>
      </c>
      <c r="T582">
        <v>0.81598343920327054</v>
      </c>
      <c r="U582">
        <v>1.7104046169846097E-2</v>
      </c>
      <c r="V582">
        <v>1.0414246690597937E-2</v>
      </c>
      <c r="W582">
        <v>4.1399910724351903E-2</v>
      </c>
      <c r="X582">
        <v>9.7361153186027224E-3</v>
      </c>
      <c r="Y582">
        <v>1.8679926741295091E-3</v>
      </c>
    </row>
    <row r="583" spans="1:25">
      <c r="A583" s="876"/>
      <c r="B583" s="1202">
        <v>333</v>
      </c>
      <c r="C583" s="880">
        <v>1.0361721467529539</v>
      </c>
      <c r="D583" s="880">
        <v>1.0308074511109853</v>
      </c>
      <c r="E583" s="880">
        <v>0.99737243370126505</v>
      </c>
      <c r="F583" s="880">
        <v>0.97177972961208858</v>
      </c>
      <c r="G583" s="880">
        <v>0.99538485886005035</v>
      </c>
      <c r="H583" s="880">
        <v>0.96610078496003848</v>
      </c>
      <c r="I583" s="880">
        <v>0.97599939746403686</v>
      </c>
      <c r="K583">
        <v>1.0561446986670899</v>
      </c>
      <c r="L583">
        <v>0</v>
      </c>
      <c r="M583">
        <v>6.3664228258847051E-4</v>
      </c>
      <c r="N583">
        <v>6.2881595479497954E-2</v>
      </c>
      <c r="O583">
        <v>8.3448466157668467E-3</v>
      </c>
      <c r="P583">
        <v>1.2531490997656703E-2</v>
      </c>
      <c r="Q583">
        <v>2.8043654697826655E-3</v>
      </c>
      <c r="R583">
        <v>6.2548425497689804E-4</v>
      </c>
      <c r="S583">
        <v>7.8183089773792694E-2</v>
      </c>
      <c r="T583">
        <v>0.81604901373491234</v>
      </c>
      <c r="U583">
        <v>1.6320288977989934E-2</v>
      </c>
      <c r="V583">
        <v>1.0409741118084192E-2</v>
      </c>
      <c r="W583">
        <v>3.7654863475554856E-2</v>
      </c>
      <c r="X583">
        <v>9.2741991004448368E-3</v>
      </c>
      <c r="Y583">
        <v>1.7023619512178784E-3</v>
      </c>
    </row>
    <row r="584" spans="1:25">
      <c r="A584" s="876"/>
      <c r="B584" s="1202">
        <v>334</v>
      </c>
      <c r="C584" s="880">
        <v>1.0309901214729318</v>
      </c>
      <c r="D584" s="880">
        <v>0.99165145701697588</v>
      </c>
      <c r="E584" s="880">
        <v>1.0115073464962203</v>
      </c>
      <c r="F584" s="880">
        <v>1.003468152089422</v>
      </c>
      <c r="G584" s="880">
        <v>1.002682322147465</v>
      </c>
      <c r="H584" s="880">
        <v>0.95683664769996712</v>
      </c>
      <c r="I584" s="880">
        <v>0.98060585390227872</v>
      </c>
      <c r="K584">
        <v>1.0605826381914785</v>
      </c>
      <c r="L584">
        <v>0</v>
      </c>
      <c r="M584">
        <v>6.278992366885672E-4</v>
      </c>
      <c r="N584">
        <v>6.4797323551099142E-2</v>
      </c>
      <c r="O584">
        <v>8.5616044184227951E-3</v>
      </c>
      <c r="P584">
        <v>1.2676699859339318E-2</v>
      </c>
      <c r="Q584">
        <v>2.9098899948325897E-3</v>
      </c>
      <c r="R584">
        <v>6.1681929573475407E-4</v>
      </c>
      <c r="S584">
        <v>8.0164670603780214E-2</v>
      </c>
      <c r="T584">
        <v>0.81490996034800733</v>
      </c>
      <c r="U584">
        <v>1.6402319007472993E-2</v>
      </c>
      <c r="V584">
        <v>1.0410212682811077E-2</v>
      </c>
      <c r="W584">
        <v>3.8429718448583061E-2</v>
      </c>
      <c r="X584">
        <v>9.6525404295205834E-3</v>
      </c>
      <c r="Y584">
        <v>1.678778788563809E-3</v>
      </c>
    </row>
    <row r="585" spans="1:25">
      <c r="A585" s="876"/>
      <c r="B585" s="1202">
        <v>335</v>
      </c>
      <c r="C585" s="880">
        <v>0.96917941384196038</v>
      </c>
      <c r="D585" s="880">
        <v>0.99830623951061748</v>
      </c>
      <c r="E585" s="880">
        <v>0.99914229376067987</v>
      </c>
      <c r="F585" s="880">
        <v>1.0046674859042135</v>
      </c>
      <c r="G585" s="880">
        <v>0.9866147851399989</v>
      </c>
      <c r="H585" s="880">
        <v>0.95345724519748165</v>
      </c>
      <c r="I585" s="880">
        <v>1.0326412639197211</v>
      </c>
      <c r="K585">
        <v>1.0775736618512528</v>
      </c>
      <c r="L585">
        <v>0</v>
      </c>
      <c r="M585">
        <v>6.8073160110604988E-4</v>
      </c>
      <c r="N585">
        <v>6.759447624793874E-2</v>
      </c>
      <c r="O585">
        <v>9.0751902450965545E-3</v>
      </c>
      <c r="P585">
        <v>1.2714269163083195E-2</v>
      </c>
      <c r="Q585">
        <v>3.04798307459059E-3</v>
      </c>
      <c r="R585">
        <v>6.6867086716027296E-4</v>
      </c>
      <c r="S585">
        <v>8.9375138784339406E-2</v>
      </c>
      <c r="T585">
        <v>0.81590601866632195</v>
      </c>
      <c r="U585">
        <v>1.7448398742722308E-2</v>
      </c>
      <c r="V585">
        <v>1.0416226264761358E-2</v>
      </c>
      <c r="W585">
        <v>4.0427990629709427E-2</v>
      </c>
      <c r="X585">
        <v>9.7601290935155384E-3</v>
      </c>
      <c r="Y585">
        <v>1.8199016731181448E-3</v>
      </c>
    </row>
    <row r="586" spans="1:25">
      <c r="A586" s="876"/>
      <c r="B586" s="1202">
        <v>336</v>
      </c>
      <c r="C586" s="880">
        <v>0.9620724338267499</v>
      </c>
      <c r="D586" s="880">
        <v>0.9699755894513461</v>
      </c>
      <c r="E586" s="880">
        <v>0.99335431640939376</v>
      </c>
      <c r="F586" s="880">
        <v>0.99372146684117668</v>
      </c>
      <c r="G586" s="880">
        <v>1.0168370024732887</v>
      </c>
      <c r="H586" s="880">
        <v>1.0092673395147884</v>
      </c>
      <c r="I586" s="880">
        <v>0.99493320198075097</v>
      </c>
      <c r="K586">
        <v>1.0880186644013647</v>
      </c>
      <c r="L586">
        <v>0</v>
      </c>
      <c r="M586">
        <v>7.4615611931247374E-4</v>
      </c>
      <c r="N586">
        <v>7.2843555597653972E-2</v>
      </c>
      <c r="O586">
        <v>9.2838867211621021E-3</v>
      </c>
      <c r="P586">
        <v>1.2677178989006721E-2</v>
      </c>
      <c r="Q586">
        <v>3.093244953576311E-3</v>
      </c>
      <c r="R586">
        <v>7.3369382418959439E-4</v>
      </c>
      <c r="S586">
        <v>9.0098577109111386E-2</v>
      </c>
      <c r="T586">
        <v>0.81637405060162482</v>
      </c>
      <c r="U586">
        <v>1.7577292801840793E-2</v>
      </c>
      <c r="V586">
        <v>1.0416967235990676E-2</v>
      </c>
      <c r="W586">
        <v>4.3740784523134263E-2</v>
      </c>
      <c r="X586">
        <v>9.9287154360461014E-3</v>
      </c>
      <c r="Y586">
        <v>1.9968727273399342E-3</v>
      </c>
    </row>
    <row r="587" spans="1:25">
      <c r="A587" s="876"/>
      <c r="B587" s="1202">
        <v>337</v>
      </c>
      <c r="C587" s="880">
        <v>1.0299966583664744</v>
      </c>
      <c r="D587" s="880">
        <v>1.0101610028565826</v>
      </c>
      <c r="E587" s="880">
        <v>1.0131926880930742</v>
      </c>
      <c r="F587" s="880">
        <v>0.97340939168873497</v>
      </c>
      <c r="G587" s="880">
        <v>0.96583569586325724</v>
      </c>
      <c r="H587" s="880">
        <v>0.9757889920345939</v>
      </c>
      <c r="I587" s="880">
        <v>1.0113036317398754</v>
      </c>
      <c r="K587">
        <v>1.0642591655287357</v>
      </c>
      <c r="L587">
        <v>0</v>
      </c>
      <c r="M587">
        <v>6.3242634546624486E-4</v>
      </c>
      <c r="N587">
        <v>6.5628612229334402E-2</v>
      </c>
      <c r="O587">
        <v>8.4857696226108247E-3</v>
      </c>
      <c r="P587">
        <v>1.2725207906058552E-2</v>
      </c>
      <c r="Q587">
        <v>2.892963999045295E-3</v>
      </c>
      <c r="R587">
        <v>6.2146840704845453E-4</v>
      </c>
      <c r="S587">
        <v>8.2657928530540728E-2</v>
      </c>
      <c r="T587">
        <v>0.81477460167838323</v>
      </c>
      <c r="U587">
        <v>1.641813954306591E-2</v>
      </c>
      <c r="V587">
        <v>1.0410303630072632E-2</v>
      </c>
      <c r="W587">
        <v>3.8878260823059507E-2</v>
      </c>
      <c r="X587">
        <v>9.7069033680025289E-3</v>
      </c>
      <c r="Y587">
        <v>1.6914321369805691E-3</v>
      </c>
    </row>
    <row r="588" spans="1:25">
      <c r="A588" s="876"/>
      <c r="B588" s="1202">
        <v>338</v>
      </c>
      <c r="C588" s="880">
        <v>1.012326455778813</v>
      </c>
      <c r="D588" s="880">
        <v>0.99983588016286618</v>
      </c>
      <c r="E588" s="880">
        <v>0.96156988096601803</v>
      </c>
      <c r="F588" s="880">
        <v>1.0011596246632972</v>
      </c>
      <c r="G588" s="880">
        <v>0.98183982918948554</v>
      </c>
      <c r="H588" s="880">
        <v>1.0017490925509882</v>
      </c>
      <c r="I588" s="880">
        <v>0.97423486630886647</v>
      </c>
      <c r="K588">
        <v>1.0686751133562453</v>
      </c>
      <c r="L588">
        <v>0</v>
      </c>
      <c r="M588">
        <v>7.4032220760497354E-4</v>
      </c>
      <c r="N588">
        <v>6.5447514254678846E-2</v>
      </c>
      <c r="O588">
        <v>8.6812989924882553E-3</v>
      </c>
      <c r="P588">
        <v>1.2293368559500785E-2</v>
      </c>
      <c r="Q588">
        <v>2.8067839697743843E-3</v>
      </c>
      <c r="R588">
        <v>7.2783659911532228E-4</v>
      </c>
      <c r="S588">
        <v>8.2326548683831033E-2</v>
      </c>
      <c r="T588">
        <v>0.81896445078278568</v>
      </c>
      <c r="U588">
        <v>1.6704718887290682E-2</v>
      </c>
      <c r="V588">
        <v>1.0411951084194611E-2</v>
      </c>
      <c r="W588">
        <v>4.0177626719727272E-2</v>
      </c>
      <c r="X588">
        <v>8.8924057389415095E-3</v>
      </c>
      <c r="Y588">
        <v>1.9809312915214919E-3</v>
      </c>
    </row>
    <row r="589" spans="1:25">
      <c r="A589" s="876"/>
      <c r="B589" s="1202">
        <v>339</v>
      </c>
      <c r="C589" s="880">
        <v>0.98755984904518812</v>
      </c>
      <c r="D589" s="880">
        <v>1.0287085696256475</v>
      </c>
      <c r="E589" s="880">
        <v>1.0034272578573713</v>
      </c>
      <c r="F589" s="880">
        <v>0.98264607091239231</v>
      </c>
      <c r="G589" s="880">
        <v>0.99213315322747109</v>
      </c>
      <c r="H589" s="880">
        <v>0.98210472165029628</v>
      </c>
      <c r="I589" s="880">
        <v>1.0089676159219534</v>
      </c>
      <c r="K589">
        <v>1.0723595622270949</v>
      </c>
      <c r="L589">
        <v>0</v>
      </c>
      <c r="M589">
        <v>6.7116747926703325E-4</v>
      </c>
      <c r="N589">
        <v>6.7572034810145953E-2</v>
      </c>
      <c r="O589">
        <v>8.7651141459713193E-3</v>
      </c>
      <c r="P589">
        <v>1.2692266826840574E-2</v>
      </c>
      <c r="Q589">
        <v>2.9631331078468527E-3</v>
      </c>
      <c r="R589">
        <v>6.595977467482927E-4</v>
      </c>
      <c r="S589">
        <v>8.5464222395639403E-2</v>
      </c>
      <c r="T589">
        <v>0.81556025762897177</v>
      </c>
      <c r="U589">
        <v>1.7123649652527138E-2</v>
      </c>
      <c r="V589">
        <v>1.0414359384827298E-2</v>
      </c>
      <c r="W589">
        <v>4.0296354485082071E-2</v>
      </c>
      <c r="X589">
        <v>9.7245318914497263E-3</v>
      </c>
      <c r="Y589">
        <v>1.7952076303100742E-3</v>
      </c>
    </row>
    <row r="590" spans="1:25">
      <c r="A590" s="876"/>
      <c r="B590" s="1202">
        <v>340</v>
      </c>
      <c r="C590" s="880">
        <v>0.9788357542512548</v>
      </c>
      <c r="D590" s="880">
        <v>1.017916191366609</v>
      </c>
      <c r="E590" s="880">
        <v>0.98766970917544783</v>
      </c>
      <c r="F590" s="880">
        <v>0.9815074497052515</v>
      </c>
      <c r="G590" s="880">
        <v>0.99946435420924429</v>
      </c>
      <c r="H590" s="880">
        <v>1.0106324706167296</v>
      </c>
      <c r="I590" s="880">
        <v>0.97303900471349114</v>
      </c>
      <c r="K590">
        <v>1.0763629588751606</v>
      </c>
      <c r="L590">
        <v>0</v>
      </c>
      <c r="M590">
        <v>7.2435789593209394E-4</v>
      </c>
      <c r="N590">
        <v>6.9472397378644954E-2</v>
      </c>
      <c r="O590">
        <v>8.8930016024188988E-3</v>
      </c>
      <c r="P590">
        <v>1.2550743350746869E-2</v>
      </c>
      <c r="Q590">
        <v>2.9567007559908815E-3</v>
      </c>
      <c r="R590">
        <v>7.1223302333239921E-4</v>
      </c>
      <c r="S590">
        <v>8.4596542471235936E-2</v>
      </c>
      <c r="T590">
        <v>0.81683483023414949</v>
      </c>
      <c r="U590">
        <v>1.7276268048553138E-2</v>
      </c>
      <c r="V590">
        <v>1.0415236739775182E-2</v>
      </c>
      <c r="W590">
        <v>4.1880148448782607E-2</v>
      </c>
      <c r="X590">
        <v>9.5607512155045666E-3</v>
      </c>
      <c r="Y590">
        <v>1.9384635019577497E-3</v>
      </c>
    </row>
    <row r="591" spans="1:25">
      <c r="A591" s="876"/>
      <c r="B591" s="1202">
        <v>341</v>
      </c>
      <c r="C591" s="880">
        <v>0.96505779316079154</v>
      </c>
      <c r="D591" s="880">
        <v>0.97936924378831158</v>
      </c>
      <c r="E591" s="880">
        <v>0.99949150709062251</v>
      </c>
      <c r="F591" s="880">
        <v>0.9801032327174134</v>
      </c>
      <c r="G591" s="880">
        <v>1.0300157504317731</v>
      </c>
      <c r="H591" s="880">
        <v>1.0089383597575174</v>
      </c>
      <c r="I591" s="880">
        <v>1.0175301729425954</v>
      </c>
      <c r="K591">
        <v>1.0883473313785783</v>
      </c>
      <c r="L591">
        <v>0</v>
      </c>
      <c r="M591">
        <v>7.3029852006791841E-4</v>
      </c>
      <c r="N591">
        <v>7.2668894883912649E-2</v>
      </c>
      <c r="O591">
        <v>9.2076060250055741E-3</v>
      </c>
      <c r="P591">
        <v>1.2745931842371445E-2</v>
      </c>
      <c r="Q591">
        <v>3.0890987179217721E-3</v>
      </c>
      <c r="R591">
        <v>7.1808836684124561E-4</v>
      </c>
      <c r="S591">
        <v>9.1405978391875656E-2</v>
      </c>
      <c r="T591">
        <v>0.81587781669668979</v>
      </c>
      <c r="U591">
        <v>1.7522918301676089E-2</v>
      </c>
      <c r="V591">
        <v>1.0416654654165676E-2</v>
      </c>
      <c r="W591">
        <v>4.3452591454513238E-2</v>
      </c>
      <c r="X591">
        <v>1.0017650746897533E-2</v>
      </c>
      <c r="Y591">
        <v>1.9543998167753612E-3</v>
      </c>
    </row>
    <row r="592" spans="1:25">
      <c r="A592" s="876"/>
      <c r="B592" s="1202">
        <v>342</v>
      </c>
      <c r="C592" s="880">
        <v>1.0179565986196712</v>
      </c>
      <c r="D592" s="880">
        <v>1.0140017753960837</v>
      </c>
      <c r="E592" s="880">
        <v>1.0036448473236184</v>
      </c>
      <c r="F592" s="880">
        <v>1.016360700305875</v>
      </c>
      <c r="G592" s="880">
        <v>0.98151884639889497</v>
      </c>
      <c r="H592" s="880">
        <v>0.99828766686570425</v>
      </c>
      <c r="I592" s="880">
        <v>1.0107031576476864</v>
      </c>
      <c r="K592">
        <v>1.0695767247743713</v>
      </c>
      <c r="L592">
        <v>0</v>
      </c>
      <c r="M592">
        <v>6.6662899295774191E-4</v>
      </c>
      <c r="N592">
        <v>6.7180854563984371E-2</v>
      </c>
      <c r="O592">
        <v>8.5687980769409734E-3</v>
      </c>
      <c r="P592">
        <v>1.267003480364407E-2</v>
      </c>
      <c r="Q592">
        <v>2.8943127475679364E-3</v>
      </c>
      <c r="R592">
        <v>6.5533561927786548E-4</v>
      </c>
      <c r="S592">
        <v>8.4221199423502355E-2</v>
      </c>
      <c r="T592">
        <v>0.81554271661534927</v>
      </c>
      <c r="U592">
        <v>1.661232796062509E-2</v>
      </c>
      <c r="V592">
        <v>1.0411419957942718E-2</v>
      </c>
      <c r="W592">
        <v>4.0057125875870854E-2</v>
      </c>
      <c r="X592">
        <v>9.6456205982771333E-3</v>
      </c>
      <c r="Y592">
        <v>1.7836075243455147E-3</v>
      </c>
    </row>
    <row r="593" spans="1:25">
      <c r="A593" s="876"/>
      <c r="B593" s="1202">
        <v>343</v>
      </c>
      <c r="C593" s="880">
        <v>1.0419140417859509</v>
      </c>
      <c r="D593" s="880">
        <v>0.99298998042009023</v>
      </c>
      <c r="E593" s="880">
        <v>0.9546169641563178</v>
      </c>
      <c r="F593" s="880">
        <v>1.0126849939732883</v>
      </c>
      <c r="G593" s="880">
        <v>0.97373284848511943</v>
      </c>
      <c r="H593" s="880">
        <v>0.99779170817334195</v>
      </c>
      <c r="I593" s="880">
        <v>0.95656611656994495</v>
      </c>
      <c r="K593">
        <v>1.0608217575586047</v>
      </c>
      <c r="L593">
        <v>0</v>
      </c>
      <c r="M593">
        <v>7.2961725834423381E-4</v>
      </c>
      <c r="N593">
        <v>6.3112894926523888E-2</v>
      </c>
      <c r="O593">
        <v>8.4657442938345408E-3</v>
      </c>
      <c r="P593">
        <v>1.2180338313371062E-2</v>
      </c>
      <c r="Q593">
        <v>2.7161848833204346E-3</v>
      </c>
      <c r="R593">
        <v>7.1726962688116978E-4</v>
      </c>
      <c r="S593">
        <v>7.8676994258567265E-2</v>
      </c>
      <c r="T593">
        <v>0.81953565127788053</v>
      </c>
      <c r="U593">
        <v>1.6230349326097727E-2</v>
      </c>
      <c r="V593">
        <v>1.0409224083436622E-2</v>
      </c>
      <c r="W593">
        <v>3.8934722285984463E-2</v>
      </c>
      <c r="X593">
        <v>8.6198300645492498E-3</v>
      </c>
      <c r="Y593">
        <v>1.9521714765015894E-3</v>
      </c>
    </row>
    <row r="594" spans="1:25">
      <c r="A594" s="876"/>
      <c r="B594" s="1202">
        <v>344</v>
      </c>
      <c r="C594" s="880">
        <v>0.98758256976354353</v>
      </c>
      <c r="D594" s="880">
        <v>1.0131872620663185</v>
      </c>
      <c r="E594" s="880">
        <v>0.9861369647163325</v>
      </c>
      <c r="F594" s="880">
        <v>0.98255395783257726</v>
      </c>
      <c r="G594" s="880">
        <v>1.0115892784473017</v>
      </c>
      <c r="H594" s="880">
        <v>1.0027085924101724</v>
      </c>
      <c r="I594" s="880">
        <v>1.0105624008523295</v>
      </c>
      <c r="K594">
        <v>1.0768504415212934</v>
      </c>
      <c r="L594">
        <v>0</v>
      </c>
      <c r="M594">
        <v>7.1638152323482372E-4</v>
      </c>
      <c r="N594">
        <v>6.837142064677075E-2</v>
      </c>
      <c r="O594">
        <v>8.8361203505305866E-3</v>
      </c>
      <c r="P594">
        <v>1.2568206318535601E-2</v>
      </c>
      <c r="Q594">
        <v>2.9322203052801238E-3</v>
      </c>
      <c r="R594">
        <v>7.0429950826656775E-4</v>
      </c>
      <c r="S594">
        <v>8.6994729467074747E-2</v>
      </c>
      <c r="T594">
        <v>0.81695925807277359</v>
      </c>
      <c r="U594">
        <v>1.7123255699015901E-2</v>
      </c>
      <c r="V594">
        <v>1.0414357120112993E-2</v>
      </c>
      <c r="W594">
        <v>4.1260092369881929E-2</v>
      </c>
      <c r="X594">
        <v>9.4859920970541377E-3</v>
      </c>
      <c r="Y594">
        <v>1.9168710892310946E-3</v>
      </c>
    </row>
    <row r="595" spans="1:25">
      <c r="A595" s="876"/>
      <c r="B595" s="1202">
        <v>345</v>
      </c>
      <c r="C595" s="880">
        <v>0.96173377717505015</v>
      </c>
      <c r="D595" s="880">
        <v>0.96288588168618838</v>
      </c>
      <c r="E595" s="880">
        <v>0.98606489656963114</v>
      </c>
      <c r="F595" s="880">
        <v>1.0014599406667675</v>
      </c>
      <c r="G595" s="880">
        <v>0.98343463102806439</v>
      </c>
      <c r="H595" s="880">
        <v>1.0278031026742271</v>
      </c>
      <c r="I595" s="880">
        <v>1.0298204300439722</v>
      </c>
      <c r="K595">
        <v>1.0949525369191742</v>
      </c>
      <c r="L595">
        <v>0</v>
      </c>
      <c r="M595">
        <v>7.7489516895150269E-4</v>
      </c>
      <c r="N595">
        <v>7.3974975356870531E-2</v>
      </c>
      <c r="O595">
        <v>9.3236781222494885E-3</v>
      </c>
      <c r="P595">
        <v>1.2673297357350045E-2</v>
      </c>
      <c r="Q595">
        <v>3.0819806115744215E-3</v>
      </c>
      <c r="R595">
        <v>7.6219322625129926E-4</v>
      </c>
      <c r="S595">
        <v>9.4357756299585399E-2</v>
      </c>
      <c r="T595">
        <v>0.816965110507609</v>
      </c>
      <c r="U595">
        <v>1.7583482318386322E-2</v>
      </c>
      <c r="V595">
        <v>1.0417002817566093E-2</v>
      </c>
      <c r="W595">
        <v>4.4643891739936346E-2</v>
      </c>
      <c r="X595">
        <v>9.8696250258193362E-3</v>
      </c>
      <c r="Y595">
        <v>2.0744387049265291E-3</v>
      </c>
    </row>
    <row r="596" spans="1:25">
      <c r="A596" s="876"/>
      <c r="B596" s="1202">
        <v>346</v>
      </c>
      <c r="C596" s="880">
        <v>1.0175520650493959</v>
      </c>
      <c r="D596" s="880">
        <v>0.98928704099816811</v>
      </c>
      <c r="E596" s="880">
        <v>0.97274837791626845</v>
      </c>
      <c r="F596" s="880">
        <v>1.0197859197964874</v>
      </c>
      <c r="G596" s="880">
        <v>0.99210517330217762</v>
      </c>
      <c r="H596" s="880">
        <v>1.0223569246367481</v>
      </c>
      <c r="I596" s="880">
        <v>0.99939123294750032</v>
      </c>
      <c r="K596">
        <v>1.0741645773908601</v>
      </c>
      <c r="L596">
        <v>0</v>
      </c>
      <c r="M596">
        <v>7.384302861571816E-4</v>
      </c>
      <c r="N596">
        <v>6.7620480075987588E-2</v>
      </c>
      <c r="O596">
        <v>8.6857311747832906E-3</v>
      </c>
      <c r="P596">
        <v>1.2424502304577751E-2</v>
      </c>
      <c r="Q596">
        <v>2.838282442473528E-3</v>
      </c>
      <c r="R596">
        <v>7.2623713923456107E-4</v>
      </c>
      <c r="S596">
        <v>8.5191853489981706E-2</v>
      </c>
      <c r="T596">
        <v>0.818049521641672</v>
      </c>
      <c r="U596">
        <v>1.6618932285427036E-2</v>
      </c>
      <c r="V596">
        <v>1.0411457924119743E-2</v>
      </c>
      <c r="W596">
        <v>4.1187945420954372E-2</v>
      </c>
      <c r="X596">
        <v>9.1714856888181467E-3</v>
      </c>
      <c r="Y596">
        <v>1.9765780889878675E-3</v>
      </c>
    </row>
    <row r="597" spans="1:25">
      <c r="A597" s="876"/>
      <c r="B597" s="1202">
        <v>347</v>
      </c>
      <c r="C597" s="880">
        <v>0.99681203936379492</v>
      </c>
      <c r="D597" s="880">
        <v>0.99700442338035156</v>
      </c>
      <c r="E597" s="880">
        <v>0.97494011422997873</v>
      </c>
      <c r="F597" s="880">
        <v>1.0021118202991093</v>
      </c>
      <c r="G597" s="880">
        <v>0.97997703745056253</v>
      </c>
      <c r="H597" s="880">
        <v>1.0125675373301588</v>
      </c>
      <c r="I597" s="880">
        <v>1.0013904068423045</v>
      </c>
      <c r="K597">
        <v>1.0768513472094154</v>
      </c>
      <c r="L597">
        <v>0</v>
      </c>
      <c r="M597">
        <v>7.4008475728327061E-4</v>
      </c>
      <c r="N597">
        <v>6.822484871708151E-2</v>
      </c>
      <c r="O597">
        <v>8.8297603109330769E-3</v>
      </c>
      <c r="P597">
        <v>1.2464446278329556E-2</v>
      </c>
      <c r="Q597">
        <v>2.8934883978370884E-3</v>
      </c>
      <c r="R597">
        <v>7.2773908188964766E-4</v>
      </c>
      <c r="S597">
        <v>8.6449058406889143E-2</v>
      </c>
      <c r="T597">
        <v>0.8178706285486137</v>
      </c>
      <c r="U597">
        <v>1.6964711699053538E-2</v>
      </c>
      <c r="V597">
        <v>1.0413445700739926E-2</v>
      </c>
      <c r="W597">
        <v>4.1492644123249947E-2</v>
      </c>
      <c r="X597">
        <v>9.2799948203008201E-3</v>
      </c>
      <c r="Y597">
        <v>1.9806658817797507E-3</v>
      </c>
    </row>
    <row r="598" spans="1:25">
      <c r="A598" s="876"/>
      <c r="B598" s="1202">
        <v>348</v>
      </c>
      <c r="C598" s="880">
        <v>1.0315955980632874</v>
      </c>
      <c r="D598" s="880">
        <v>0.97758458517904556</v>
      </c>
      <c r="E598" s="880">
        <v>1.0002899990254224</v>
      </c>
      <c r="F598" s="880">
        <v>0.99184515126753281</v>
      </c>
      <c r="G598" s="880">
        <v>1.0113389692165389</v>
      </c>
      <c r="H598" s="880">
        <v>1.0029083820187765</v>
      </c>
      <c r="I598" s="880">
        <v>0.99792445575394029</v>
      </c>
      <c r="K598">
        <v>1.0700579916690347</v>
      </c>
      <c r="L598">
        <v>0</v>
      </c>
      <c r="M598">
        <v>6.7862973717228376E-4</v>
      </c>
      <c r="N598">
        <v>6.7688751770623806E-2</v>
      </c>
      <c r="O598">
        <v>8.6221159459601241E-3</v>
      </c>
      <c r="P598">
        <v>1.2632328633214689E-2</v>
      </c>
      <c r="Q598">
        <v>2.8945949043169038E-3</v>
      </c>
      <c r="R598">
        <v>6.6721677866977264E-4</v>
      </c>
      <c r="S598">
        <v>8.3728034829471693E-2</v>
      </c>
      <c r="T598">
        <v>0.81581334719659715</v>
      </c>
      <c r="U598">
        <v>1.6392691959620946E-2</v>
      </c>
      <c r="V598">
        <v>1.0410157339954108E-2</v>
      </c>
      <c r="W598">
        <v>4.0452589969437847E-2</v>
      </c>
      <c r="X598">
        <v>9.6188479547511269E-3</v>
      </c>
      <c r="Y598">
        <v>1.815944123587145E-3</v>
      </c>
    </row>
    <row r="599" spans="1:25">
      <c r="A599" s="876"/>
      <c r="B599" s="1202">
        <v>349</v>
      </c>
      <c r="C599" s="880">
        <v>1.0181623659369565</v>
      </c>
      <c r="D599" s="880">
        <v>1.0058719123483015</v>
      </c>
      <c r="E599" s="880">
        <v>1.0149652370713276</v>
      </c>
      <c r="F599" s="880">
        <v>0.98436276709038961</v>
      </c>
      <c r="G599" s="880">
        <v>0.97770421315623135</v>
      </c>
      <c r="H599" s="880">
        <v>0.9888544380080363</v>
      </c>
      <c r="I599" s="880">
        <v>0.97151867514659618</v>
      </c>
      <c r="K599">
        <v>1.0659716181592445</v>
      </c>
      <c r="L599">
        <v>0</v>
      </c>
      <c r="M599">
        <v>6.4738536520560458E-4</v>
      </c>
      <c r="N599">
        <v>6.7568165356871379E-2</v>
      </c>
      <c r="O599">
        <v>8.6038869854277826E-3</v>
      </c>
      <c r="P599">
        <v>1.2718883862315431E-2</v>
      </c>
      <c r="Q599">
        <v>2.9374923487015896E-3</v>
      </c>
      <c r="R599">
        <v>6.3631988905683693E-4</v>
      </c>
      <c r="S599">
        <v>8.094361617665774E-2</v>
      </c>
      <c r="T599">
        <v>0.81463234329554868</v>
      </c>
      <c r="U599">
        <v>1.6608970662935967E-2</v>
      </c>
      <c r="V599">
        <v>1.0411400657898844E-2</v>
      </c>
      <c r="W599">
        <v>3.9979204048628009E-2</v>
      </c>
      <c r="X599">
        <v>9.8468672651899989E-3</v>
      </c>
      <c r="Y599">
        <v>1.7318529752176574E-3</v>
      </c>
    </row>
    <row r="600" spans="1:25">
      <c r="A600" s="876"/>
      <c r="B600" s="1202">
        <v>350</v>
      </c>
      <c r="C600" s="880">
        <v>0.96996490779413425</v>
      </c>
      <c r="D600" s="880">
        <v>0.98202602286788476</v>
      </c>
      <c r="E600" s="880">
        <v>0.99830127145783876</v>
      </c>
      <c r="F600" s="880">
        <v>1.0034618213340061</v>
      </c>
      <c r="G600" s="880">
        <v>1.01395282717223</v>
      </c>
      <c r="H600" s="880">
        <v>1.0001627994275324</v>
      </c>
      <c r="I600" s="880">
        <v>1.0154902793261791</v>
      </c>
      <c r="K600">
        <v>1.0851517379811639</v>
      </c>
      <c r="L600">
        <v>0</v>
      </c>
      <c r="M600">
        <v>7.2104953136834036E-4</v>
      </c>
      <c r="N600">
        <v>7.1472444542677122E-2</v>
      </c>
      <c r="O600">
        <v>9.1477745295833988E-3</v>
      </c>
      <c r="P600">
        <v>1.2719708077501371E-2</v>
      </c>
      <c r="Q600">
        <v>3.0659793248562048E-3</v>
      </c>
      <c r="R600">
        <v>7.0888579907924334E-4</v>
      </c>
      <c r="S600">
        <v>9.0306857567736654E-2</v>
      </c>
      <c r="T600">
        <v>0.81597395542845652</v>
      </c>
      <c r="U600">
        <v>1.7434268734948397E-2</v>
      </c>
      <c r="V600">
        <v>1.0416145035810212E-2</v>
      </c>
      <c r="W600">
        <v>4.2772016783141437E-2</v>
      </c>
      <c r="X600">
        <v>9.9253982277883891E-3</v>
      </c>
      <c r="Y600">
        <v>1.9293534609528377E-3</v>
      </c>
    </row>
    <row r="601" spans="1:25">
      <c r="A601" s="876"/>
      <c r="B601" s="1202">
        <v>351</v>
      </c>
      <c r="C601" s="880">
        <v>0.97549522930479937</v>
      </c>
      <c r="D601" s="880">
        <v>1.0072274515490911</v>
      </c>
      <c r="E601" s="880">
        <v>0.96482590933020362</v>
      </c>
      <c r="F601" s="880">
        <v>0.99794189237949182</v>
      </c>
      <c r="G601" s="880">
        <v>1.036625424552277</v>
      </c>
      <c r="H601" s="880">
        <v>0.98638771368991485</v>
      </c>
      <c r="I601" s="880">
        <v>1.0098472582383786</v>
      </c>
      <c r="K601">
        <v>1.0772431136587326</v>
      </c>
      <c r="L601">
        <v>0</v>
      </c>
      <c r="M601">
        <v>7.4841606636757974E-4</v>
      </c>
      <c r="N601">
        <v>6.6820039139135215E-2</v>
      </c>
      <c r="O601">
        <v>8.9737690486964769E-3</v>
      </c>
      <c r="P601">
        <v>1.2400180978815248E-2</v>
      </c>
      <c r="Q601">
        <v>2.9126514325824686E-3</v>
      </c>
      <c r="R601">
        <v>7.3559046112700599E-4</v>
      </c>
      <c r="S601">
        <v>8.7667307890401905E-2</v>
      </c>
      <c r="T601">
        <v>0.81869751894284415</v>
      </c>
      <c r="U601">
        <v>1.7335429593032435E-2</v>
      </c>
      <c r="V601">
        <v>1.0415576840805773E-2</v>
      </c>
      <c r="W601">
        <v>4.092653385337483E-2</v>
      </c>
      <c r="X601">
        <v>9.1048967964268684E-3</v>
      </c>
      <c r="Y601">
        <v>2.0020347478573691E-3</v>
      </c>
    </row>
    <row r="602" spans="1:25">
      <c r="A602" s="876"/>
      <c r="B602" s="1202">
        <v>352</v>
      </c>
      <c r="C602" s="880">
        <v>1.0047605852476182</v>
      </c>
      <c r="D602" s="880">
        <v>0.96970147242633076</v>
      </c>
      <c r="E602" s="880">
        <v>1.0198391406614393</v>
      </c>
      <c r="F602" s="880">
        <v>1.028071598158445</v>
      </c>
      <c r="G602" s="880">
        <v>0.98668675909353476</v>
      </c>
      <c r="H602" s="880">
        <v>1.0146998169336072</v>
      </c>
      <c r="I602" s="880">
        <v>1.0232790724454441</v>
      </c>
      <c r="K602">
        <v>1.0817895483993771</v>
      </c>
      <c r="L602">
        <v>0</v>
      </c>
      <c r="M602">
        <v>6.7939819119688201E-4</v>
      </c>
      <c r="N602">
        <v>7.2026557847810896E-2</v>
      </c>
      <c r="O602">
        <v>8.8907963765186178E-3</v>
      </c>
      <c r="P602">
        <v>1.2873005026033106E-2</v>
      </c>
      <c r="Q602">
        <v>3.0418352953050735E-3</v>
      </c>
      <c r="R602">
        <v>6.6811187491000457E-4</v>
      </c>
      <c r="S602">
        <v>8.8942151775777495E-2</v>
      </c>
      <c r="T602">
        <v>0.81424173324975824</v>
      </c>
      <c r="U602">
        <v>1.6830505808291468E-2</v>
      </c>
      <c r="V602">
        <v>1.0412674193468429E-2</v>
      </c>
      <c r="W602">
        <v>4.2476995155605927E-2</v>
      </c>
      <c r="X602">
        <v>1.0246199706609732E-2</v>
      </c>
      <c r="Y602">
        <v>1.8183802804846595E-3</v>
      </c>
    </row>
    <row r="603" spans="1:25">
      <c r="A603" s="876"/>
      <c r="B603" s="1202">
        <v>353</v>
      </c>
      <c r="C603" s="880">
        <v>1.0470537206532087</v>
      </c>
      <c r="D603" s="880">
        <v>0.97022176007314043</v>
      </c>
      <c r="E603" s="880">
        <v>1.0054248950003162</v>
      </c>
      <c r="F603" s="880">
        <v>1.0129278875729166</v>
      </c>
      <c r="G603" s="880">
        <v>1.0224956048657841</v>
      </c>
      <c r="H603" s="880">
        <v>1.0329320073784991</v>
      </c>
      <c r="I603" s="880">
        <v>1.0030137072595906</v>
      </c>
      <c r="K603">
        <v>1.0725420578692648</v>
      </c>
      <c r="L603">
        <v>0</v>
      </c>
      <c r="M603">
        <v>6.8396928387474249E-4</v>
      </c>
      <c r="N603">
        <v>6.9354816199125202E-2</v>
      </c>
      <c r="O603">
        <v>8.5292275185858239E-3</v>
      </c>
      <c r="P603">
        <v>1.2679183326137135E-2</v>
      </c>
      <c r="Q603">
        <v>2.8765614164153685E-3</v>
      </c>
      <c r="R603">
        <v>6.7280714018404036E-4</v>
      </c>
      <c r="S603">
        <v>8.427142433798164E-2</v>
      </c>
      <c r="T603">
        <v>0.81539927821078528</v>
      </c>
      <c r="U603">
        <v>1.6150679313189982E-2</v>
      </c>
      <c r="V603">
        <v>1.0408766085699498E-2</v>
      </c>
      <c r="W603">
        <v>4.1303189980376305E-2</v>
      </c>
      <c r="X603">
        <v>9.7489343798920682E-3</v>
      </c>
      <c r="Y603">
        <v>1.8311592447668034E-3</v>
      </c>
    </row>
    <row r="604" spans="1:25">
      <c r="A604" s="876"/>
      <c r="B604" s="1202">
        <v>354</v>
      </c>
      <c r="C604" s="880">
        <v>0.96734466586491064</v>
      </c>
      <c r="D604" s="880">
        <v>0.98109272365383193</v>
      </c>
      <c r="E604" s="880">
        <v>1.0069187264806188</v>
      </c>
      <c r="F604" s="880">
        <v>0.96781779933492906</v>
      </c>
      <c r="G604" s="880">
        <v>0.96924312358416798</v>
      </c>
      <c r="H604" s="880">
        <v>0.98597325390785995</v>
      </c>
      <c r="I604" s="880">
        <v>1.0382952647859753</v>
      </c>
      <c r="K604">
        <v>1.0859909232924272</v>
      </c>
      <c r="L604">
        <v>0</v>
      </c>
      <c r="M604">
        <v>7.0027680510009282E-4</v>
      </c>
      <c r="N604">
        <v>7.1281638965989366E-2</v>
      </c>
      <c r="O604">
        <v>9.1772134468337766E-3</v>
      </c>
      <c r="P604">
        <v>1.2817075229046683E-2</v>
      </c>
      <c r="Q604">
        <v>3.1023442292975895E-3</v>
      </c>
      <c r="R604">
        <v>6.8829433119838913E-4</v>
      </c>
      <c r="S604">
        <v>9.207884025245025E-2</v>
      </c>
      <c r="T604">
        <v>0.81527898662166665</v>
      </c>
      <c r="U604">
        <v>1.7481492856356896E-2</v>
      </c>
      <c r="V604">
        <v>1.0416416512366487E-2</v>
      </c>
      <c r="W604">
        <v>4.2407497368507255E-2</v>
      </c>
      <c r="X604">
        <v>1.0088090010456366E-2</v>
      </c>
      <c r="Y604">
        <v>1.8733102733567153E-3</v>
      </c>
    </row>
    <row r="605" spans="1:25">
      <c r="A605" s="876"/>
      <c r="B605" s="1202">
        <v>355</v>
      </c>
      <c r="C605" s="880">
        <v>1.0016598905866783</v>
      </c>
      <c r="D605" s="880">
        <v>1.0337394743112382</v>
      </c>
      <c r="E605" s="880">
        <v>0.99389501258943669</v>
      </c>
      <c r="F605" s="880">
        <v>0.98977333895874553</v>
      </c>
      <c r="G605" s="880">
        <v>1.0070432798996238</v>
      </c>
      <c r="H605" s="880">
        <v>1.0260816150622165</v>
      </c>
      <c r="I605" s="880">
        <v>1.027161779578073</v>
      </c>
      <c r="K605">
        <v>1.0764875572342631</v>
      </c>
      <c r="L605">
        <v>0</v>
      </c>
      <c r="M605">
        <v>7.0354287057602992E-4</v>
      </c>
      <c r="N605">
        <v>6.881288885604947E-2</v>
      </c>
      <c r="O605">
        <v>8.6193429437216688E-3</v>
      </c>
      <c r="P605">
        <v>1.2632284920910966E-2</v>
      </c>
      <c r="Q605">
        <v>2.8870849716549577E-3</v>
      </c>
      <c r="R605">
        <v>6.9193072734213812E-4</v>
      </c>
      <c r="S605">
        <v>8.7157459206336677E-2</v>
      </c>
      <c r="T605">
        <v>0.81633028024884724</v>
      </c>
      <c r="U605">
        <v>1.6882605587858465E-2</v>
      </c>
      <c r="V605">
        <v>1.0412973698643271E-2</v>
      </c>
      <c r="W605">
        <v>4.130511451931887E-2</v>
      </c>
      <c r="X605">
        <v>9.5759270792333904E-3</v>
      </c>
      <c r="Y605">
        <v>1.8832073449223336E-3</v>
      </c>
    </row>
    <row r="606" spans="1:25">
      <c r="A606" s="876"/>
      <c r="B606" s="1202">
        <v>356</v>
      </c>
      <c r="C606" s="880">
        <v>0.96621891786192815</v>
      </c>
      <c r="D606" s="880">
        <v>0.98520258858523801</v>
      </c>
      <c r="E606" s="880">
        <v>1.0015425736861903</v>
      </c>
      <c r="F606" s="880">
        <v>1.0212976769859328</v>
      </c>
      <c r="G606" s="880">
        <v>1.0200635157401232</v>
      </c>
      <c r="H606" s="880">
        <v>1.0155433613012912</v>
      </c>
      <c r="I606" s="880">
        <v>0.9799110964771669</v>
      </c>
      <c r="K606">
        <v>1.0850396088077019</v>
      </c>
      <c r="L606">
        <v>0</v>
      </c>
      <c r="M606">
        <v>7.2872150235710187E-4</v>
      </c>
      <c r="N606">
        <v>7.2983668624808692E-2</v>
      </c>
      <c r="O606">
        <v>9.1674135673948613E-3</v>
      </c>
      <c r="P606">
        <v>1.2715034731610064E-2</v>
      </c>
      <c r="Q606">
        <v>3.0833379850723507E-3</v>
      </c>
      <c r="R606">
        <v>7.1661163764609166E-4</v>
      </c>
      <c r="S606">
        <v>8.7901953108322009E-2</v>
      </c>
      <c r="T606">
        <v>0.81571225912649525</v>
      </c>
      <c r="U606">
        <v>1.7501860658423681E-2</v>
      </c>
      <c r="V606">
        <v>1.0416533600426551E-2</v>
      </c>
      <c r="W606">
        <v>4.3579629864639244E-2</v>
      </c>
      <c r="X606">
        <v>1.0039646758509655E-2</v>
      </c>
      <c r="Y606">
        <v>1.9503806467097999E-3</v>
      </c>
    </row>
    <row r="607" spans="1:25">
      <c r="A607" s="876"/>
      <c r="B607" s="1202">
        <v>357</v>
      </c>
      <c r="C607" s="880">
        <v>1.0332136314636637</v>
      </c>
      <c r="D607" s="880">
        <v>1.0134522648749991</v>
      </c>
      <c r="E607" s="880">
        <v>1.0305307212343402</v>
      </c>
      <c r="F607" s="880">
        <v>1.0025098771895482</v>
      </c>
      <c r="G607" s="880">
        <v>1.0103389057942607</v>
      </c>
      <c r="H607" s="880">
        <v>1.0321876983282336</v>
      </c>
      <c r="I607" s="880">
        <v>1.0262389033121726</v>
      </c>
      <c r="K607">
        <v>1.0733817354687851</v>
      </c>
      <c r="L607">
        <v>0</v>
      </c>
      <c r="M607">
        <v>6.4179682032297072E-4</v>
      </c>
      <c r="N607">
        <v>7.0353471428885345E-2</v>
      </c>
      <c r="O607">
        <v>8.4447037988542289E-3</v>
      </c>
      <c r="P607">
        <v>1.2907045536588946E-2</v>
      </c>
      <c r="Q607">
        <v>2.9296739453231724E-3</v>
      </c>
      <c r="R607">
        <v>6.3128163565572351E-4</v>
      </c>
      <c r="S607">
        <v>8.5471087106045854E-2</v>
      </c>
      <c r="T607">
        <v>0.81338771374655217</v>
      </c>
      <c r="U607">
        <v>1.636702067315601E-2</v>
      </c>
      <c r="V607">
        <v>1.0410009763837545E-2</v>
      </c>
      <c r="W607">
        <v>4.1193121794311609E-2</v>
      </c>
      <c r="X607">
        <v>1.0210262349577172E-2</v>
      </c>
      <c r="Y607">
        <v>1.7181405103196144E-3</v>
      </c>
    </row>
    <row r="608" spans="1:25">
      <c r="A608" s="876"/>
      <c r="B608" s="1202">
        <v>358</v>
      </c>
      <c r="C608" s="880">
        <v>1.0124831771976006</v>
      </c>
      <c r="D608" s="880">
        <v>0.993850110280046</v>
      </c>
      <c r="E608" s="880">
        <v>0.99613575431871448</v>
      </c>
      <c r="F608" s="880">
        <v>0.99887797934772971</v>
      </c>
      <c r="G608" s="880">
        <v>0.95768133069846195</v>
      </c>
      <c r="H608" s="880">
        <v>0.97825957460984925</v>
      </c>
      <c r="I608" s="880">
        <v>0.98399964900533754</v>
      </c>
      <c r="K608">
        <v>1.0675057452456354</v>
      </c>
      <c r="L608">
        <v>0</v>
      </c>
      <c r="M608">
        <v>6.7441610896298669E-4</v>
      </c>
      <c r="N608">
        <v>6.6374511304437125E-2</v>
      </c>
      <c r="O608">
        <v>8.70780257400325E-3</v>
      </c>
      <c r="P608">
        <v>1.2586161058937001E-2</v>
      </c>
      <c r="Q608">
        <v>2.9147802720082485E-3</v>
      </c>
      <c r="R608">
        <v>6.6277404532058125E-4</v>
      </c>
      <c r="S608">
        <v>8.2569079769468673E-2</v>
      </c>
      <c r="T608">
        <v>0.81614899383983197</v>
      </c>
      <c r="U608">
        <v>1.6702133177914566E-2</v>
      </c>
      <c r="V608">
        <v>1.0411936219768226E-2</v>
      </c>
      <c r="W608">
        <v>3.9780220849188974E-2</v>
      </c>
      <c r="X608">
        <v>9.5179157757610683E-3</v>
      </c>
      <c r="Y608">
        <v>1.8038524679573011E-3</v>
      </c>
    </row>
    <row r="609" spans="1:25">
      <c r="A609" s="876"/>
      <c r="B609" s="1202">
        <v>359</v>
      </c>
      <c r="C609" s="880">
        <v>1.0150750585733319</v>
      </c>
      <c r="D609" s="880">
        <v>1.0233328444465177</v>
      </c>
      <c r="E609" s="880">
        <v>1.0075439893530669</v>
      </c>
      <c r="F609" s="880">
        <v>0.97082648329831789</v>
      </c>
      <c r="G609" s="880">
        <v>1.0316733942538059</v>
      </c>
      <c r="H609" s="880">
        <v>1.0160272201312361</v>
      </c>
      <c r="I609" s="880">
        <v>0.99177264716579938</v>
      </c>
      <c r="K609">
        <v>1.0703708798373033</v>
      </c>
      <c r="L609">
        <v>0</v>
      </c>
      <c r="M609">
        <v>6.7155719302988508E-4</v>
      </c>
      <c r="N609">
        <v>6.852296940817261E-2</v>
      </c>
      <c r="O609">
        <v>8.5513228174064326E-3</v>
      </c>
      <c r="P609">
        <v>1.2687947827543416E-2</v>
      </c>
      <c r="Q609">
        <v>2.9016865938308253E-3</v>
      </c>
      <c r="R609">
        <v>6.603715064562761E-4</v>
      </c>
      <c r="S609">
        <v>8.3114005790989987E-2</v>
      </c>
      <c r="T609">
        <v>0.81522865952728352</v>
      </c>
      <c r="U609">
        <v>1.6659486136640905E-2</v>
      </c>
      <c r="V609">
        <v>1.0411691055399765E-2</v>
      </c>
      <c r="W609">
        <v>4.0748935887649017E-2</v>
      </c>
      <c r="X609">
        <v>9.7580469297944249E-3</v>
      </c>
      <c r="Y609">
        <v>1.7973135491653857E-3</v>
      </c>
    </row>
    <row r="610" spans="1:25">
      <c r="A610" s="876"/>
      <c r="B610" s="1202">
        <v>360</v>
      </c>
      <c r="C610" s="880">
        <v>1.0079316889498997</v>
      </c>
      <c r="D610" s="880">
        <v>0.98173511755636855</v>
      </c>
      <c r="E610" s="880">
        <v>1.0003522765784008</v>
      </c>
      <c r="F610" s="880">
        <v>1.0048657976285329</v>
      </c>
      <c r="G610" s="880">
        <v>1.0071488311994128</v>
      </c>
      <c r="H610" s="880">
        <v>0.98016899217215026</v>
      </c>
      <c r="I610" s="880">
        <v>1.0445752363249936</v>
      </c>
      <c r="K610">
        <v>1.0755045727925283</v>
      </c>
      <c r="L610">
        <v>0</v>
      </c>
      <c r="M610">
        <v>6.7719417428610399E-4</v>
      </c>
      <c r="N610">
        <v>6.7531471319474082E-2</v>
      </c>
      <c r="O610">
        <v>8.8045894494414734E-3</v>
      </c>
      <c r="P610">
        <v>1.2705450952410331E-2</v>
      </c>
      <c r="Q610">
        <v>2.9569833614669369E-3</v>
      </c>
      <c r="R610">
        <v>6.6553748602414737E-4</v>
      </c>
      <c r="S610">
        <v>8.865931643465412E-2</v>
      </c>
      <c r="T610">
        <v>0.81580831987529168</v>
      </c>
      <c r="U610">
        <v>1.6777554522142767E-2</v>
      </c>
      <c r="V610">
        <v>1.0412369793251228E-2</v>
      </c>
      <c r="W610">
        <v>4.0356875635551001E-2</v>
      </c>
      <c r="X610">
        <v>9.691924494521378E-3</v>
      </c>
      <c r="Y610">
        <v>1.8113736425844245E-3</v>
      </c>
    </row>
    <row r="611" spans="1:25">
      <c r="A611" s="876"/>
      <c r="B611" s="1202">
        <v>361</v>
      </c>
      <c r="C611" s="880">
        <v>0.97570986791576808</v>
      </c>
      <c r="D611" s="880">
        <v>1.0257347558836423</v>
      </c>
      <c r="E611" s="880">
        <v>0.97815926301686817</v>
      </c>
      <c r="F611" s="880">
        <v>1.014408064448912</v>
      </c>
      <c r="G611" s="880">
        <v>1.0030439543326684</v>
      </c>
      <c r="H611" s="880">
        <v>0.98092352594765253</v>
      </c>
      <c r="I611" s="880">
        <v>0.99555785595973689</v>
      </c>
      <c r="K611">
        <v>1.0734411809852988</v>
      </c>
      <c r="L611">
        <v>0</v>
      </c>
      <c r="M611">
        <v>7.1662985334276026E-4</v>
      </c>
      <c r="N611">
        <v>6.6689820793686211E-2</v>
      </c>
      <c r="O611">
        <v>8.8852379294503212E-3</v>
      </c>
      <c r="P611">
        <v>1.2482883148983333E-2</v>
      </c>
      <c r="Q611">
        <v>2.9274041481638247E-3</v>
      </c>
      <c r="R611">
        <v>7.0426415327540194E-4</v>
      </c>
      <c r="S611">
        <v>8.5432737267380654E-2</v>
      </c>
      <c r="T611">
        <v>0.81760817070354352</v>
      </c>
      <c r="U611">
        <v>1.733161611050987E-2</v>
      </c>
      <c r="V611">
        <v>1.0415554918299404E-2</v>
      </c>
      <c r="W611">
        <v>4.0468362045742889E-2</v>
      </c>
      <c r="X611">
        <v>9.2949847550051843E-3</v>
      </c>
      <c r="Y611">
        <v>1.9167748645999116E-3</v>
      </c>
    </row>
    <row r="612" spans="1:25">
      <c r="A612" s="876"/>
      <c r="B612" s="1202">
        <v>362</v>
      </c>
      <c r="C612" s="880">
        <v>0.97574402625092072</v>
      </c>
      <c r="D612" s="880">
        <v>1.0158246455792501</v>
      </c>
      <c r="E612" s="880">
        <v>1.0178217954966386</v>
      </c>
      <c r="F612" s="880">
        <v>0.99580336231953837</v>
      </c>
      <c r="G612" s="880">
        <v>1.0220738510610257</v>
      </c>
      <c r="H612" s="880">
        <v>0.98695961478108141</v>
      </c>
      <c r="I612" s="880">
        <v>0.96659475215918944</v>
      </c>
      <c r="K612">
        <v>1.0740369400677283</v>
      </c>
      <c r="L612">
        <v>0</v>
      </c>
      <c r="M612">
        <v>6.6668289406180878E-4</v>
      </c>
      <c r="N612">
        <v>7.0199422462082856E-2</v>
      </c>
      <c r="O612">
        <v>8.9309547970606879E-3</v>
      </c>
      <c r="P612">
        <v>1.2788675076922672E-2</v>
      </c>
      <c r="Q612">
        <v>3.060085829712822E-3</v>
      </c>
      <c r="R612">
        <v>6.552574774348007E-4</v>
      </c>
      <c r="S612">
        <v>8.3557330675612329E-2</v>
      </c>
      <c r="T612">
        <v>0.8144033114745598</v>
      </c>
      <c r="U612">
        <v>1.733100937438245E-2</v>
      </c>
      <c r="V612">
        <v>1.0415551430365065E-2</v>
      </c>
      <c r="W612">
        <v>4.1455898670872973E-2</v>
      </c>
      <c r="X612">
        <v>1.0122730844774839E-2</v>
      </c>
      <c r="Y612">
        <v>1.7833948480081435E-3</v>
      </c>
    </row>
    <row r="613" spans="1:25">
      <c r="A613" s="876"/>
      <c r="B613" s="1202">
        <v>363</v>
      </c>
      <c r="C613" s="880">
        <v>0.99372561666340031</v>
      </c>
      <c r="D613" s="880">
        <v>1.0329431635434125</v>
      </c>
      <c r="E613" s="880">
        <v>0.9995319538259626</v>
      </c>
      <c r="F613" s="880">
        <v>1.0216634740943813</v>
      </c>
      <c r="G613" s="880">
        <v>0.96966303390395159</v>
      </c>
      <c r="H613" s="880">
        <v>0.99731035186079475</v>
      </c>
      <c r="I613" s="880">
        <v>1.01228119039554</v>
      </c>
      <c r="K613">
        <v>1.0729606152638029</v>
      </c>
      <c r="L613">
        <v>0</v>
      </c>
      <c r="M613">
        <v>6.8142395415154826E-4</v>
      </c>
      <c r="N613">
        <v>6.7796124324313867E-2</v>
      </c>
      <c r="O613">
        <v>8.691722940467236E-3</v>
      </c>
      <c r="P613">
        <v>1.2659902407693883E-2</v>
      </c>
      <c r="Q613">
        <v>2.9277358502975814E-3</v>
      </c>
      <c r="R613">
        <v>6.6985306944165131E-4</v>
      </c>
      <c r="S613">
        <v>8.5583742999928727E-2</v>
      </c>
      <c r="T613">
        <v>0.81587455054384439</v>
      </c>
      <c r="U613">
        <v>1.7017402573089192E-2</v>
      </c>
      <c r="V613">
        <v>1.0413748603930155E-2</v>
      </c>
      <c r="W613">
        <v>4.0537780866409343E-2</v>
      </c>
      <c r="X613">
        <v>9.6463558005223955E-3</v>
      </c>
      <c r="Y613">
        <v>1.8231192380151794E-3</v>
      </c>
    </row>
    <row r="614" spans="1:25">
      <c r="A614" s="876"/>
      <c r="B614" s="1202">
        <v>364</v>
      </c>
      <c r="C614" s="880">
        <v>0.98708881706987794</v>
      </c>
      <c r="D614" s="880">
        <v>1.025423166930771</v>
      </c>
      <c r="E614" s="880">
        <v>1.023484964466534</v>
      </c>
      <c r="F614" s="880">
        <v>1.0105413282255122</v>
      </c>
      <c r="G614" s="880">
        <v>1.0205397823607936</v>
      </c>
      <c r="H614" s="880">
        <v>1.0222431787438424</v>
      </c>
      <c r="I614" s="880">
        <v>1.0029790174924205</v>
      </c>
      <c r="K614">
        <v>1.0791073967722804</v>
      </c>
      <c r="L614">
        <v>0</v>
      </c>
      <c r="M614">
        <v>6.7110312802592747E-4</v>
      </c>
      <c r="N614">
        <v>7.1961435708914723E-2</v>
      </c>
      <c r="O614">
        <v>8.7842304576158381E-3</v>
      </c>
      <c r="P614">
        <v>1.2874673330350372E-2</v>
      </c>
      <c r="Q614">
        <v>3.0289075715507741E-3</v>
      </c>
      <c r="R614">
        <v>6.5999132787647463E-4</v>
      </c>
      <c r="S614">
        <v>8.6571458501375292E-2</v>
      </c>
      <c r="T614">
        <v>0.81395007483992776</v>
      </c>
      <c r="U614">
        <v>1.713182094003526E-2</v>
      </c>
      <c r="V614">
        <v>1.0414406358977928E-2</v>
      </c>
      <c r="W614">
        <v>4.2334434230540535E-2</v>
      </c>
      <c r="X614">
        <v>1.0270787804743966E-2</v>
      </c>
      <c r="Y614">
        <v>1.7962788283970013E-3</v>
      </c>
    </row>
    <row r="615" spans="1:25">
      <c r="A615" s="876"/>
      <c r="B615" s="1202">
        <v>365</v>
      </c>
      <c r="C615" s="880">
        <v>1.0210186830768353</v>
      </c>
      <c r="D615" s="880">
        <v>0.98568942566335349</v>
      </c>
      <c r="E615" s="880">
        <v>1.0068196752112479</v>
      </c>
      <c r="F615" s="880">
        <v>1.0184083602462979</v>
      </c>
      <c r="G615" s="880">
        <v>0.97751980940787475</v>
      </c>
      <c r="H615" s="880">
        <v>1.0139647712212834</v>
      </c>
      <c r="I615" s="880">
        <v>1.0046588727182648</v>
      </c>
      <c r="K615">
        <v>1.0739538846481946</v>
      </c>
      <c r="L615">
        <v>0</v>
      </c>
      <c r="M615">
        <v>6.8074428276463826E-4</v>
      </c>
      <c r="N615">
        <v>6.9304957384339727E-2</v>
      </c>
      <c r="O615">
        <v>8.6730948690821891E-3</v>
      </c>
      <c r="P615">
        <v>1.2709314199826236E-2</v>
      </c>
      <c r="Q615">
        <v>2.9326679857179143E-3</v>
      </c>
      <c r="R615">
        <v>6.6941367594663828E-4</v>
      </c>
      <c r="S615">
        <v>8.5207941141414986E-2</v>
      </c>
      <c r="T615">
        <v>0.81528696042897675</v>
      </c>
      <c r="U615">
        <v>1.6562506784882993E-2</v>
      </c>
      <c r="V615">
        <v>1.0411133551741465E-2</v>
      </c>
      <c r="W615">
        <v>4.1234293836443281E-2</v>
      </c>
      <c r="X615">
        <v>9.8204217188187747E-3</v>
      </c>
      <c r="Y615">
        <v>1.8219233537677809E-3</v>
      </c>
    </row>
    <row r="616" spans="1:25">
      <c r="A616" s="876"/>
      <c r="B616" s="1202">
        <v>366</v>
      </c>
      <c r="C616" s="880">
        <v>0.99972264970627978</v>
      </c>
      <c r="D616" s="880">
        <v>0.98947091227879147</v>
      </c>
      <c r="E616" s="880">
        <v>1.0050081623717981</v>
      </c>
      <c r="F616" s="880">
        <v>1.0454293896726581</v>
      </c>
      <c r="G616" s="880">
        <v>0.99445850543682657</v>
      </c>
      <c r="H616" s="880">
        <v>1.0300553735083409</v>
      </c>
      <c r="I616" s="880">
        <v>0.9900849010666376</v>
      </c>
      <c r="K616">
        <v>1.0796178361446533</v>
      </c>
      <c r="L616">
        <v>0</v>
      </c>
      <c r="M616">
        <v>7.0753582884827357E-4</v>
      </c>
      <c r="N616">
        <v>7.1646498701450567E-2</v>
      </c>
      <c r="O616">
        <v>8.8397586441179392E-3</v>
      </c>
      <c r="P616">
        <v>1.2712257580437133E-2</v>
      </c>
      <c r="Q616">
        <v>2.9844606984077353E-3</v>
      </c>
      <c r="R616">
        <v>6.9593997673183269E-4</v>
      </c>
      <c r="S616">
        <v>8.6169913148194971E-2</v>
      </c>
      <c r="T616">
        <v>0.81543284937206995</v>
      </c>
      <c r="U616">
        <v>1.6915320335015679E-2</v>
      </c>
      <c r="V616">
        <v>1.0413161765390384E-2</v>
      </c>
      <c r="W616">
        <v>4.2680090210423065E-2</v>
      </c>
      <c r="X616">
        <v>9.9410023411487143E-3</v>
      </c>
      <c r="Y616">
        <v>1.8941192001123764E-3</v>
      </c>
    </row>
    <row r="617" spans="1:25">
      <c r="A617" s="876"/>
      <c r="B617" s="1202">
        <v>367</v>
      </c>
      <c r="C617" s="880">
        <v>1.0051825625553028</v>
      </c>
      <c r="D617" s="880">
        <v>1.0225572928372721</v>
      </c>
      <c r="E617" s="880">
        <v>1.0274981199154409</v>
      </c>
      <c r="F617" s="880">
        <v>1.0188496549078003</v>
      </c>
      <c r="G617" s="880">
        <v>0.98278096700963524</v>
      </c>
      <c r="H617" s="880">
        <v>1.0114195059793392</v>
      </c>
      <c r="I617" s="880">
        <v>0.98814966871955834</v>
      </c>
      <c r="K617">
        <v>1.0723075516859402</v>
      </c>
      <c r="L617">
        <v>0</v>
      </c>
      <c r="M617">
        <v>6.4749764721414959E-4</v>
      </c>
      <c r="N617">
        <v>7.028847293549445E-2</v>
      </c>
      <c r="O617">
        <v>8.6389650846356077E-3</v>
      </c>
      <c r="P617">
        <v>1.2860851326015612E-2</v>
      </c>
      <c r="Q617">
        <v>2.9900718301860015E-3</v>
      </c>
      <c r="R617">
        <v>6.3666416902023173E-4</v>
      </c>
      <c r="S617">
        <v>8.349684008511131E-2</v>
      </c>
      <c r="T617">
        <v>0.8136295548782474</v>
      </c>
      <c r="U617">
        <v>1.6823440334025892E-2</v>
      </c>
      <c r="V617">
        <v>1.0412633576288797E-2</v>
      </c>
      <c r="W617">
        <v>4.1238841434096472E-2</v>
      </c>
      <c r="X617">
        <v>1.0205923688245123E-2</v>
      </c>
      <c r="Y617">
        <v>1.7327899917861588E-3</v>
      </c>
    </row>
    <row r="618" spans="1:25">
      <c r="A618" s="876"/>
      <c r="B618" s="1202">
        <v>368</v>
      </c>
      <c r="C618" s="880">
        <v>0.97684135923478388</v>
      </c>
      <c r="D618" s="880">
        <v>1.0186816579753679</v>
      </c>
      <c r="E618" s="880">
        <v>1.0021952387364725</v>
      </c>
      <c r="F618" s="880">
        <v>0.98194000641898538</v>
      </c>
      <c r="G618" s="880">
        <v>1.0086459740844615</v>
      </c>
      <c r="H618" s="880">
        <v>1.0219173632746654</v>
      </c>
      <c r="I618" s="880">
        <v>0.97885167513027516</v>
      </c>
      <c r="K618">
        <v>1.0794648593164853</v>
      </c>
      <c r="L618">
        <v>0</v>
      </c>
      <c r="M618">
        <v>7.1156345683248462E-4</v>
      </c>
      <c r="N618">
        <v>7.1414653168226885E-2</v>
      </c>
      <c r="O618">
        <v>8.9075929664796504E-3</v>
      </c>
      <c r="P618">
        <v>1.2687022881212486E-2</v>
      </c>
      <c r="Q618">
        <v>3.0054010614863134E-3</v>
      </c>
      <c r="R618">
        <v>6.99783630851849E-4</v>
      </c>
      <c r="S618">
        <v>8.5644136128821657E-2</v>
      </c>
      <c r="T618">
        <v>0.81565960742829435</v>
      </c>
      <c r="U618">
        <v>1.7311540616174799E-2</v>
      </c>
      <c r="V618">
        <v>1.0415439510624134E-2</v>
      </c>
      <c r="W618">
        <v>4.262373315297311E-2</v>
      </c>
      <c r="X618">
        <v>9.9029318686064578E-3</v>
      </c>
      <c r="Y618">
        <v>1.9045803595668204E-3</v>
      </c>
    </row>
    <row r="619" spans="1:25">
      <c r="A619" s="876"/>
      <c r="B619" s="1202">
        <v>369</v>
      </c>
      <c r="C619" s="880">
        <v>1.0026101637171303</v>
      </c>
      <c r="D619" s="880">
        <v>1.0133214631957908</v>
      </c>
      <c r="E619" s="880">
        <v>1.019219691047103</v>
      </c>
      <c r="F619" s="880">
        <v>1.0064999952769842</v>
      </c>
      <c r="G619" s="880">
        <v>0.97237491391582076</v>
      </c>
      <c r="H619" s="880">
        <v>0.97114451876330743</v>
      </c>
      <c r="I619" s="880">
        <v>0.99647782958513775</v>
      </c>
      <c r="K619">
        <v>1.0682182482803158</v>
      </c>
      <c r="L619">
        <v>0</v>
      </c>
      <c r="M619">
        <v>6.3737456642170382E-4</v>
      </c>
      <c r="N619">
        <v>6.7386541571356359E-2</v>
      </c>
      <c r="O619">
        <v>8.7030664722582383E-3</v>
      </c>
      <c r="P619">
        <v>1.2791305861769903E-2</v>
      </c>
      <c r="Q619">
        <v>2.9856061772189834E-3</v>
      </c>
      <c r="R619">
        <v>6.2627554228958686E-4</v>
      </c>
      <c r="S619">
        <v>8.337715934110923E-2</v>
      </c>
      <c r="T619">
        <v>0.8142913329898428</v>
      </c>
      <c r="U619">
        <v>1.686660426746224E-2</v>
      </c>
      <c r="V619">
        <v>1.0412881712107001E-2</v>
      </c>
      <c r="W619">
        <v>3.9757208661583616E-2</v>
      </c>
      <c r="X619">
        <v>9.953124675304733E-3</v>
      </c>
      <c r="Y619">
        <v>1.7045155744352251E-3</v>
      </c>
    </row>
    <row r="620" spans="1:25">
      <c r="A620" s="876"/>
      <c r="B620" s="1202">
        <v>370</v>
      </c>
      <c r="C620" s="880">
        <v>1.0060101949373388</v>
      </c>
      <c r="D620" s="880">
        <v>0.99026885463281855</v>
      </c>
      <c r="E620" s="880">
        <v>0.99801405482967098</v>
      </c>
      <c r="F620" s="880">
        <v>0.99864270143316447</v>
      </c>
      <c r="G620" s="880">
        <v>0.99866227203005076</v>
      </c>
      <c r="H620" s="880">
        <v>0.97813075726165688</v>
      </c>
      <c r="I620" s="880">
        <v>0.96257294928565307</v>
      </c>
      <c r="K620">
        <v>1.0675372084763759</v>
      </c>
      <c r="L620">
        <v>0</v>
      </c>
      <c r="M620">
        <v>6.7728860049101256E-4</v>
      </c>
      <c r="N620">
        <v>6.7048117035066121E-2</v>
      </c>
      <c r="O620">
        <v>8.7807312491509082E-3</v>
      </c>
      <c r="P620">
        <v>1.2587795941742886E-2</v>
      </c>
      <c r="Q620">
        <v>2.9439587481594875E-3</v>
      </c>
      <c r="R620">
        <v>6.6559852074201298E-4</v>
      </c>
      <c r="S620">
        <v>8.1432752419238488E-2</v>
      </c>
      <c r="T620">
        <v>0.81599716194303729</v>
      </c>
      <c r="U620">
        <v>1.6809599893772134E-2</v>
      </c>
      <c r="V620">
        <v>1.0412554011969858E-2</v>
      </c>
      <c r="W620">
        <v>4.0132215692707675E-2</v>
      </c>
      <c r="X620">
        <v>9.5924718623138002E-3</v>
      </c>
      <c r="Y620">
        <v>1.8115397589663653E-3</v>
      </c>
    </row>
    <row r="621" spans="1:25">
      <c r="A621" s="876"/>
      <c r="B621" s="1202">
        <v>371</v>
      </c>
      <c r="C621" s="880">
        <v>0.97469801528567679</v>
      </c>
      <c r="D621" s="880">
        <v>1.0345766230576532</v>
      </c>
      <c r="E621" s="880">
        <v>1.0045302940476259</v>
      </c>
      <c r="F621" s="880">
        <v>1.0002375860374753</v>
      </c>
      <c r="G621" s="880">
        <v>0.96394342184899262</v>
      </c>
      <c r="H621" s="880">
        <v>0.98591322059583908</v>
      </c>
      <c r="I621" s="880">
        <v>0.99858854638883465</v>
      </c>
      <c r="K621">
        <v>1.0744919413604668</v>
      </c>
      <c r="L621">
        <v>0</v>
      </c>
      <c r="M621">
        <v>6.7902433204645128E-4</v>
      </c>
      <c r="N621">
        <v>6.8602136786018328E-2</v>
      </c>
      <c r="O621">
        <v>8.8539585573623718E-3</v>
      </c>
      <c r="P621">
        <v>1.2706400058077898E-2</v>
      </c>
      <c r="Q621">
        <v>2.997737279590071E-3</v>
      </c>
      <c r="R621">
        <v>6.6735957195891888E-4</v>
      </c>
      <c r="S621">
        <v>8.5596746446783376E-2</v>
      </c>
      <c r="T621">
        <v>0.81547135277415839</v>
      </c>
      <c r="U621">
        <v>1.7349608392293679E-2</v>
      </c>
      <c r="V621">
        <v>1.0415658350243766E-2</v>
      </c>
      <c r="W621">
        <v>4.0879872505943778E-2</v>
      </c>
      <c r="X621">
        <v>9.8138022102341096E-3</v>
      </c>
      <c r="Y621">
        <v>1.8163327598484053E-3</v>
      </c>
    </row>
    <row r="622" spans="1:25">
      <c r="A622" s="876"/>
      <c r="B622" s="1202">
        <v>372</v>
      </c>
      <c r="C622" s="880">
        <v>0.98487686089789406</v>
      </c>
      <c r="D622" s="880">
        <v>0.99594951360343043</v>
      </c>
      <c r="E622" s="880">
        <v>0.98421274651274993</v>
      </c>
      <c r="F622" s="880">
        <v>1.0436605783326538</v>
      </c>
      <c r="G622" s="880">
        <v>0.96336568714677762</v>
      </c>
      <c r="H622" s="880">
        <v>1.0035986941105668</v>
      </c>
      <c r="I622" s="880">
        <v>1.0252452987829457</v>
      </c>
      <c r="K622">
        <v>1.0808174334733012</v>
      </c>
      <c r="L622">
        <v>0</v>
      </c>
      <c r="M622">
        <v>7.2851757346657894E-4</v>
      </c>
      <c r="N622">
        <v>6.9116777120949713E-2</v>
      </c>
      <c r="O622">
        <v>8.9418115620402833E-3</v>
      </c>
      <c r="P622">
        <v>1.2583666797252707E-2</v>
      </c>
      <c r="Q622">
        <v>2.9577264953399222E-3</v>
      </c>
      <c r="R622">
        <v>7.1625720485266834E-4</v>
      </c>
      <c r="S622">
        <v>8.9293759611713985E-2</v>
      </c>
      <c r="T622">
        <v>0.81711557834138915</v>
      </c>
      <c r="U622">
        <v>1.7170297665979547E-2</v>
      </c>
      <c r="V622">
        <v>1.0414627549520919E-2</v>
      </c>
      <c r="W622">
        <v>4.1765418538112636E-2</v>
      </c>
      <c r="X622">
        <v>9.5206141621307916E-3</v>
      </c>
      <c r="Y622">
        <v>1.9494159974848407E-3</v>
      </c>
    </row>
    <row r="623" spans="1:25">
      <c r="A623" s="876"/>
      <c r="B623" s="1202">
        <v>373</v>
      </c>
      <c r="C623" s="880">
        <v>1.0076853831603254</v>
      </c>
      <c r="D623" s="880">
        <v>0.96196945329154437</v>
      </c>
      <c r="E623" s="880">
        <v>1.0180230780529707</v>
      </c>
      <c r="F623" s="880">
        <v>1.0268441727147413</v>
      </c>
      <c r="G623" s="880">
        <v>0.9936803967247696</v>
      </c>
      <c r="H623" s="880">
        <v>1.0201018310884762</v>
      </c>
      <c r="I623" s="880">
        <v>0.9779677109855156</v>
      </c>
      <c r="K623">
        <v>1.078785831377741</v>
      </c>
      <c r="L623">
        <v>0</v>
      </c>
      <c r="M623">
        <v>6.8657740944472027E-4</v>
      </c>
      <c r="N623">
        <v>7.2385348565325136E-2</v>
      </c>
      <c r="O623">
        <v>8.9030439502118374E-3</v>
      </c>
      <c r="P623">
        <v>1.2806646623637946E-2</v>
      </c>
      <c r="Q623">
        <v>3.0386829732683704E-3</v>
      </c>
      <c r="R623">
        <v>6.7523899754021416E-4</v>
      </c>
      <c r="S623">
        <v>8.528852724083677E-2</v>
      </c>
      <c r="T623">
        <v>0.81438718362178042</v>
      </c>
      <c r="U623">
        <v>1.6781655414031021E-2</v>
      </c>
      <c r="V623">
        <v>1.0412393367983266E-2</v>
      </c>
      <c r="W623">
        <v>4.274097189878219E-2</v>
      </c>
      <c r="X623">
        <v>1.0214938174958403E-2</v>
      </c>
      <c r="Y623">
        <v>1.8377779588287474E-3</v>
      </c>
    </row>
    <row r="624" spans="1:25">
      <c r="A624" s="876"/>
      <c r="B624" s="1202">
        <v>374</v>
      </c>
      <c r="C624" s="880">
        <v>1.0294029784129139</v>
      </c>
      <c r="D624" s="880">
        <v>0.99399518361465378</v>
      </c>
      <c r="E624" s="880">
        <v>0.9698984577517975</v>
      </c>
      <c r="F624" s="880">
        <v>0.99405204008812487</v>
      </c>
      <c r="G624" s="880">
        <v>1.0088101293394993</v>
      </c>
      <c r="H624" s="880">
        <v>0.96493997636292317</v>
      </c>
      <c r="I624" s="880">
        <v>1.0072471378069274</v>
      </c>
      <c r="K624">
        <v>1.0631758994773499</v>
      </c>
      <c r="L624">
        <v>0</v>
      </c>
      <c r="M624">
        <v>6.9131402354553515E-4</v>
      </c>
      <c r="N624">
        <v>6.2682814365515524E-2</v>
      </c>
      <c r="O624">
        <v>8.5640096137748999E-3</v>
      </c>
      <c r="P624">
        <v>1.2364109844994227E-2</v>
      </c>
      <c r="Q624">
        <v>2.7913663965372652E-3</v>
      </c>
      <c r="R624">
        <v>6.7921540245072666E-4</v>
      </c>
      <c r="S624">
        <v>8.2657082427948822E-2</v>
      </c>
      <c r="T624">
        <v>0.81828237939917792</v>
      </c>
      <c r="U624">
        <v>1.6427608255053232E-2</v>
      </c>
      <c r="V624">
        <v>1.0410358062706763E-2</v>
      </c>
      <c r="W624">
        <v>3.8256431012720589E-2</v>
      </c>
      <c r="X624">
        <v>8.9032382978421459E-3</v>
      </c>
      <c r="Y624">
        <v>1.8486004221736352E-3</v>
      </c>
    </row>
    <row r="625" spans="1:25">
      <c r="A625" s="876"/>
      <c r="B625" s="1202">
        <v>375</v>
      </c>
      <c r="C625" s="880">
        <v>1.026841130231227</v>
      </c>
      <c r="D625" s="880">
        <v>0.98702678740894401</v>
      </c>
      <c r="E625" s="880">
        <v>1.0431335633560888</v>
      </c>
      <c r="F625" s="880">
        <v>0.99200162450986407</v>
      </c>
      <c r="G625" s="880">
        <v>0.95605301661619413</v>
      </c>
      <c r="H625" s="880">
        <v>1.0289603450617038</v>
      </c>
      <c r="I625" s="880">
        <v>1.0390289948052118</v>
      </c>
      <c r="K625">
        <v>1.0788777877829119</v>
      </c>
      <c r="L625">
        <v>0</v>
      </c>
      <c r="M625">
        <v>6.3567937596228658E-4</v>
      </c>
      <c r="N625">
        <v>7.2460165085595538E-2</v>
      </c>
      <c r="O625">
        <v>8.6176749286922972E-3</v>
      </c>
      <c r="P625">
        <v>1.3049683717791432E-2</v>
      </c>
      <c r="Q625">
        <v>3.0210593025928106E-3</v>
      </c>
      <c r="R625">
        <v>6.2525200047796432E-4</v>
      </c>
      <c r="S625">
        <v>8.8110317308790431E-2</v>
      </c>
      <c r="T625">
        <v>0.81238603900671502</v>
      </c>
      <c r="U625">
        <v>1.6468593210854709E-2</v>
      </c>
      <c r="V625">
        <v>1.0410593672270863E-2</v>
      </c>
      <c r="W625">
        <v>4.2071499934346897E-2</v>
      </c>
      <c r="X625">
        <v>1.0590859159712539E-2</v>
      </c>
      <c r="Y625">
        <v>1.7017298310344554E-3</v>
      </c>
    </row>
    <row r="626" spans="1:25">
      <c r="A626" s="876"/>
      <c r="B626" s="1202">
        <v>376</v>
      </c>
      <c r="C626" s="880">
        <v>0.99237728621363208</v>
      </c>
      <c r="D626" s="880">
        <v>1.0312421484563232</v>
      </c>
      <c r="E626" s="880">
        <v>1.0251078607046613</v>
      </c>
      <c r="F626" s="880">
        <v>1.0297929502529917</v>
      </c>
      <c r="G626" s="880">
        <v>0.97851473342968442</v>
      </c>
      <c r="H626" s="880">
        <v>0.99979946263748243</v>
      </c>
      <c r="I626" s="880">
        <v>0.98320378795662822</v>
      </c>
      <c r="K626">
        <v>1.0720735181772556</v>
      </c>
      <c r="L626">
        <v>0</v>
      </c>
      <c r="M626">
        <v>6.4868461968320315E-4</v>
      </c>
      <c r="N626">
        <v>6.9882065746644684E-2</v>
      </c>
      <c r="O626">
        <v>8.7111621123127769E-3</v>
      </c>
      <c r="P626">
        <v>1.2842688373097665E-2</v>
      </c>
      <c r="Q626">
        <v>3.0098078791133557E-3</v>
      </c>
      <c r="R626">
        <v>6.3769839801200618E-4</v>
      </c>
      <c r="S626">
        <v>8.3393179156416058E-2</v>
      </c>
      <c r="T626">
        <v>0.81382039229371705</v>
      </c>
      <c r="U626">
        <v>1.7040523902430351E-2</v>
      </c>
      <c r="V626">
        <v>1.0413881521148692E-2</v>
      </c>
      <c r="W626">
        <v>4.1066292605258875E-2</v>
      </c>
      <c r="X626">
        <v>1.0168905986619707E-2</v>
      </c>
      <c r="Y626">
        <v>1.7356048221682731E-3</v>
      </c>
    </row>
    <row r="627" spans="1:25">
      <c r="A627" s="876"/>
      <c r="B627" s="1202">
        <v>377</v>
      </c>
      <c r="C627" s="880">
        <v>0.98563060368309541</v>
      </c>
      <c r="D627" s="880">
        <v>1.0124337942974195</v>
      </c>
      <c r="E627" s="880">
        <v>0.9770926475680326</v>
      </c>
      <c r="F627" s="880">
        <v>1.0107141335970125</v>
      </c>
      <c r="G627" s="880">
        <v>0.99933632227583313</v>
      </c>
      <c r="H627" s="880">
        <v>0.99580855840839388</v>
      </c>
      <c r="I627" s="880">
        <v>0.97980001813145456</v>
      </c>
      <c r="K627">
        <v>1.0733957076976919</v>
      </c>
      <c r="L627">
        <v>0</v>
      </c>
      <c r="M627">
        <v>7.2681598433799221E-4</v>
      </c>
      <c r="N627">
        <v>6.7432100791462432E-2</v>
      </c>
      <c r="O627">
        <v>8.8571284367685368E-3</v>
      </c>
      <c r="P627">
        <v>1.2456372582925698E-2</v>
      </c>
      <c r="Q627">
        <v>2.9121597169997075E-3</v>
      </c>
      <c r="R627">
        <v>7.1447372259980581E-4</v>
      </c>
      <c r="S627">
        <v>8.4301218306342629E-2</v>
      </c>
      <c r="T627">
        <v>0.81769509326532508</v>
      </c>
      <c r="U627">
        <v>1.7157166998225174E-2</v>
      </c>
      <c r="V627">
        <v>1.0414552065459853E-2</v>
      </c>
      <c r="W627">
        <v>4.0949134800431719E-2</v>
      </c>
      <c r="X627">
        <v>9.2885610487724139E-3</v>
      </c>
      <c r="Y627">
        <v>1.9445619467173157E-3</v>
      </c>
    </row>
    <row r="628" spans="1:25">
      <c r="A628" s="876"/>
      <c r="B628" s="1202">
        <v>378</v>
      </c>
      <c r="C628" s="880">
        <v>0.99378324069872659</v>
      </c>
      <c r="D628" s="880">
        <v>1.0174130646004624</v>
      </c>
      <c r="E628" s="880">
        <v>0.992277758652235</v>
      </c>
      <c r="F628" s="880">
        <v>1.0038191033956916</v>
      </c>
      <c r="G628" s="880">
        <v>1.0064100885774718</v>
      </c>
      <c r="H628" s="880">
        <v>0.99142427213752293</v>
      </c>
      <c r="I628" s="880">
        <v>1.0108248068655845</v>
      </c>
      <c r="K628">
        <v>1.0734028286100494</v>
      </c>
      <c r="L628">
        <v>0</v>
      </c>
      <c r="M628">
        <v>6.9333604444040309E-4</v>
      </c>
      <c r="N628">
        <v>6.7435815404307084E-2</v>
      </c>
      <c r="O628">
        <v>8.7615478069556427E-3</v>
      </c>
      <c r="P628">
        <v>1.2603330031715572E-2</v>
      </c>
      <c r="Q628">
        <v>2.9264879901440637E-3</v>
      </c>
      <c r="R628">
        <v>6.8150601520883128E-4</v>
      </c>
      <c r="S628">
        <v>8.588894651487862E-2</v>
      </c>
      <c r="T628">
        <v>0.81646122947546729</v>
      </c>
      <c r="U628">
        <v>1.7016415827321187E-2</v>
      </c>
      <c r="V628">
        <v>1.0413742931440423E-2</v>
      </c>
      <c r="W628">
        <v>4.0523557807411063E-2</v>
      </c>
      <c r="X628">
        <v>9.5287501346388685E-3</v>
      </c>
      <c r="Y628">
        <v>1.8548347150009034E-3</v>
      </c>
    </row>
    <row r="629" spans="1:25">
      <c r="A629" s="876"/>
      <c r="B629" s="1202">
        <v>379</v>
      </c>
      <c r="C629" s="880">
        <v>0.99373296668948041</v>
      </c>
      <c r="D629" s="880">
        <v>1.0003096174643564</v>
      </c>
      <c r="E629" s="880">
        <v>1.005300828152764</v>
      </c>
      <c r="F629" s="880">
        <v>1.0150901577352691</v>
      </c>
      <c r="G629" s="880">
        <v>0.99696278753613721</v>
      </c>
      <c r="H629" s="880">
        <v>0.99606159471377531</v>
      </c>
      <c r="I629" s="880">
        <v>1.021531337354703</v>
      </c>
      <c r="K629">
        <v>1.0773281109946649</v>
      </c>
      <c r="L629">
        <v>0</v>
      </c>
      <c r="M629">
        <v>6.839079426950276E-4</v>
      </c>
      <c r="N629">
        <v>6.9276577907907227E-2</v>
      </c>
      <c r="O629">
        <v>8.8414988876167489E-3</v>
      </c>
      <c r="P629">
        <v>1.2737190007171967E-2</v>
      </c>
      <c r="Q629">
        <v>2.9883600936277911E-3</v>
      </c>
      <c r="R629">
        <v>6.7230750298941197E-4</v>
      </c>
      <c r="S629">
        <v>8.7708699196474796E-2</v>
      </c>
      <c r="T629">
        <v>0.81540927217466219</v>
      </c>
      <c r="U629">
        <v>1.7017276705922749E-2</v>
      </c>
      <c r="V629">
        <v>1.0413747880359583E-2</v>
      </c>
      <c r="W629">
        <v>4.1260085780017809E-2</v>
      </c>
      <c r="X629">
        <v>9.8572034035800081E-3</v>
      </c>
      <c r="Y629">
        <v>1.8297993970283826E-3</v>
      </c>
    </row>
    <row r="630" spans="1:25">
      <c r="A630" s="876"/>
      <c r="B630" s="1202">
        <v>380</v>
      </c>
      <c r="C630" s="880">
        <v>1.0048577569508526</v>
      </c>
      <c r="D630" s="880">
        <v>1.0072379040903392</v>
      </c>
      <c r="E630" s="880">
        <v>1.0039138761850279</v>
      </c>
      <c r="F630" s="880">
        <v>1.0053175246378196</v>
      </c>
      <c r="G630" s="880">
        <v>0.98690532366008243</v>
      </c>
      <c r="H630" s="880">
        <v>1.0188501145838349</v>
      </c>
      <c r="I630" s="880">
        <v>1.0050550582609048</v>
      </c>
      <c r="K630">
        <v>1.0759464607998952</v>
      </c>
      <c r="L630">
        <v>0</v>
      </c>
      <c r="M630">
        <v>6.9129287249670177E-4</v>
      </c>
      <c r="N630">
        <v>6.9749548921467772E-2</v>
      </c>
      <c r="O630">
        <v>8.7115021256013499E-3</v>
      </c>
      <c r="P630">
        <v>1.2697657509215697E-2</v>
      </c>
      <c r="Q630">
        <v>2.9418443001774466E-3</v>
      </c>
      <c r="R630">
        <v>6.7982363538868348E-4</v>
      </c>
      <c r="S630">
        <v>8.5857766389873399E-2</v>
      </c>
      <c r="T630">
        <v>0.81552103103128337</v>
      </c>
      <c r="U630">
        <v>1.6828878265582721E-2</v>
      </c>
      <c r="V630">
        <v>1.0412664837239533E-2</v>
      </c>
      <c r="W630">
        <v>4.1581095774709247E-2</v>
      </c>
      <c r="X630">
        <v>9.8056850501237955E-3</v>
      </c>
      <c r="Y630">
        <v>1.8502558317268194E-3</v>
      </c>
    </row>
    <row r="631" spans="1:25">
      <c r="A631" s="876"/>
      <c r="B631" s="1202">
        <v>381</v>
      </c>
      <c r="C631" s="880">
        <v>1.0303453131732285</v>
      </c>
      <c r="D631" s="880">
        <v>1.0150193237587353</v>
      </c>
      <c r="E631" s="880">
        <v>0.9817900999948489</v>
      </c>
      <c r="F631" s="880">
        <v>1.0021056971548528</v>
      </c>
      <c r="G631" s="880">
        <v>0.99547624799964396</v>
      </c>
      <c r="H631" s="880">
        <v>0.97781753519281855</v>
      </c>
      <c r="I631" s="880">
        <v>1.0124103419670634</v>
      </c>
      <c r="K631">
        <v>1.0633385164904492</v>
      </c>
      <c r="L631">
        <v>0</v>
      </c>
      <c r="M631">
        <v>6.750980811218195E-4</v>
      </c>
      <c r="N631">
        <v>6.3536926364655189E-2</v>
      </c>
      <c r="O631">
        <v>8.4612475391855398E-3</v>
      </c>
      <c r="P631">
        <v>1.2462763369397362E-2</v>
      </c>
      <c r="Q631">
        <v>2.7958448720031811E-3</v>
      </c>
      <c r="R631">
        <v>6.634209530287197E-4</v>
      </c>
      <c r="S631">
        <v>8.2594046886057731E-2</v>
      </c>
      <c r="T631">
        <v>0.8173125684060113</v>
      </c>
      <c r="U631">
        <v>1.6412583868481431E-2</v>
      </c>
      <c r="V631">
        <v>1.0410271692254447E-2</v>
      </c>
      <c r="W631">
        <v>3.8458124019767025E-2</v>
      </c>
      <c r="X631">
        <v>9.1002034632429313E-3</v>
      </c>
      <c r="Y631">
        <v>1.8056131374857849E-3</v>
      </c>
    </row>
    <row r="632" spans="1:25">
      <c r="A632" s="876"/>
      <c r="B632" s="1202">
        <v>382</v>
      </c>
      <c r="C632" s="880">
        <v>1.0059624422033948</v>
      </c>
      <c r="D632" s="880">
        <v>1.0281425963623492</v>
      </c>
      <c r="E632" s="880">
        <v>0.99561557135062617</v>
      </c>
      <c r="F632" s="880">
        <v>1.0243560304686843</v>
      </c>
      <c r="G632" s="880">
        <v>0.99640087892426243</v>
      </c>
      <c r="H632" s="880">
        <v>1.0136407032708408</v>
      </c>
      <c r="I632" s="880">
        <v>0.99315695433355988</v>
      </c>
      <c r="K632">
        <v>1.071352712544922</v>
      </c>
      <c r="L632">
        <v>0</v>
      </c>
      <c r="M632">
        <v>6.9152775363392441E-4</v>
      </c>
      <c r="N632">
        <v>6.7987315604894544E-2</v>
      </c>
      <c r="O632">
        <v>8.6072882719491119E-3</v>
      </c>
      <c r="P632">
        <v>1.259876625450675E-2</v>
      </c>
      <c r="Q632">
        <v>2.8868967177975834E-3</v>
      </c>
      <c r="R632">
        <v>6.7997837955064029E-4</v>
      </c>
      <c r="S632">
        <v>8.3705499205597167E-2</v>
      </c>
      <c r="T632">
        <v>0.8161910638663914</v>
      </c>
      <c r="U632">
        <v>1.6810397840412841E-2</v>
      </c>
      <c r="V632">
        <v>1.0412558599113024E-2</v>
      </c>
      <c r="W632">
        <v>4.0761369969113288E-2</v>
      </c>
      <c r="X632">
        <v>9.5524285949052604E-3</v>
      </c>
      <c r="Y632">
        <v>1.8506769943242665E-3</v>
      </c>
    </row>
    <row r="633" spans="1:25">
      <c r="A633" s="876"/>
      <c r="B633" s="1202">
        <v>383</v>
      </c>
      <c r="C633" s="880">
        <v>0.98708883323810281</v>
      </c>
      <c r="D633" s="880">
        <v>1.0180369886800829</v>
      </c>
      <c r="E633" s="880">
        <v>1.0413815433456746</v>
      </c>
      <c r="F633" s="880">
        <v>1.0410411178949444</v>
      </c>
      <c r="G633" s="880">
        <v>1.0049218570679106</v>
      </c>
      <c r="H633" s="880">
        <v>1.0226164500537835</v>
      </c>
      <c r="I633" s="880">
        <v>1.0245762356499371</v>
      </c>
      <c r="K633">
        <v>1.0825216866936627</v>
      </c>
      <c r="L633">
        <v>0</v>
      </c>
      <c r="M633">
        <v>6.4888269099819902E-4</v>
      </c>
      <c r="N633">
        <v>7.3553960412386599E-2</v>
      </c>
      <c r="O633">
        <v>8.8180898746894488E-3</v>
      </c>
      <c r="P633">
        <v>1.3053830183887418E-2</v>
      </c>
      <c r="Q633">
        <v>3.0931345071820897E-3</v>
      </c>
      <c r="R633">
        <v>6.3814837433440999E-4</v>
      </c>
      <c r="S633">
        <v>8.8767772528302244E-2</v>
      </c>
      <c r="T633">
        <v>0.81252496482751357</v>
      </c>
      <c r="U633">
        <v>1.7131820659421083E-2</v>
      </c>
      <c r="V633">
        <v>1.0414406357364779E-2</v>
      </c>
      <c r="W633">
        <v>4.2756320399059057E-2</v>
      </c>
      <c r="X633">
        <v>1.0681291751135521E-2</v>
      </c>
      <c r="Y633">
        <v>1.7368295093832017E-3</v>
      </c>
    </row>
    <row r="634" spans="1:25">
      <c r="A634" s="876"/>
      <c r="B634" s="1202">
        <v>384</v>
      </c>
      <c r="C634" s="880">
        <v>1.0173997444134817</v>
      </c>
      <c r="D634" s="880">
        <v>1.0370627027968742</v>
      </c>
      <c r="E634" s="880">
        <v>0.97870350330373002</v>
      </c>
      <c r="F634" s="880">
        <v>1.0438425830582689</v>
      </c>
      <c r="G634" s="880">
        <v>1.0080070032303177</v>
      </c>
      <c r="H634" s="880">
        <v>0.96768550222964289</v>
      </c>
      <c r="I634" s="880">
        <v>0.96671435740767708</v>
      </c>
      <c r="K634">
        <v>1.0585389264929206</v>
      </c>
      <c r="L634">
        <v>0</v>
      </c>
      <c r="M634">
        <v>6.7328159446567002E-4</v>
      </c>
      <c r="N634">
        <v>6.2746200476678143E-2</v>
      </c>
      <c r="O634">
        <v>8.4715318148186197E-3</v>
      </c>
      <c r="P634">
        <v>1.2387237871596546E-2</v>
      </c>
      <c r="Q634">
        <v>2.7949081797521767E-3</v>
      </c>
      <c r="R634">
        <v>6.6149557786295162E-4</v>
      </c>
      <c r="S634">
        <v>7.868478763763713E-2</v>
      </c>
      <c r="T634">
        <v>0.81756383331011295</v>
      </c>
      <c r="U634">
        <v>1.6621420399216977E-2</v>
      </c>
      <c r="V634">
        <v>1.0411472227499963E-2</v>
      </c>
      <c r="W634">
        <v>3.8060923352501885E-2</v>
      </c>
      <c r="X634">
        <v>9.0080243387241424E-3</v>
      </c>
      <c r="Y634">
        <v>1.8003729009843173E-3</v>
      </c>
    </row>
    <row r="635" spans="1:25">
      <c r="A635" s="876"/>
      <c r="B635" s="1202">
        <v>385</v>
      </c>
      <c r="C635" s="880">
        <v>0.99190710318245845</v>
      </c>
      <c r="D635" s="880">
        <v>1.0064306717256879</v>
      </c>
      <c r="E635" s="880">
        <v>0.99300497615675121</v>
      </c>
      <c r="F635" s="880">
        <v>1.0072598095833105</v>
      </c>
      <c r="G635" s="880">
        <v>1.0164718127507848</v>
      </c>
      <c r="H635" s="880">
        <v>1.0047623066392173</v>
      </c>
      <c r="I635" s="880">
        <v>0.96557792828502398</v>
      </c>
      <c r="K635">
        <v>1.0731473170780954</v>
      </c>
      <c r="L635">
        <v>0</v>
      </c>
      <c r="M635">
        <v>7.0698248948297031E-4</v>
      </c>
      <c r="N635">
        <v>6.8935758368567593E-2</v>
      </c>
      <c r="O635">
        <v>8.8290138384458042E-3</v>
      </c>
      <c r="P635">
        <v>1.2572094136235676E-2</v>
      </c>
      <c r="Q635">
        <v>2.9488088233920163E-3</v>
      </c>
      <c r="R635">
        <v>6.9508918379245855E-4</v>
      </c>
      <c r="S635">
        <v>8.3107062042357863E-2</v>
      </c>
      <c r="T635">
        <v>0.81640233561454412</v>
      </c>
      <c r="U635">
        <v>1.7048601438275721E-2</v>
      </c>
      <c r="V635">
        <v>1.0413927956350648E-2</v>
      </c>
      <c r="W635">
        <v>4.14041903339461E-2</v>
      </c>
      <c r="X635">
        <v>9.6056142094750139E-3</v>
      </c>
      <c r="Y635">
        <v>1.8918036221952169E-3</v>
      </c>
    </row>
    <row r="636" spans="1:25">
      <c r="A636" s="876"/>
      <c r="B636" s="1202">
        <v>386</v>
      </c>
      <c r="C636" s="880">
        <v>1.0337919817987413</v>
      </c>
      <c r="D636" s="880">
        <v>0.9969733286649346</v>
      </c>
      <c r="E636" s="880">
        <v>1.0103760603800009</v>
      </c>
      <c r="F636" s="880">
        <v>1.0422659441768991</v>
      </c>
      <c r="G636" s="880">
        <v>1.0407162010043769</v>
      </c>
      <c r="H636" s="880">
        <v>0.98943522631288061</v>
      </c>
      <c r="I636" s="880">
        <v>0.98883395331526791</v>
      </c>
      <c r="K636">
        <v>1.0649276999811947</v>
      </c>
      <c r="L636">
        <v>0</v>
      </c>
      <c r="M636">
        <v>6.4723197823227151E-4</v>
      </c>
      <c r="N636">
        <v>6.6596862717685626E-2</v>
      </c>
      <c r="O636">
        <v>8.5140511517181397E-3</v>
      </c>
      <c r="P636">
        <v>1.2685377635948831E-2</v>
      </c>
      <c r="Q636">
        <v>2.8916174413910864E-3</v>
      </c>
      <c r="R636">
        <v>6.3618282499827141E-4</v>
      </c>
      <c r="S636">
        <v>8.1520357326585066E-2</v>
      </c>
      <c r="T636">
        <v>0.81500087414630928</v>
      </c>
      <c r="U636">
        <v>1.635786421609578E-2</v>
      </c>
      <c r="V636">
        <v>1.0409957126258347E-2</v>
      </c>
      <c r="W636">
        <v>3.9527334246521849E-2</v>
      </c>
      <c r="X636">
        <v>9.702973193881673E-3</v>
      </c>
      <c r="Y636">
        <v>1.7314799320333966E-3</v>
      </c>
    </row>
    <row r="637" spans="1:25">
      <c r="A637" s="876"/>
      <c r="B637" s="1202">
        <v>387</v>
      </c>
      <c r="C637" s="880">
        <v>0.97590410548529227</v>
      </c>
      <c r="D637" s="880">
        <v>0.97652363876487258</v>
      </c>
      <c r="E637" s="880">
        <v>0.98833618912154375</v>
      </c>
      <c r="F637" s="880">
        <v>0.96780873662298517</v>
      </c>
      <c r="G637" s="880">
        <v>1.0117474756445732</v>
      </c>
      <c r="H637" s="880">
        <v>0.99171145774801706</v>
      </c>
      <c r="I637" s="880">
        <v>1.029230335389655</v>
      </c>
      <c r="K637">
        <v>1.0839019902189035</v>
      </c>
      <c r="L637">
        <v>0</v>
      </c>
      <c r="M637">
        <v>7.2783669944959507E-4</v>
      </c>
      <c r="N637">
        <v>6.9932045730011078E-2</v>
      </c>
      <c r="O637">
        <v>9.1194413078734288E-3</v>
      </c>
      <c r="P637">
        <v>1.2642377712122812E-2</v>
      </c>
      <c r="Q637">
        <v>3.0246264832106363E-3</v>
      </c>
      <c r="R637">
        <v>7.1545899083972741E-4</v>
      </c>
      <c r="S637">
        <v>9.0904562573896855E-2</v>
      </c>
      <c r="T637">
        <v>0.81678075038392872</v>
      </c>
      <c r="U637">
        <v>1.7328166539009631E-2</v>
      </c>
      <c r="V637">
        <v>1.0415535087802526E-2</v>
      </c>
      <c r="W637">
        <v>4.2137856322269227E-2</v>
      </c>
      <c r="X637">
        <v>9.6817622653150911E-3</v>
      </c>
      <c r="Y637">
        <v>1.9472435220727938E-3</v>
      </c>
    </row>
    <row r="638" spans="1:25">
      <c r="A638" s="876"/>
      <c r="B638" s="1202">
        <v>388</v>
      </c>
      <c r="C638" s="880">
        <v>0.9905371628329237</v>
      </c>
      <c r="D638" s="880">
        <v>1.0174837286150176</v>
      </c>
      <c r="E638" s="880">
        <v>1.0192931017228204</v>
      </c>
      <c r="F638" s="880">
        <v>0.99864268407662227</v>
      </c>
      <c r="G638" s="880">
        <v>1.0062584197742797</v>
      </c>
      <c r="H638" s="880">
        <v>1.0046600899583795</v>
      </c>
      <c r="I638" s="880">
        <v>1.00562083329093</v>
      </c>
      <c r="K638">
        <v>1.0765320970239156</v>
      </c>
      <c r="L638">
        <v>0</v>
      </c>
      <c r="M638">
        <v>6.6585288021750466E-4</v>
      </c>
      <c r="N638">
        <v>7.0454742274256493E-2</v>
      </c>
      <c r="O638">
        <v>8.7899351544979965E-3</v>
      </c>
      <c r="P638">
        <v>1.283385320291874E-2</v>
      </c>
      <c r="Q638">
        <v>3.0165441688329723E-3</v>
      </c>
      <c r="R638">
        <v>6.546414009781917E-4</v>
      </c>
      <c r="S638">
        <v>8.6199863115999656E-2</v>
      </c>
      <c r="T638">
        <v>0.81428545426526344</v>
      </c>
      <c r="U638">
        <v>1.7072180126577179E-2</v>
      </c>
      <c r="V638">
        <v>1.0414063502781394E-2</v>
      </c>
      <c r="W638">
        <v>4.1565348242913899E-2</v>
      </c>
      <c r="X638">
        <v>1.0129606358129173E-2</v>
      </c>
      <c r="Y638">
        <v>1.7817180909828043E-3</v>
      </c>
    </row>
    <row r="639" spans="1:25">
      <c r="A639" s="876"/>
      <c r="B639" s="1202">
        <v>389</v>
      </c>
      <c r="C639" s="880">
        <v>1.0088955933526818</v>
      </c>
      <c r="D639" s="880">
        <v>1.0149285235099808</v>
      </c>
      <c r="E639" s="880">
        <v>1.0386536682341343</v>
      </c>
      <c r="F639" s="880">
        <v>1.0269065052503858</v>
      </c>
      <c r="G639" s="880">
        <v>0.99930959255021501</v>
      </c>
      <c r="H639" s="880">
        <v>0.99465835023663707</v>
      </c>
      <c r="I639" s="880">
        <v>0.99991780249746243</v>
      </c>
      <c r="K639">
        <v>1.0710664997366051</v>
      </c>
      <c r="L639">
        <v>0</v>
      </c>
      <c r="M639">
        <v>6.2208936293187318E-4</v>
      </c>
      <c r="N639">
        <v>6.9889847365909058E-2</v>
      </c>
      <c r="O639">
        <v>8.641550354411269E-3</v>
      </c>
      <c r="P639">
        <v>1.2957722952116689E-2</v>
      </c>
      <c r="Q639">
        <v>3.0224043069187389E-3</v>
      </c>
      <c r="R639">
        <v>6.1151137663976204E-4</v>
      </c>
      <c r="S639">
        <v>8.3905009250906673E-2</v>
      </c>
      <c r="T639">
        <v>0.81274147962437504</v>
      </c>
      <c r="U639">
        <v>1.6761525154209773E-2</v>
      </c>
      <c r="V639">
        <v>1.0412277645478507E-2</v>
      </c>
      <c r="W639">
        <v>4.070022035198731E-2</v>
      </c>
      <c r="X639">
        <v>1.0380708334042204E-2</v>
      </c>
      <c r="Y639">
        <v>1.6643323825423001E-3</v>
      </c>
    </row>
    <row r="640" spans="1:25">
      <c r="A640" s="876"/>
      <c r="B640" s="1202">
        <v>390</v>
      </c>
      <c r="C640" s="880">
        <v>1.0084155819508671</v>
      </c>
      <c r="D640" s="880">
        <v>0.98894183970580696</v>
      </c>
      <c r="E640" s="880">
        <v>1.0027771310984253</v>
      </c>
      <c r="F640" s="880">
        <v>1.001406782350543</v>
      </c>
      <c r="G640" s="880">
        <v>0.98840558125391298</v>
      </c>
      <c r="H640" s="880">
        <v>0.99417967318400136</v>
      </c>
      <c r="I640" s="880">
        <v>0.99792679764197534</v>
      </c>
      <c r="K640">
        <v>1.0727613800186977</v>
      </c>
      <c r="L640">
        <v>0</v>
      </c>
      <c r="M640">
        <v>6.8039034925554398E-4</v>
      </c>
      <c r="N640">
        <v>6.8380174961790163E-2</v>
      </c>
      <c r="O640">
        <v>8.766058956787285E-3</v>
      </c>
      <c r="P640">
        <v>1.2673565037347272E-2</v>
      </c>
      <c r="Q640">
        <v>2.9528444191897051E-3</v>
      </c>
      <c r="R640">
        <v>6.6883745143440411E-4</v>
      </c>
      <c r="S640">
        <v>8.4849803018956282E-2</v>
      </c>
      <c r="T640">
        <v>0.81561267730314235</v>
      </c>
      <c r="U640">
        <v>1.6769503733011833E-2</v>
      </c>
      <c r="V640">
        <v>1.0412323511807674E-2</v>
      </c>
      <c r="W640">
        <v>4.0796390865632561E-2</v>
      </c>
      <c r="X640">
        <v>9.7392360482556044E-3</v>
      </c>
      <c r="Y640">
        <v>1.8203550605978382E-3</v>
      </c>
    </row>
    <row r="641" spans="1:25">
      <c r="A641" s="876"/>
      <c r="B641" s="1202">
        <v>391</v>
      </c>
      <c r="C641" s="880">
        <v>1.0387836966056245</v>
      </c>
      <c r="D641" s="880">
        <v>0.99456074866745503</v>
      </c>
      <c r="E641" s="880">
        <v>0.99004633552729582</v>
      </c>
      <c r="F641" s="880">
        <v>0.99556223051862192</v>
      </c>
      <c r="G641" s="880">
        <v>1.0136002488589018</v>
      </c>
      <c r="H641" s="880">
        <v>0.98444747443439007</v>
      </c>
      <c r="I641" s="880">
        <v>0.98434377590708788</v>
      </c>
      <c r="K641">
        <v>1.0625034398919695</v>
      </c>
      <c r="L641">
        <v>0</v>
      </c>
      <c r="M641">
        <v>6.6977232132277092E-4</v>
      </c>
      <c r="N641">
        <v>6.468689222423786E-2</v>
      </c>
      <c r="O641">
        <v>8.4840971662392232E-3</v>
      </c>
      <c r="P641">
        <v>1.2504129044410537E-2</v>
      </c>
      <c r="Q641">
        <v>2.8226539075561405E-3</v>
      </c>
      <c r="R641">
        <v>6.5828249035524897E-4</v>
      </c>
      <c r="S641">
        <v>8.0688292079436522E-2</v>
      </c>
      <c r="T641">
        <v>0.81664205371591714</v>
      </c>
      <c r="U641">
        <v>1.6279259023038454E-2</v>
      </c>
      <c r="V641">
        <v>1.0409505249834167E-2</v>
      </c>
      <c r="W641">
        <v>3.8931437992182967E-2</v>
      </c>
      <c r="X641">
        <v>9.2749813841018977E-3</v>
      </c>
      <c r="Y641">
        <v>1.791627935982362E-3</v>
      </c>
    </row>
    <row r="642" spans="1:25">
      <c r="A642" s="876"/>
      <c r="B642" s="1202">
        <v>392</v>
      </c>
      <c r="C642" s="880">
        <v>1.0242171166978054</v>
      </c>
      <c r="D642" s="880">
        <v>1.007538316907596</v>
      </c>
      <c r="E642" s="880">
        <v>1.0236013207259034</v>
      </c>
      <c r="F642" s="880">
        <v>0.98777661892012247</v>
      </c>
      <c r="G642" s="880">
        <v>0.96405942798708555</v>
      </c>
      <c r="H642" s="880">
        <v>1.0297788952229816</v>
      </c>
      <c r="I642" s="880">
        <v>1.0028390982996329</v>
      </c>
      <c r="K642">
        <v>1.07351166362886</v>
      </c>
      <c r="L642">
        <v>0</v>
      </c>
      <c r="M642">
        <v>6.5749962898796379E-4</v>
      </c>
      <c r="N642">
        <v>7.0538434416978033E-2</v>
      </c>
      <c r="O642">
        <v>8.5454825441570095E-3</v>
      </c>
      <c r="P642">
        <v>1.2837056596038171E-2</v>
      </c>
      <c r="Q642">
        <v>2.9430815353661864E-3</v>
      </c>
      <c r="R642">
        <v>6.4670658976686982E-4</v>
      </c>
      <c r="S642">
        <v>8.441778228779985E-2</v>
      </c>
      <c r="T642">
        <v>0.81394077404301624</v>
      </c>
      <c r="U642">
        <v>1.651078525271496E-2</v>
      </c>
      <c r="V642">
        <v>1.0410836220991411E-2</v>
      </c>
      <c r="W642">
        <v>4.1494042013753583E-2</v>
      </c>
      <c r="X642">
        <v>1.0124059606690453E-2</v>
      </c>
      <c r="Y642">
        <v>1.7601221505753985E-3</v>
      </c>
    </row>
    <row r="643" spans="1:25">
      <c r="A643" s="876"/>
      <c r="B643" s="1202">
        <v>393</v>
      </c>
      <c r="C643" s="880">
        <v>0.97889339079904647</v>
      </c>
      <c r="D643" s="880">
        <v>1.0027708599828693</v>
      </c>
      <c r="E643" s="880">
        <v>0.97750389069981036</v>
      </c>
      <c r="F643" s="880">
        <v>1.0319306008741542</v>
      </c>
      <c r="G643" s="880">
        <v>1.0031303516788788</v>
      </c>
      <c r="H643" s="880">
        <v>1.0230002346975462</v>
      </c>
      <c r="I643" s="880">
        <v>0.97865612625154619</v>
      </c>
      <c r="K643">
        <v>1.0801174193881173</v>
      </c>
      <c r="L643">
        <v>0</v>
      </c>
      <c r="M643">
        <v>7.5499231542987949E-4</v>
      </c>
      <c r="N643">
        <v>7.0169086437427738E-2</v>
      </c>
      <c r="O643">
        <v>8.9637791148809362E-3</v>
      </c>
      <c r="P643">
        <v>1.2486344413513713E-2</v>
      </c>
      <c r="Q643">
        <v>2.9463554027061036E-3</v>
      </c>
      <c r="R643">
        <v>7.4252111922468481E-4</v>
      </c>
      <c r="S643">
        <v>8.6158447380587297E-2</v>
      </c>
      <c r="T643">
        <v>0.81766157493699598</v>
      </c>
      <c r="U643">
        <v>1.7275250834157416E-2</v>
      </c>
      <c r="V643">
        <v>1.0415230892130976E-2</v>
      </c>
      <c r="W643">
        <v>4.2599028794197809E-2</v>
      </c>
      <c r="X643">
        <v>9.4338946632143688E-3</v>
      </c>
      <c r="Y643">
        <v>2.0208977145084236E-3</v>
      </c>
    </row>
    <row r="644" spans="1:25">
      <c r="A644" s="876"/>
      <c r="B644" s="1202">
        <v>394</v>
      </c>
      <c r="C644" s="880">
        <v>1.0145416418680859</v>
      </c>
      <c r="D644" s="880">
        <v>0.99424778087543553</v>
      </c>
      <c r="E644" s="880">
        <v>1.0243686414279061</v>
      </c>
      <c r="F644" s="880">
        <v>0.97878030223819079</v>
      </c>
      <c r="G644" s="880">
        <v>0.95740733679573342</v>
      </c>
      <c r="H644" s="880">
        <v>0.99820066899349513</v>
      </c>
      <c r="I644" s="880">
        <v>0.97679665563799922</v>
      </c>
      <c r="K644">
        <v>1.0701895126993766</v>
      </c>
      <c r="L644">
        <v>0</v>
      </c>
      <c r="M644">
        <v>6.4692654823611431E-4</v>
      </c>
      <c r="N644">
        <v>6.9534146886592527E-2</v>
      </c>
      <c r="O644">
        <v>8.6882800269401459E-3</v>
      </c>
      <c r="P644">
        <v>1.2818552618263899E-2</v>
      </c>
      <c r="Q644">
        <v>2.9915723142360431E-3</v>
      </c>
      <c r="R644">
        <v>6.3598179312027246E-4</v>
      </c>
      <c r="S644">
        <v>8.2470625153139798E-2</v>
      </c>
      <c r="T644">
        <v>0.81387945075542234</v>
      </c>
      <c r="U644">
        <v>1.6668245213488371E-2</v>
      </c>
      <c r="V644">
        <v>1.0411741408565635E-2</v>
      </c>
      <c r="W644">
        <v>4.088215800743332E-2</v>
      </c>
      <c r="X644">
        <v>1.0124752280879041E-2</v>
      </c>
      <c r="Y644">
        <v>1.7309327895316247E-3</v>
      </c>
    </row>
    <row r="645" spans="1:25">
      <c r="A645" s="876"/>
      <c r="B645" s="1202">
        <v>395</v>
      </c>
      <c r="C645" s="880">
        <v>1.0028633334519079</v>
      </c>
      <c r="D645" s="880">
        <v>1.0004499914783944</v>
      </c>
      <c r="E645" s="880">
        <v>1.0046099430187598</v>
      </c>
      <c r="F645" s="880">
        <v>1.0431698775129337</v>
      </c>
      <c r="G645" s="880">
        <v>1.0291080161800064</v>
      </c>
      <c r="H645" s="880">
        <v>1.0044153186012461</v>
      </c>
      <c r="I645" s="880">
        <v>1.0074966125854767</v>
      </c>
      <c r="K645">
        <v>1.0752033801909486</v>
      </c>
      <c r="L645">
        <v>0</v>
      </c>
      <c r="M645">
        <v>6.8430965534609361E-4</v>
      </c>
      <c r="N645">
        <v>6.9178406044140855E-2</v>
      </c>
      <c r="O645">
        <v>8.7603477218430939E-3</v>
      </c>
      <c r="P645">
        <v>1.2706014778713668E-2</v>
      </c>
      <c r="Q645">
        <v>2.9589126956263007E-3</v>
      </c>
      <c r="R645">
        <v>6.7279882075948919E-4</v>
      </c>
      <c r="S645">
        <v>8.6010121126179381E-2</v>
      </c>
      <c r="T645">
        <v>0.81546493465869341</v>
      </c>
      <c r="U645">
        <v>1.6862346345583392E-2</v>
      </c>
      <c r="V645">
        <v>1.0412857234659161E-2</v>
      </c>
      <c r="W645">
        <v>4.122103075756383E-2</v>
      </c>
      <c r="X645">
        <v>9.808783060496408E-3</v>
      </c>
      <c r="Y645">
        <v>1.8311366020356736E-3</v>
      </c>
    </row>
    <row r="646" spans="1:25">
      <c r="A646" s="876"/>
      <c r="B646" s="1202">
        <v>396</v>
      </c>
      <c r="C646" s="880">
        <v>1.0092757072117282</v>
      </c>
      <c r="D646" s="880">
        <v>0.98840775348599252</v>
      </c>
      <c r="E646" s="880">
        <v>0.96704487205621814</v>
      </c>
      <c r="F646" s="880">
        <v>1.0130701897912224</v>
      </c>
      <c r="G646" s="880">
        <v>0.97580098272198768</v>
      </c>
      <c r="H646" s="880">
        <v>0.99497226304373876</v>
      </c>
      <c r="I646" s="880">
        <v>0.98759147335523534</v>
      </c>
      <c r="K646">
        <v>1.0708881726651529</v>
      </c>
      <c r="L646">
        <v>0</v>
      </c>
      <c r="M646">
        <v>7.3360457958034184E-4</v>
      </c>
      <c r="N646">
        <v>6.5964016803382694E-2</v>
      </c>
      <c r="O646">
        <v>8.7611145661762035E-3</v>
      </c>
      <c r="P646">
        <v>1.2361725296527902E-2</v>
      </c>
      <c r="Q646">
        <v>2.8460843678600458E-3</v>
      </c>
      <c r="R646">
        <v>7.211585332198621E-4</v>
      </c>
      <c r="S646">
        <v>8.3949975864763229E-2</v>
      </c>
      <c r="T646">
        <v>0.81851581130094075</v>
      </c>
      <c r="U646">
        <v>1.6755212421262457E-2</v>
      </c>
      <c r="V646">
        <v>1.0412241355570947E-2</v>
      </c>
      <c r="W646">
        <v>4.0339451956018069E-2</v>
      </c>
      <c r="X646">
        <v>9.0322289814319147E-3</v>
      </c>
      <c r="Y646">
        <v>1.9627557975778801E-3</v>
      </c>
    </row>
    <row r="647" spans="1:25">
      <c r="A647" s="876"/>
      <c r="B647" s="1202">
        <v>397</v>
      </c>
      <c r="C647" s="880">
        <v>1.03199985469026</v>
      </c>
      <c r="D647" s="880">
        <v>1.0291552523899574</v>
      </c>
      <c r="E647" s="880">
        <v>0.97680736634756304</v>
      </c>
      <c r="F647" s="880">
        <v>1.0415231640680271</v>
      </c>
      <c r="G647" s="880">
        <v>1.0200976707638261</v>
      </c>
      <c r="H647" s="880">
        <v>0.99623349900188618</v>
      </c>
      <c r="I647" s="880">
        <v>1.0188557057333121</v>
      </c>
      <c r="K647">
        <v>1.064624005209839</v>
      </c>
      <c r="L647">
        <v>0</v>
      </c>
      <c r="M647">
        <v>6.8885338000490061E-4</v>
      </c>
      <c r="N647">
        <v>6.3852389583718305E-2</v>
      </c>
      <c r="O647">
        <v>8.3857342747883402E-3</v>
      </c>
      <c r="P647">
        <v>1.2426913803010496E-2</v>
      </c>
      <c r="Q647">
        <v>2.759712641747365E-3</v>
      </c>
      <c r="R647">
        <v>6.7714681344680503E-4</v>
      </c>
      <c r="S647">
        <v>8.3058842370663744E-2</v>
      </c>
      <c r="T647">
        <v>0.81771834844043911</v>
      </c>
      <c r="U647">
        <v>1.6386270588214253E-2</v>
      </c>
      <c r="V647">
        <v>1.0410120425518333E-2</v>
      </c>
      <c r="W647">
        <v>3.8782995475038148E-2</v>
      </c>
      <c r="X647">
        <v>9.0114137684435477E-3</v>
      </c>
      <c r="Y647">
        <v>1.8429704048151425E-3</v>
      </c>
    </row>
    <row r="648" spans="1:25">
      <c r="A648" s="876"/>
      <c r="B648" s="1202">
        <v>398</v>
      </c>
      <c r="C648" s="880">
        <v>1.018734646392413</v>
      </c>
      <c r="D648" s="880">
        <v>0.97297967787971529</v>
      </c>
      <c r="E648" s="880">
        <v>0.98186425428464263</v>
      </c>
      <c r="F648" s="880">
        <v>1.0200094481991815</v>
      </c>
      <c r="G648" s="880">
        <v>0.99224659885801691</v>
      </c>
      <c r="H648" s="880">
        <v>1.0380195318855814</v>
      </c>
      <c r="I648" s="880">
        <v>0.99892875322588892</v>
      </c>
      <c r="K648">
        <v>1.0783255815650066</v>
      </c>
      <c r="L648">
        <v>0</v>
      </c>
      <c r="M648">
        <v>7.4122097541646224E-4</v>
      </c>
      <c r="N648">
        <v>6.9851033872240592E-2</v>
      </c>
      <c r="O648">
        <v>8.7530293600394833E-3</v>
      </c>
      <c r="P648">
        <v>1.2516078376100068E-2</v>
      </c>
      <c r="Q648">
        <v>2.8833272120711139E-3</v>
      </c>
      <c r="R648">
        <v>7.2918125016358112E-4</v>
      </c>
      <c r="S648">
        <v>8.6319868374079373E-2</v>
      </c>
      <c r="T648">
        <v>0.81730653582973667</v>
      </c>
      <c r="U648">
        <v>1.659964047147805E-2</v>
      </c>
      <c r="V648">
        <v>1.0411347021575475E-2</v>
      </c>
      <c r="W648">
        <v>4.2277803358260702E-2</v>
      </c>
      <c r="X648">
        <v>9.4343664262674255E-3</v>
      </c>
      <c r="Y648">
        <v>1.9845909884107535E-3</v>
      </c>
    </row>
    <row r="649" spans="1:25">
      <c r="A649" s="876"/>
      <c r="B649" s="1202">
        <v>399</v>
      </c>
      <c r="C649" s="880">
        <v>1.0250126074922139</v>
      </c>
      <c r="D649" s="880">
        <v>0.96189864617724674</v>
      </c>
      <c r="E649" s="880">
        <v>1.0074843720175493</v>
      </c>
      <c r="F649" s="880">
        <v>1.0168669955334064</v>
      </c>
      <c r="G649" s="880">
        <v>1.0153804026260238</v>
      </c>
      <c r="H649" s="880">
        <v>1.0301874086740976</v>
      </c>
      <c r="I649" s="880">
        <v>0.98455973217695736</v>
      </c>
      <c r="K649">
        <v>1.0765369562683116</v>
      </c>
      <c r="L649">
        <v>0</v>
      </c>
      <c r="M649">
        <v>6.9699962004809708E-4</v>
      </c>
      <c r="N649">
        <v>7.1127790531255064E-2</v>
      </c>
      <c r="O649">
        <v>8.7528881741577823E-3</v>
      </c>
      <c r="P649">
        <v>1.2707931756015887E-2</v>
      </c>
      <c r="Q649">
        <v>2.9561571327513924E-3</v>
      </c>
      <c r="R649">
        <v>6.8560184282069234E-4</v>
      </c>
      <c r="S649">
        <v>8.4768674730861776E-2</v>
      </c>
      <c r="T649">
        <v>0.81523345752299781</v>
      </c>
      <c r="U649">
        <v>1.6497971578443071E-2</v>
      </c>
      <c r="V649">
        <v>1.0410762559225753E-2</v>
      </c>
      <c r="W649">
        <v>4.2299675833186348E-2</v>
      </c>
      <c r="X649">
        <v>9.9270620190731948E-3</v>
      </c>
      <c r="Y649">
        <v>1.8659822075711803E-3</v>
      </c>
    </row>
    <row r="650" spans="1:25">
      <c r="A650" s="876"/>
      <c r="B650" s="1202">
        <v>400</v>
      </c>
      <c r="C650" s="880">
        <v>1.0267678012967785</v>
      </c>
      <c r="D650" s="880">
        <v>1.0077508695652941</v>
      </c>
      <c r="E650" s="880">
        <v>1.0173578629751339</v>
      </c>
      <c r="F650" s="880">
        <v>1.0152632471615159</v>
      </c>
      <c r="G650" s="880">
        <v>1.0267764728385187</v>
      </c>
      <c r="H650" s="880">
        <v>1.0335325401064783</v>
      </c>
      <c r="I650" s="880">
        <v>1.0121987599205127</v>
      </c>
      <c r="K650">
        <v>1.0740802237777785</v>
      </c>
      <c r="L650">
        <v>0</v>
      </c>
      <c r="M650">
        <v>6.6692170681309829E-4</v>
      </c>
      <c r="N650">
        <v>7.0179193177094451E-2</v>
      </c>
      <c r="O650">
        <v>8.5232958338434407E-3</v>
      </c>
      <c r="P650">
        <v>1.2794411724359817E-2</v>
      </c>
      <c r="Q650">
        <v>2.9173274195439755E-3</v>
      </c>
      <c r="R650">
        <v>6.5601359369388723E-4</v>
      </c>
      <c r="S650">
        <v>8.5116832737824069E-2</v>
      </c>
      <c r="T650">
        <v>0.81444048952953152</v>
      </c>
      <c r="U650">
        <v>1.6469769352520341E-2</v>
      </c>
      <c r="V650">
        <v>1.0410600433537771E-2</v>
      </c>
      <c r="W650">
        <v>4.1456950241797602E-2</v>
      </c>
      <c r="X650">
        <v>9.996808693632139E-3</v>
      </c>
      <c r="Y650">
        <v>1.7854527472117199E-3</v>
      </c>
    </row>
    <row r="651" spans="1:25">
      <c r="A651" s="876"/>
      <c r="B651" s="1202">
        <v>401</v>
      </c>
      <c r="C651" s="880">
        <v>1.0048116657063026</v>
      </c>
      <c r="D651" s="880">
        <v>0.96717554418875651</v>
      </c>
      <c r="E651" s="880">
        <v>0.98874961569299757</v>
      </c>
      <c r="F651" s="880">
        <v>0.98088321717565086</v>
      </c>
      <c r="G651" s="880">
        <v>1.0227413161523782</v>
      </c>
      <c r="H651" s="880">
        <v>1.0059891802165135</v>
      </c>
      <c r="I651" s="880">
        <v>0.99304735308478564</v>
      </c>
      <c r="K651">
        <v>1.0770636372548357</v>
      </c>
      <c r="L651">
        <v>0</v>
      </c>
      <c r="M651">
        <v>7.201374989646614E-4</v>
      </c>
      <c r="N651">
        <v>6.9299275864298779E-2</v>
      </c>
      <c r="O651">
        <v>8.9027565519334672E-3</v>
      </c>
      <c r="P651">
        <v>1.2574188576952873E-2</v>
      </c>
      <c r="Q651">
        <v>2.9518464126345044E-3</v>
      </c>
      <c r="R651">
        <v>7.0807316946567569E-4</v>
      </c>
      <c r="S651">
        <v>8.6109405687544494E-2</v>
      </c>
      <c r="T651">
        <v>0.81674721148428719</v>
      </c>
      <c r="U651">
        <v>1.6829650215163028E-2</v>
      </c>
      <c r="V651">
        <v>1.041266927493382E-2</v>
      </c>
      <c r="W651">
        <v>4.1744672532974841E-2</v>
      </c>
      <c r="X651">
        <v>9.576883232581844E-3</v>
      </c>
      <c r="Y651">
        <v>1.9271417510279868E-3</v>
      </c>
    </row>
    <row r="652" spans="1:25">
      <c r="A652" s="876"/>
      <c r="B652" s="1202">
        <v>402</v>
      </c>
      <c r="C652" s="880">
        <v>1.0111655454523008</v>
      </c>
      <c r="D652" s="880">
        <v>0.97682914828487932</v>
      </c>
      <c r="E652" s="880">
        <v>0.97559271612144183</v>
      </c>
      <c r="F652" s="880">
        <v>0.98352692720099477</v>
      </c>
      <c r="G652" s="880">
        <v>1.0109208109056975</v>
      </c>
      <c r="H652" s="880">
        <v>1.0138178364867998</v>
      </c>
      <c r="I652" s="880">
        <v>0.97522875815131882</v>
      </c>
      <c r="K652">
        <v>1.0737217594623107</v>
      </c>
      <c r="L652">
        <v>0</v>
      </c>
      <c r="M652">
        <v>7.3746799651749819E-4</v>
      </c>
      <c r="N652">
        <v>6.8125211037638828E-2</v>
      </c>
      <c r="O652">
        <v>8.7999561276888103E-3</v>
      </c>
      <c r="P652">
        <v>1.2432415553932364E-2</v>
      </c>
      <c r="Q652">
        <v>2.8812120934155459E-3</v>
      </c>
      <c r="R652">
        <v>7.251996802391578E-4</v>
      </c>
      <c r="S652">
        <v>8.3890183084479042E-2</v>
      </c>
      <c r="T652">
        <v>0.81781739347684268</v>
      </c>
      <c r="U652">
        <v>1.6723897429068477E-2</v>
      </c>
      <c r="V652">
        <v>1.0412061335572943E-2</v>
      </c>
      <c r="W652">
        <v>4.1413226914926361E-2</v>
      </c>
      <c r="X652">
        <v>9.2647162574241038E-3</v>
      </c>
      <c r="Y652">
        <v>1.9737544676006456E-3</v>
      </c>
    </row>
    <row r="653" spans="1:25">
      <c r="A653" s="876"/>
      <c r="B653" s="1202">
        <v>403</v>
      </c>
      <c r="C653" s="880">
        <v>1.01231767979336</v>
      </c>
      <c r="D653" s="880">
        <v>0.9800308723714608</v>
      </c>
      <c r="E653" s="880">
        <v>0.98160439210050399</v>
      </c>
      <c r="F653" s="880">
        <v>1.0073511753512421</v>
      </c>
      <c r="G653" s="880">
        <v>0.97936965422220523</v>
      </c>
      <c r="H653" s="880">
        <v>1.0138198930349274</v>
      </c>
      <c r="I653" s="880">
        <v>1.001318171563085</v>
      </c>
      <c r="K653">
        <v>1.0755460798317564</v>
      </c>
      <c r="L653">
        <v>0</v>
      </c>
      <c r="M653">
        <v>7.2612618091625974E-4</v>
      </c>
      <c r="N653">
        <v>6.8345592724363899E-2</v>
      </c>
      <c r="O653">
        <v>8.7745836252252941E-3</v>
      </c>
      <c r="P653">
        <v>1.2509611592308328E-2</v>
      </c>
      <c r="Q653">
        <v>2.8912397895890277E-3</v>
      </c>
      <c r="R653">
        <v>7.1404363808854308E-4</v>
      </c>
      <c r="S653">
        <v>8.5895937964116612E-2</v>
      </c>
      <c r="T653">
        <v>0.81732767687246199</v>
      </c>
      <c r="U653">
        <v>1.6704863703856567E-2</v>
      </c>
      <c r="V653">
        <v>1.0411951916699315E-2</v>
      </c>
      <c r="W653">
        <v>4.1374075733057222E-2</v>
      </c>
      <c r="X653">
        <v>9.379237054449506E-3</v>
      </c>
      <c r="Y653">
        <v>1.9433913984549789E-3</v>
      </c>
    </row>
    <row r="654" spans="1:25">
      <c r="A654" s="876"/>
      <c r="B654" s="1202">
        <v>404</v>
      </c>
      <c r="C654" s="880">
        <v>0.96355714321686481</v>
      </c>
      <c r="D654" s="880">
        <v>1.0403088728129561</v>
      </c>
      <c r="E654" s="880">
        <v>0.98201615041404344</v>
      </c>
      <c r="F654" s="880">
        <v>1.0154979363254335</v>
      </c>
      <c r="G654" s="880">
        <v>0.98477627177388072</v>
      </c>
      <c r="H654" s="880">
        <v>0.9918542264802982</v>
      </c>
      <c r="I654" s="880">
        <v>0.98441839026255351</v>
      </c>
      <c r="K654">
        <v>1.0755854209112485</v>
      </c>
      <c r="L654">
        <v>0</v>
      </c>
      <c r="M654">
        <v>7.2241141906291139E-4</v>
      </c>
      <c r="N654">
        <v>6.8052559755747005E-2</v>
      </c>
      <c r="O654">
        <v>8.9300708724963547E-3</v>
      </c>
      <c r="P654">
        <v>1.2516990565141339E-2</v>
      </c>
      <c r="Q654">
        <v>2.9568016302691726E-3</v>
      </c>
      <c r="R654">
        <v>7.1007073235505218E-4</v>
      </c>
      <c r="S654">
        <v>8.5336736757184117E-2</v>
      </c>
      <c r="T654">
        <v>0.81729417940508453</v>
      </c>
      <c r="U654">
        <v>1.7550208604645647E-2</v>
      </c>
      <c r="V654">
        <v>1.0416811537496682E-2</v>
      </c>
      <c r="W654">
        <v>4.1184929742981928E-2</v>
      </c>
      <c r="X654">
        <v>9.4258942681925001E-3</v>
      </c>
      <c r="Y654">
        <v>1.9325784587164397E-3</v>
      </c>
    </row>
    <row r="655" spans="1:25">
      <c r="A655" s="876"/>
      <c r="B655" s="1202">
        <v>405</v>
      </c>
      <c r="C655" s="880">
        <v>1.0308166032068002</v>
      </c>
      <c r="D655" s="880">
        <v>0.99701841767319233</v>
      </c>
      <c r="E655" s="880">
        <v>0.99805840657042777</v>
      </c>
      <c r="F655" s="880">
        <v>0.97621792025834364</v>
      </c>
      <c r="G655" s="880">
        <v>1.0039759517527334</v>
      </c>
      <c r="H655" s="880">
        <v>0.99800747199223583</v>
      </c>
      <c r="I655" s="880">
        <v>0.97190487383742685</v>
      </c>
      <c r="K655">
        <v>1.0650926993041858</v>
      </c>
      <c r="L655">
        <v>0</v>
      </c>
      <c r="M655">
        <v>6.7192479980553426E-4</v>
      </c>
      <c r="N655">
        <v>6.6549006128069521E-2</v>
      </c>
      <c r="O655">
        <v>8.5384203708265567E-3</v>
      </c>
      <c r="P655">
        <v>1.2571865730516323E-2</v>
      </c>
      <c r="Q655">
        <v>2.8643026212286536E-3</v>
      </c>
      <c r="R655">
        <v>6.6055259375272398E-4</v>
      </c>
      <c r="S655">
        <v>8.0643609996006518E-2</v>
      </c>
      <c r="T655">
        <v>0.81599357823040819</v>
      </c>
      <c r="U655">
        <v>1.6405080024268701E-2</v>
      </c>
      <c r="V655">
        <v>1.0410228555024484E-2</v>
      </c>
      <c r="W655">
        <v>3.983225817355017E-2</v>
      </c>
      <c r="X655">
        <v>9.4979152712473917E-3</v>
      </c>
      <c r="Y655">
        <v>1.797806409090906E-3</v>
      </c>
    </row>
    <row r="656" spans="1:25">
      <c r="A656" s="876"/>
      <c r="B656" s="1202">
        <v>406</v>
      </c>
      <c r="C656" s="880">
        <v>0.98544388566336927</v>
      </c>
      <c r="D656" s="880">
        <v>1.0016622980062555</v>
      </c>
      <c r="E656" s="880">
        <v>0.98003192626933433</v>
      </c>
      <c r="F656" s="880">
        <v>0.96854077074186262</v>
      </c>
      <c r="G656" s="880">
        <v>0.98860358895917955</v>
      </c>
      <c r="H656" s="880">
        <v>0.98540019816365421</v>
      </c>
      <c r="I656" s="880">
        <v>0.99777804561262118</v>
      </c>
      <c r="K656">
        <v>1.0746946039777234</v>
      </c>
      <c r="L656">
        <v>0</v>
      </c>
      <c r="M656">
        <v>7.190085001454391E-4</v>
      </c>
      <c r="N656">
        <v>6.7310159279904649E-2</v>
      </c>
      <c r="O656">
        <v>8.909447208343118E-3</v>
      </c>
      <c r="P656">
        <v>1.2503225968057096E-2</v>
      </c>
      <c r="Q656">
        <v>2.935794013803868E-3</v>
      </c>
      <c r="R656">
        <v>7.0667951146596039E-4</v>
      </c>
      <c r="S656">
        <v>8.5946110834320757E-2</v>
      </c>
      <c r="T656">
        <v>0.81745565331103087</v>
      </c>
      <c r="U656">
        <v>1.7160417870540307E-2</v>
      </c>
      <c r="V656">
        <v>1.0414570753697873E-2</v>
      </c>
      <c r="W656">
        <v>4.079171867845538E-2</v>
      </c>
      <c r="X656">
        <v>9.3564863748776574E-3</v>
      </c>
      <c r="Y656">
        <v>1.923348673371998E-3</v>
      </c>
    </row>
    <row r="657" spans="1:25">
      <c r="A657" s="876"/>
      <c r="B657" s="1202">
        <v>407</v>
      </c>
      <c r="C657" s="880">
        <v>0.95864745189876044</v>
      </c>
      <c r="D657" s="880">
        <v>0.99323137029742981</v>
      </c>
      <c r="E657" s="880">
        <v>1.0036575667935281</v>
      </c>
      <c r="F657" s="880">
        <v>0.97866798966451729</v>
      </c>
      <c r="G657" s="880">
        <v>1.0020139054694579</v>
      </c>
      <c r="H657" s="880">
        <v>0.99672093029651632</v>
      </c>
      <c r="I657" s="880">
        <v>1.0277076121809947</v>
      </c>
      <c r="K657">
        <v>1.0874282164136584</v>
      </c>
      <c r="L657">
        <v>0</v>
      </c>
      <c r="M657">
        <v>7.1456374893714839E-4</v>
      </c>
      <c r="N657">
        <v>7.2014357115481958E-2</v>
      </c>
      <c r="O657">
        <v>9.1998720154455853E-3</v>
      </c>
      <c r="P657">
        <v>1.2788249754128908E-2</v>
      </c>
      <c r="Q657">
        <v>3.1027198724695947E-3</v>
      </c>
      <c r="R657">
        <v>7.0245766649086746E-4</v>
      </c>
      <c r="S657">
        <v>9.1818014935148212E-2</v>
      </c>
      <c r="T657">
        <v>0.81554169128281406</v>
      </c>
      <c r="U657">
        <v>1.7640091602453094E-2</v>
      </c>
      <c r="V657">
        <v>1.041732824645779E-2</v>
      </c>
      <c r="W657">
        <v>4.2938767965991352E-2</v>
      </c>
      <c r="X657">
        <v>1.0067371502633385E-2</v>
      </c>
      <c r="Y657">
        <v>1.9118582030806174E-3</v>
      </c>
    </row>
    <row r="658" spans="1:25">
      <c r="A658" s="876"/>
      <c r="B658" s="1202">
        <v>408</v>
      </c>
      <c r="C658" s="880">
        <v>1.036292121707691</v>
      </c>
      <c r="D658" s="880">
        <v>1.0114078951533274</v>
      </c>
      <c r="E658" s="880">
        <v>1.0281949085321027</v>
      </c>
      <c r="F658" s="880">
        <v>1.004314889984228</v>
      </c>
      <c r="G658" s="880">
        <v>0.99224641338022324</v>
      </c>
      <c r="H658" s="880">
        <v>0.98843463204614546</v>
      </c>
      <c r="I658" s="880">
        <v>1.0031548613085359</v>
      </c>
      <c r="K658">
        <v>1.0643513415915031</v>
      </c>
      <c r="L658">
        <v>0</v>
      </c>
      <c r="M658">
        <v>6.1646242704862934E-4</v>
      </c>
      <c r="N658">
        <v>6.7038796556896249E-2</v>
      </c>
      <c r="O658">
        <v>8.4286778485906117E-3</v>
      </c>
      <c r="P658">
        <v>1.2836985644110585E-2</v>
      </c>
      <c r="Q658">
        <v>2.9169290027643998E-3</v>
      </c>
      <c r="R658">
        <v>6.0591679459582378E-4</v>
      </c>
      <c r="S658">
        <v>8.1878877976772402E-2</v>
      </c>
      <c r="T658">
        <v>0.81357396023503825</v>
      </c>
      <c r="U658">
        <v>1.6318399524340273E-2</v>
      </c>
      <c r="V658">
        <v>1.0409730256212E-2</v>
      </c>
      <c r="W658">
        <v>3.9313840354358337E-2</v>
      </c>
      <c r="X658">
        <v>9.9965840504006934E-3</v>
      </c>
      <c r="Y658">
        <v>1.6491057744721751E-3</v>
      </c>
    </row>
    <row r="659" spans="1:25">
      <c r="A659" s="876"/>
      <c r="B659" s="1202">
        <v>409</v>
      </c>
      <c r="C659" s="880">
        <v>0.9718816224696365</v>
      </c>
      <c r="D659" s="880">
        <v>0.98348419335793691</v>
      </c>
      <c r="E659" s="880">
        <v>1.0318884005787456</v>
      </c>
      <c r="F659" s="880">
        <v>0.98009094303299393</v>
      </c>
      <c r="G659" s="880">
        <v>0.99680623536455593</v>
      </c>
      <c r="H659" s="880">
        <v>1.0328641229158366</v>
      </c>
      <c r="I659" s="880">
        <v>0.96862985985753203</v>
      </c>
      <c r="K659">
        <v>1.0866716633462496</v>
      </c>
      <c r="L659">
        <v>0</v>
      </c>
      <c r="M659">
        <v>6.9174733370122598E-4</v>
      </c>
      <c r="N659">
        <v>7.6152876160306374E-2</v>
      </c>
      <c r="O659">
        <v>9.1225006259100187E-3</v>
      </c>
      <c r="P659">
        <v>1.2955288134446512E-2</v>
      </c>
      <c r="Q659">
        <v>3.1619645288840374E-3</v>
      </c>
      <c r="R659">
        <v>6.8044613717111943E-4</v>
      </c>
      <c r="S659">
        <v>8.7081746204242014E-2</v>
      </c>
      <c r="T659">
        <v>0.8132795445173443</v>
      </c>
      <c r="U659">
        <v>1.739988541297962E-2</v>
      </c>
      <c r="V659">
        <v>1.0415947376953609E-2</v>
      </c>
      <c r="W659">
        <v>4.4548254649212624E-2</v>
      </c>
      <c r="X659">
        <v>1.0713006856128249E-2</v>
      </c>
      <c r="Y659">
        <v>1.8519500763709527E-3</v>
      </c>
    </row>
    <row r="660" spans="1:25">
      <c r="A660" s="876"/>
      <c r="B660" s="1202">
        <v>410</v>
      </c>
      <c r="C660" s="880">
        <v>0.96313617492900039</v>
      </c>
      <c r="D660" s="880">
        <v>0.99040053008030471</v>
      </c>
      <c r="E660" s="880">
        <v>1.0252642549529793</v>
      </c>
      <c r="F660" s="880">
        <v>1.0266365863822851</v>
      </c>
      <c r="G660" s="880">
        <v>0.96377440994612595</v>
      </c>
      <c r="H660" s="880">
        <v>0.99134571947514061</v>
      </c>
      <c r="I660" s="880">
        <v>1.0067110697432475</v>
      </c>
      <c r="K660">
        <v>1.084583729718595</v>
      </c>
      <c r="L660">
        <v>0</v>
      </c>
      <c r="M660">
        <v>6.7689085138092873E-4</v>
      </c>
      <c r="N660">
        <v>7.2949134696151552E-2</v>
      </c>
      <c r="O660">
        <v>9.1709547419542899E-3</v>
      </c>
      <c r="P660">
        <v>1.2935411819822586E-2</v>
      </c>
      <c r="Q660">
        <v>3.1596554288299589E-3</v>
      </c>
      <c r="R660">
        <v>6.6536326487419157E-4</v>
      </c>
      <c r="S660">
        <v>8.9448511478168763E-2</v>
      </c>
      <c r="T660">
        <v>0.81380789987401381</v>
      </c>
      <c r="U660">
        <v>1.7557879463097708E-2</v>
      </c>
      <c r="V660">
        <v>1.0416855634838755E-2</v>
      </c>
      <c r="W660">
        <v>4.28641524119526E-2</v>
      </c>
      <c r="X660">
        <v>1.0473902286224543E-2</v>
      </c>
      <c r="Y660">
        <v>1.8108994700462321E-3</v>
      </c>
    </row>
    <row r="661" spans="1:25">
      <c r="A661" s="876"/>
      <c r="B661" s="1202">
        <v>411</v>
      </c>
      <c r="C661" s="880">
        <v>1.0050440222294037</v>
      </c>
      <c r="D661" s="880">
        <v>1.0193606407674487</v>
      </c>
      <c r="E661" s="880">
        <v>1.0044385584293991</v>
      </c>
      <c r="F661" s="880">
        <v>1.0167978249885703</v>
      </c>
      <c r="G661" s="880">
        <v>1.0049579820925201</v>
      </c>
      <c r="H661" s="880">
        <v>0.99934294730214002</v>
      </c>
      <c r="I661" s="880">
        <v>0.97131886381083865</v>
      </c>
      <c r="K661">
        <v>1.0687337916682571</v>
      </c>
      <c r="L661">
        <v>0</v>
      </c>
      <c r="M661">
        <v>6.7289129647730061E-4</v>
      </c>
      <c r="N661">
        <v>6.7980344177587526E-2</v>
      </c>
      <c r="O661">
        <v>8.6545657341934468E-3</v>
      </c>
      <c r="P661">
        <v>1.2646441529249187E-2</v>
      </c>
      <c r="Q661">
        <v>2.9267545522831612E-3</v>
      </c>
      <c r="R661">
        <v>6.6149949387058751E-4</v>
      </c>
      <c r="S661">
        <v>8.1800775431117106E-2</v>
      </c>
      <c r="T661">
        <v>0.81547874509917373</v>
      </c>
      <c r="U661">
        <v>1.6825759361705332E-2</v>
      </c>
      <c r="V661">
        <v>1.0412646907646365E-2</v>
      </c>
      <c r="W661">
        <v>4.0511882443522412E-2</v>
      </c>
      <c r="X661">
        <v>9.7068846753192283E-3</v>
      </c>
      <c r="Y661">
        <v>1.8003835590661905E-3</v>
      </c>
    </row>
    <row r="662" spans="1:25">
      <c r="A662" s="876"/>
      <c r="B662" s="1202">
        <v>412</v>
      </c>
      <c r="C662" s="880">
        <v>1.0225796962200986</v>
      </c>
      <c r="D662" s="880">
        <v>0.98928042623327517</v>
      </c>
      <c r="E662" s="880">
        <v>0.9979022507315688</v>
      </c>
      <c r="F662" s="880">
        <v>0.99870099478109964</v>
      </c>
      <c r="G662" s="880">
        <v>1.0138645223422049</v>
      </c>
      <c r="H662" s="880">
        <v>0.96920595418589228</v>
      </c>
      <c r="I662" s="880">
        <v>1.0228579460188907</v>
      </c>
      <c r="K662">
        <v>1.0677420743125443</v>
      </c>
      <c r="L662">
        <v>0</v>
      </c>
      <c r="M662">
        <v>6.6074109897825545E-4</v>
      </c>
      <c r="N662">
        <v>6.5376757768642241E-2</v>
      </c>
      <c r="O662">
        <v>8.6430576241270825E-3</v>
      </c>
      <c r="P662">
        <v>1.2629725952401812E-2</v>
      </c>
      <c r="Q662">
        <v>2.8972571508338158E-3</v>
      </c>
      <c r="R662">
        <v>6.4923246222155738E-4</v>
      </c>
      <c r="S662">
        <v>8.4852018366358278E-2</v>
      </c>
      <c r="T662">
        <v>0.81600619624251047</v>
      </c>
      <c r="U662">
        <v>1.6537223385582035E-2</v>
      </c>
      <c r="V662">
        <v>1.0410988205465694E-2</v>
      </c>
      <c r="W662">
        <v>3.9134807521062312E-2</v>
      </c>
      <c r="X662">
        <v>9.4985539895727847E-3</v>
      </c>
      <c r="Y662">
        <v>1.7669967427434269E-3</v>
      </c>
    </row>
    <row r="663" spans="1:25">
      <c r="A663" s="876"/>
      <c r="B663" s="1202">
        <v>413</v>
      </c>
      <c r="C663" s="880">
        <v>1.0253071116728458</v>
      </c>
      <c r="D663" s="880">
        <v>0.97871061272840743</v>
      </c>
      <c r="E663" s="880">
        <v>1.0027488955776094</v>
      </c>
      <c r="F663" s="880">
        <v>0.99665692112848991</v>
      </c>
      <c r="G663" s="880">
        <v>0.99869269368014346</v>
      </c>
      <c r="H663" s="880">
        <v>1.0326323262886619</v>
      </c>
      <c r="I663" s="880">
        <v>0.99459862353128536</v>
      </c>
      <c r="K663">
        <v>1.0756020005096902</v>
      </c>
      <c r="L663">
        <v>0</v>
      </c>
      <c r="M663">
        <v>6.9896735842976882E-4</v>
      </c>
      <c r="N663">
        <v>7.0287098438849102E-2</v>
      </c>
      <c r="O663">
        <v>8.6696626286611959E-3</v>
      </c>
      <c r="P663">
        <v>1.2670973156337485E-2</v>
      </c>
      <c r="Q663">
        <v>2.918007110525307E-3</v>
      </c>
      <c r="R663">
        <v>6.8754975761190613E-4</v>
      </c>
      <c r="S663">
        <v>8.4955358142770512E-2</v>
      </c>
      <c r="T663">
        <v>0.81561495425674913</v>
      </c>
      <c r="U663">
        <v>1.6493232782089771E-2</v>
      </c>
      <c r="V663">
        <v>1.0410735317382467E-2</v>
      </c>
      <c r="W663">
        <v>4.1934891730815473E-2</v>
      </c>
      <c r="X663">
        <v>9.7872207568252215E-3</v>
      </c>
      <c r="Y663">
        <v>1.8712837895029256E-3</v>
      </c>
    </row>
    <row r="664" spans="1:25">
      <c r="A664" s="876"/>
      <c r="B664" s="1202">
        <v>414</v>
      </c>
      <c r="C664" s="880">
        <v>1.0002519064755269</v>
      </c>
      <c r="D664" s="880">
        <v>0.97396299288379717</v>
      </c>
      <c r="E664" s="880">
        <v>0.98278001131176607</v>
      </c>
      <c r="F664" s="880">
        <v>1.0052543458096435</v>
      </c>
      <c r="G664" s="880">
        <v>0.99155072756260632</v>
      </c>
      <c r="H664" s="880">
        <v>1.0056356632136649</v>
      </c>
      <c r="I664" s="880">
        <v>0.98606673268158596</v>
      </c>
      <c r="K664">
        <v>1.0764933177269673</v>
      </c>
      <c r="L664">
        <v>0</v>
      </c>
      <c r="M664">
        <v>7.2956723545696033E-4</v>
      </c>
      <c r="N664">
        <v>6.8912477487801299E-2</v>
      </c>
      <c r="O664">
        <v>8.9099555043458314E-3</v>
      </c>
      <c r="P664">
        <v>1.2517985056596953E-2</v>
      </c>
      <c r="Q664">
        <v>2.9379739242886087E-3</v>
      </c>
      <c r="R664">
        <v>7.1733427291860766E-4</v>
      </c>
      <c r="S664">
        <v>8.5581491204073878E-2</v>
      </c>
      <c r="T664">
        <v>0.81723205279728728</v>
      </c>
      <c r="U664">
        <v>1.6906370041861175E-2</v>
      </c>
      <c r="V664">
        <v>1.0413110312982348E-2</v>
      </c>
      <c r="W664">
        <v>4.1683283589294066E-2</v>
      </c>
      <c r="X664">
        <v>9.4585033492691241E-3</v>
      </c>
      <c r="Y664">
        <v>1.9523474217049348E-3</v>
      </c>
    </row>
    <row r="665" spans="1:25">
      <c r="A665" s="876"/>
      <c r="B665" s="1202">
        <v>415</v>
      </c>
      <c r="C665" s="880">
        <v>0.95880483176622466</v>
      </c>
      <c r="D665" s="880">
        <v>1.0223615538210058</v>
      </c>
      <c r="E665" s="880">
        <v>0.99002647184158543</v>
      </c>
      <c r="F665" s="880">
        <v>1.0152155454776621</v>
      </c>
      <c r="G665" s="880">
        <v>0.98663718935796785</v>
      </c>
      <c r="H665" s="880">
        <v>1.0010744755741869</v>
      </c>
      <c r="I665" s="880">
        <v>1.0031074315791053</v>
      </c>
      <c r="K665">
        <v>1.0820473471046854</v>
      </c>
      <c r="L665">
        <v>0</v>
      </c>
      <c r="M665">
        <v>7.2719234379765743E-4</v>
      </c>
      <c r="N665">
        <v>7.0246124115435682E-2</v>
      </c>
      <c r="O665">
        <v>9.0577575905684063E-3</v>
      </c>
      <c r="P665">
        <v>1.2628104504000431E-2</v>
      </c>
      <c r="Q665">
        <v>3.0196391022853626E-3</v>
      </c>
      <c r="R665">
        <v>7.1489990917777133E-4</v>
      </c>
      <c r="S665">
        <v>8.8486658763039933E-2</v>
      </c>
      <c r="T665">
        <v>0.81664366413572076</v>
      </c>
      <c r="U665">
        <v>1.7637196127601024E-2</v>
      </c>
      <c r="V665">
        <v>1.0417311601287537E-2</v>
      </c>
      <c r="W665">
        <v>4.2277808705836577E-2</v>
      </c>
      <c r="X665">
        <v>9.6996530074373016E-3</v>
      </c>
      <c r="Y665">
        <v>1.9457218860901701E-3</v>
      </c>
    </row>
    <row r="666" spans="1:25">
      <c r="A666" s="876"/>
      <c r="B666" s="1202">
        <v>416</v>
      </c>
      <c r="C666" s="880">
        <v>0.96325546956296193</v>
      </c>
      <c r="D666" s="880">
        <v>1.007786041161127</v>
      </c>
      <c r="E666" s="880">
        <v>0.99649809987927829</v>
      </c>
      <c r="F666" s="880">
        <v>0.98702716364845011</v>
      </c>
      <c r="G666" s="880">
        <v>0.9960855630724007</v>
      </c>
      <c r="H666" s="880">
        <v>1.0115885203765942</v>
      </c>
      <c r="I666" s="880">
        <v>1.006194048440733</v>
      </c>
      <c r="K666">
        <v>1.0847295155039063</v>
      </c>
      <c r="L666">
        <v>0</v>
      </c>
      <c r="M666">
        <v>7.2706930187598482E-4</v>
      </c>
      <c r="N666">
        <v>7.1677467468245631E-2</v>
      </c>
      <c r="O666">
        <v>9.0851111108135527E-3</v>
      </c>
      <c r="P666">
        <v>1.2693483452726034E-2</v>
      </c>
      <c r="Q666">
        <v>3.0453521877939122E-3</v>
      </c>
      <c r="R666">
        <v>7.1491942267494285E-4</v>
      </c>
      <c r="S666">
        <v>8.9373022457056306E-2</v>
      </c>
      <c r="T666">
        <v>0.81611969441155818</v>
      </c>
      <c r="U666">
        <v>1.7555705002770355E-2</v>
      </c>
      <c r="V666">
        <v>1.0416843134553239E-2</v>
      </c>
      <c r="W666">
        <v>4.2947763496637946E-2</v>
      </c>
      <c r="X666">
        <v>9.8814476655539416E-3</v>
      </c>
      <c r="Y666">
        <v>1.9457749953968482E-3</v>
      </c>
    </row>
    <row r="667" spans="1:25">
      <c r="A667" s="876"/>
      <c r="B667" s="1202">
        <v>417</v>
      </c>
      <c r="C667" s="880">
        <v>1.020560129828378</v>
      </c>
      <c r="D667" s="880">
        <v>1.0380297528891027</v>
      </c>
      <c r="E667" s="880">
        <v>1.0181492598758035</v>
      </c>
      <c r="F667" s="880">
        <v>0.99429379845310784</v>
      </c>
      <c r="G667" s="880">
        <v>1.0070418786030637</v>
      </c>
      <c r="H667" s="880">
        <v>1.0032695647032772</v>
      </c>
      <c r="I667" s="880">
        <v>1.0019011922397174</v>
      </c>
      <c r="K667">
        <v>1.0668387069143139</v>
      </c>
      <c r="L667">
        <v>0</v>
      </c>
      <c r="M667">
        <v>6.401046196592053E-4</v>
      </c>
      <c r="N667">
        <v>6.7486738403052901E-2</v>
      </c>
      <c r="O667">
        <v>8.4411160008034235E-3</v>
      </c>
      <c r="P667">
        <v>1.2765945665754275E-2</v>
      </c>
      <c r="Q667">
        <v>2.8978142136975344E-3</v>
      </c>
      <c r="R667">
        <v>6.2929607764589677E-4</v>
      </c>
      <c r="S667">
        <v>8.2483216854472519E-2</v>
      </c>
      <c r="T667">
        <v>0.81437707395223202</v>
      </c>
      <c r="U667">
        <v>1.6569948572061257E-2</v>
      </c>
      <c r="V667">
        <v>1.041117633222515E-2</v>
      </c>
      <c r="W667">
        <v>3.9845119695718564E-2</v>
      </c>
      <c r="X667">
        <v>9.8586292903527824E-3</v>
      </c>
      <c r="Y667">
        <v>1.7127364759558876E-3</v>
      </c>
    </row>
    <row r="668" spans="1:25">
      <c r="A668" s="876"/>
      <c r="B668" s="1202">
        <v>418</v>
      </c>
      <c r="C668" s="880">
        <v>1.0014484477243264</v>
      </c>
      <c r="D668" s="880">
        <v>0.96463251902210934</v>
      </c>
      <c r="E668" s="880">
        <v>0.97189590975388473</v>
      </c>
      <c r="F668" s="880">
        <v>1.0179505019530353</v>
      </c>
      <c r="G668" s="880">
        <v>0.98720107049277539</v>
      </c>
      <c r="H668" s="880">
        <v>1.0331786379959496</v>
      </c>
      <c r="I668" s="880">
        <v>1.0233886183807996</v>
      </c>
      <c r="K668">
        <v>1.0845237761007978</v>
      </c>
      <c r="L668">
        <v>0</v>
      </c>
      <c r="M668">
        <v>7.6989348403856987E-4</v>
      </c>
      <c r="N668">
        <v>7.0329103727013606E-2</v>
      </c>
      <c r="O668">
        <v>8.9452469782319004E-3</v>
      </c>
      <c r="P668">
        <v>1.2487408507080648E-2</v>
      </c>
      <c r="Q668">
        <v>2.9149875611409232E-3</v>
      </c>
      <c r="R668">
        <v>7.5733749086663398E-4</v>
      </c>
      <c r="S668">
        <v>9.0168396854381272E-2</v>
      </c>
      <c r="T668">
        <v>0.81811914531185392</v>
      </c>
      <c r="U668">
        <v>1.688617013125317E-2</v>
      </c>
      <c r="V668">
        <v>1.0412994190077246E-2</v>
      </c>
      <c r="W668">
        <v>4.2863264608314154E-2</v>
      </c>
      <c r="X668">
        <v>9.3483912307203345E-3</v>
      </c>
      <c r="Y668">
        <v>2.0612229939022089E-3</v>
      </c>
    </row>
    <row r="669" spans="1:25">
      <c r="A669" s="876"/>
      <c r="B669" s="1202">
        <v>419</v>
      </c>
      <c r="C669" s="880">
        <v>1.0068651697710218</v>
      </c>
      <c r="D669" s="880">
        <v>0.99106996895065169</v>
      </c>
      <c r="E669" s="880">
        <v>0.96450528327747864</v>
      </c>
      <c r="F669" s="880">
        <v>0.97734671827333841</v>
      </c>
      <c r="G669" s="880">
        <v>0.97715096088729081</v>
      </c>
      <c r="H669" s="880">
        <v>0.98921379311201385</v>
      </c>
      <c r="I669" s="880">
        <v>0.98885420712783134</v>
      </c>
      <c r="K669">
        <v>1.0703272293890649</v>
      </c>
      <c r="L669">
        <v>0</v>
      </c>
      <c r="M669">
        <v>7.3395217197940062E-4</v>
      </c>
      <c r="N669">
        <v>6.5467782811589104E-2</v>
      </c>
      <c r="O669">
        <v>8.7694892491435826E-3</v>
      </c>
      <c r="P669">
        <v>1.234075820754124E-2</v>
      </c>
      <c r="Q669">
        <v>2.8419760351107125E-3</v>
      </c>
      <c r="R669">
        <v>7.2142525748890957E-4</v>
      </c>
      <c r="S669">
        <v>8.3942448278083975E-2</v>
      </c>
      <c r="T669">
        <v>0.81872378827021741</v>
      </c>
      <c r="U669">
        <v>1.6795326100909971E-2</v>
      </c>
      <c r="V669">
        <v>1.041247195644367E-2</v>
      </c>
      <c r="W669">
        <v>4.0107310653772571E-2</v>
      </c>
      <c r="X669">
        <v>8.9749230076292368E-3</v>
      </c>
      <c r="Y669">
        <v>1.9634817331125954E-3</v>
      </c>
    </row>
    <row r="670" spans="1:25">
      <c r="A670" s="876"/>
      <c r="B670" s="1202">
        <v>420</v>
      </c>
      <c r="C670" s="880">
        <v>1.0089526159998863</v>
      </c>
      <c r="D670" s="880">
        <v>0.99056691915642314</v>
      </c>
      <c r="E670" s="880">
        <v>1.0202156504892443</v>
      </c>
      <c r="F670" s="880">
        <v>1.0070224459406467</v>
      </c>
      <c r="G670" s="880">
        <v>0.98318181337001243</v>
      </c>
      <c r="H670" s="880">
        <v>1.0210400323756985</v>
      </c>
      <c r="I670" s="880">
        <v>0.98143448952380608</v>
      </c>
      <c r="K670">
        <v>1.0756623237164538</v>
      </c>
      <c r="L670">
        <v>0</v>
      </c>
      <c r="M670">
        <v>6.7258594657276718E-4</v>
      </c>
      <c r="N670">
        <v>7.139340158785247E-2</v>
      </c>
      <c r="O670">
        <v>8.7537176412927614E-3</v>
      </c>
      <c r="P670">
        <v>1.2810497764751225E-2</v>
      </c>
      <c r="Q670">
        <v>3.0008668134228153E-3</v>
      </c>
      <c r="R670">
        <v>6.6146465366177885E-4</v>
      </c>
      <c r="S670">
        <v>8.4273760221041591E-2</v>
      </c>
      <c r="T670">
        <v>0.81421159225093964</v>
      </c>
      <c r="U670">
        <v>1.6760577848538211E-2</v>
      </c>
      <c r="V670">
        <v>1.0412272199717451E-2</v>
      </c>
      <c r="W670">
        <v>4.2092901814185603E-2</v>
      </c>
      <c r="X670">
        <v>1.0163568132119487E-2</v>
      </c>
      <c r="Y670">
        <v>1.8002887355028847E-3</v>
      </c>
    </row>
    <row r="671" spans="1:25">
      <c r="A671" s="876"/>
      <c r="B671" s="1202">
        <v>421</v>
      </c>
      <c r="C671" s="880">
        <v>1.011444783392077</v>
      </c>
      <c r="D671" s="880">
        <v>1.0080768114384253</v>
      </c>
      <c r="E671" s="880">
        <v>0.98130444795212346</v>
      </c>
      <c r="F671" s="880">
        <v>0.99498401196394337</v>
      </c>
      <c r="G671" s="880">
        <v>1.0168185827978755</v>
      </c>
      <c r="H671" s="880">
        <v>1.0159393704471393</v>
      </c>
      <c r="I671" s="880">
        <v>1.0283825732268606</v>
      </c>
      <c r="K671">
        <v>1.0752546884323371</v>
      </c>
      <c r="L671">
        <v>0</v>
      </c>
      <c r="M671">
        <v>7.1786763702954203E-4</v>
      </c>
      <c r="N671">
        <v>6.7505172512272893E-2</v>
      </c>
      <c r="O671">
        <v>8.6509297870718468E-3</v>
      </c>
      <c r="P671">
        <v>1.2523985510918583E-2</v>
      </c>
      <c r="Q671">
        <v>2.8556550234452734E-3</v>
      </c>
      <c r="R671">
        <v>7.0592264687434152E-4</v>
      </c>
      <c r="S671">
        <v>8.7136878237795867E-2</v>
      </c>
      <c r="T671">
        <v>0.81735208161794182</v>
      </c>
      <c r="U671">
        <v>1.6719280324170825E-2</v>
      </c>
      <c r="V671">
        <v>1.0412034793295407E-2</v>
      </c>
      <c r="W671">
        <v>4.0873811619556881E-2</v>
      </c>
      <c r="X671">
        <v>9.3155152585687705E-3</v>
      </c>
      <c r="Y671">
        <v>1.9212887374539572E-3</v>
      </c>
    </row>
    <row r="672" spans="1:25">
      <c r="A672" s="876"/>
      <c r="B672" s="1202">
        <v>422</v>
      </c>
      <c r="C672" s="880">
        <v>1.0303527084459299</v>
      </c>
      <c r="D672" s="880">
        <v>0.97165003868377009</v>
      </c>
      <c r="E672" s="880">
        <v>0.98757471985724699</v>
      </c>
      <c r="F672" s="880">
        <v>1.0049234459410403</v>
      </c>
      <c r="G672" s="880">
        <v>1.0206726787621301</v>
      </c>
      <c r="H672" s="880">
        <v>0.99350889957106481</v>
      </c>
      <c r="I672" s="880">
        <v>0.97435786123116641</v>
      </c>
      <c r="K672">
        <v>1.0672396760452505</v>
      </c>
      <c r="L672">
        <v>0</v>
      </c>
      <c r="M672">
        <v>6.9357847940622883E-4</v>
      </c>
      <c r="N672">
        <v>6.6485126923177484E-2</v>
      </c>
      <c r="O672">
        <v>8.6606622303581106E-3</v>
      </c>
      <c r="P672">
        <v>1.2500062747762272E-2</v>
      </c>
      <c r="Q672">
        <v>2.869167040331216E-3</v>
      </c>
      <c r="R672">
        <v>6.8180908528262787E-4</v>
      </c>
      <c r="S672">
        <v>8.1776028261589709E-2</v>
      </c>
      <c r="T672">
        <v>0.81684253913084803</v>
      </c>
      <c r="U672">
        <v>1.6412466068496608E-2</v>
      </c>
      <c r="V672">
        <v>1.0410271015059558E-2</v>
      </c>
      <c r="W672">
        <v>4.0081955481561196E-2</v>
      </c>
      <c r="X672">
        <v>9.3575069683534233E-3</v>
      </c>
      <c r="Y672">
        <v>1.8556595718347544E-3</v>
      </c>
    </row>
    <row r="673" spans="1:25">
      <c r="A673" s="876"/>
      <c r="B673" s="1202">
        <v>423</v>
      </c>
      <c r="C673" s="880">
        <v>0.9876135761446817</v>
      </c>
      <c r="D673" s="880">
        <v>0.98779371138187566</v>
      </c>
      <c r="E673" s="880">
        <v>0.99880454183428835</v>
      </c>
      <c r="F673" s="880">
        <v>1.0130232318017203</v>
      </c>
      <c r="G673" s="880">
        <v>1.0144362174487525</v>
      </c>
      <c r="H673" s="880">
        <v>0.9953466301930749</v>
      </c>
      <c r="I673" s="880">
        <v>1.0430001429564724</v>
      </c>
      <c r="K673">
        <v>1.0818219532346072</v>
      </c>
      <c r="L673">
        <v>0</v>
      </c>
      <c r="M673">
        <v>7.0181485520233314E-4</v>
      </c>
      <c r="N673">
        <v>6.9668563060061819E-2</v>
      </c>
      <c r="O673">
        <v>8.9562501395859025E-3</v>
      </c>
      <c r="P673">
        <v>1.2724306736193139E-2</v>
      </c>
      <c r="Q673">
        <v>3.0046304887682337E-3</v>
      </c>
      <c r="R673">
        <v>6.899131650327068E-4</v>
      </c>
      <c r="S673">
        <v>9.0646941318973231E-2</v>
      </c>
      <c r="T673">
        <v>0.81593329897048006</v>
      </c>
      <c r="U673">
        <v>1.7122718110018188E-2</v>
      </c>
      <c r="V673">
        <v>1.0414354029683666E-2</v>
      </c>
      <c r="W673">
        <v>4.1678131565527826E-2</v>
      </c>
      <c r="X673">
        <v>9.8069443000789354E-3</v>
      </c>
      <c r="Y673">
        <v>1.877716205405298E-3</v>
      </c>
    </row>
    <row r="674" spans="1:25">
      <c r="A674" s="876"/>
      <c r="B674" s="1202">
        <v>424</v>
      </c>
      <c r="C674" s="880">
        <v>1.0241613227534094</v>
      </c>
      <c r="D674" s="880">
        <v>1.0272467191537153</v>
      </c>
      <c r="E674" s="880">
        <v>1.0031524684001261</v>
      </c>
      <c r="F674" s="880">
        <v>0.99317283796735933</v>
      </c>
      <c r="G674" s="880">
        <v>1.0062906311530531</v>
      </c>
      <c r="H674" s="880">
        <v>1.0393996480723728</v>
      </c>
      <c r="I674" s="880">
        <v>1.01930937797551</v>
      </c>
      <c r="K674">
        <v>1.0735859268097723</v>
      </c>
      <c r="L674">
        <v>0</v>
      </c>
      <c r="M674">
        <v>6.8585116686574314E-4</v>
      </c>
      <c r="N674">
        <v>6.9058197804097665E-2</v>
      </c>
      <c r="O674">
        <v>8.4582615323680228E-3</v>
      </c>
      <c r="P674">
        <v>1.267962504398633E-2</v>
      </c>
      <c r="Q674">
        <v>2.8583103022416182E-3</v>
      </c>
      <c r="R674">
        <v>6.7468117851049729E-4</v>
      </c>
      <c r="S674">
        <v>8.532328600541117E-2</v>
      </c>
      <c r="T674">
        <v>0.81558241213009253</v>
      </c>
      <c r="U674">
        <v>1.6511684722177289E-2</v>
      </c>
      <c r="V674">
        <v>1.0410841391757209E-2</v>
      </c>
      <c r="W674">
        <v>4.1190348974518294E-2</v>
      </c>
      <c r="X674">
        <v>9.6878691321627946E-3</v>
      </c>
      <c r="Y674">
        <v>1.836259759314851E-3</v>
      </c>
    </row>
    <row r="675" spans="1:25">
      <c r="A675" s="876"/>
      <c r="B675" s="1202">
        <v>425</v>
      </c>
      <c r="C675" s="880">
        <v>1.0007596445529381</v>
      </c>
      <c r="D675" s="880">
        <v>1.0083411928004702</v>
      </c>
      <c r="E675" s="880">
        <v>0.9792898737184389</v>
      </c>
      <c r="F675" s="880">
        <v>1.0205283775611107</v>
      </c>
      <c r="G675" s="880">
        <v>0.99661610197522355</v>
      </c>
      <c r="H675" s="880">
        <v>1.0019731653445514</v>
      </c>
      <c r="I675" s="880">
        <v>0.97752470709159167</v>
      </c>
      <c r="K675">
        <v>1.0711328476700586</v>
      </c>
      <c r="L675">
        <v>0</v>
      </c>
      <c r="M675">
        <v>7.1849104169003513E-4</v>
      </c>
      <c r="N675">
        <v>6.7125185701247342E-2</v>
      </c>
      <c r="O675">
        <v>8.7420743998361822E-3</v>
      </c>
      <c r="P675">
        <v>1.2456739644662821E-2</v>
      </c>
      <c r="Q675">
        <v>2.8798960369834951E-3</v>
      </c>
      <c r="R675">
        <v>7.0636880353634442E-4</v>
      </c>
      <c r="S675">
        <v>8.3215407924527779E-2</v>
      </c>
      <c r="T675">
        <v>0.81751607493101042</v>
      </c>
      <c r="U675">
        <v>1.6897792549885205E-2</v>
      </c>
      <c r="V675">
        <v>1.0413061003690549E-2</v>
      </c>
      <c r="W675">
        <v>4.0700576291611314E-2</v>
      </c>
      <c r="X675">
        <v>9.2756583959433536E-3</v>
      </c>
      <c r="Y675">
        <v>1.9225030288124248E-3</v>
      </c>
    </row>
    <row r="676" spans="1:25">
      <c r="A676" s="876"/>
      <c r="B676" s="1202">
        <v>426</v>
      </c>
      <c r="C676" s="880">
        <v>0.98623456993204828</v>
      </c>
      <c r="D676" s="880">
        <v>0.98900592210289739</v>
      </c>
      <c r="E676" s="880">
        <v>0.97231084214357966</v>
      </c>
      <c r="F676" s="880">
        <v>0.99353943537441824</v>
      </c>
      <c r="G676" s="880">
        <v>1.0134709076720052</v>
      </c>
      <c r="H676" s="880">
        <v>0.97629374053480034</v>
      </c>
      <c r="I676" s="880">
        <v>1.0057129931351894</v>
      </c>
      <c r="K676">
        <v>1.0750136361030012</v>
      </c>
      <c r="L676">
        <v>0</v>
      </c>
      <c r="M676">
        <v>7.283297495010992E-4</v>
      </c>
      <c r="N676">
        <v>6.6551893570209311E-2</v>
      </c>
      <c r="O676">
        <v>8.9629028872660246E-3</v>
      </c>
      <c r="P676">
        <v>1.2449088368063556E-2</v>
      </c>
      <c r="Q676">
        <v>2.9274852447189002E-3</v>
      </c>
      <c r="R676">
        <v>7.1573622510560182E-4</v>
      </c>
      <c r="S676">
        <v>8.6776243924544624E-2</v>
      </c>
      <c r="T676">
        <v>0.81808525345484129</v>
      </c>
      <c r="U676">
        <v>1.7146660015291845E-2</v>
      </c>
      <c r="V676">
        <v>1.0414491664134062E-2</v>
      </c>
      <c r="W676">
        <v>4.054943826701423E-2</v>
      </c>
      <c r="X676">
        <v>9.2147741689572651E-3</v>
      </c>
      <c r="Y676">
        <v>1.9479980623542522E-3</v>
      </c>
    </row>
    <row r="677" spans="1:25">
      <c r="A677" s="876"/>
      <c r="B677" s="1202">
        <v>427</v>
      </c>
      <c r="C677" s="880">
        <v>1.0273676420413231</v>
      </c>
      <c r="D677" s="880">
        <v>0.99898948467495996</v>
      </c>
      <c r="E677" s="880">
        <v>0.97071419623325483</v>
      </c>
      <c r="F677" s="880">
        <v>0.97068286879435906</v>
      </c>
      <c r="G677" s="880">
        <v>1.0200362563818912</v>
      </c>
      <c r="H677" s="880">
        <v>0.97564750777696152</v>
      </c>
      <c r="I677" s="880">
        <v>1.002499994435639</v>
      </c>
      <c r="K677">
        <v>1.0642713142133697</v>
      </c>
      <c r="L677">
        <v>0</v>
      </c>
      <c r="M677">
        <v>6.9731113581474047E-4</v>
      </c>
      <c r="N677">
        <v>6.3399582593262033E-2</v>
      </c>
      <c r="O677">
        <v>8.5580646873189524E-3</v>
      </c>
      <c r="P677">
        <v>1.2370621225083651E-2</v>
      </c>
      <c r="Q677">
        <v>2.7928018017028492E-3</v>
      </c>
      <c r="R677">
        <v>6.8523704215267349E-4</v>
      </c>
      <c r="S677">
        <v>8.2598870703253863E-2</v>
      </c>
      <c r="T677">
        <v>0.8182157000364596</v>
      </c>
      <c r="U677">
        <v>1.6460153282959029E-2</v>
      </c>
      <c r="V677">
        <v>1.0410545153791495E-2</v>
      </c>
      <c r="W677">
        <v>3.8671841841062246E-2</v>
      </c>
      <c r="X677">
        <v>8.9402176417289689E-3</v>
      </c>
      <c r="Y677">
        <v>1.864989340409341E-3</v>
      </c>
    </row>
    <row r="678" spans="1:25">
      <c r="A678" s="876"/>
      <c r="B678" s="1202">
        <v>428</v>
      </c>
      <c r="C678" s="880">
        <v>1.0277426923322648</v>
      </c>
      <c r="D678" s="880">
        <v>1.0051775163270316</v>
      </c>
      <c r="E678" s="880">
        <v>0.98762036522274299</v>
      </c>
      <c r="F678" s="880">
        <v>0.99399746640505049</v>
      </c>
      <c r="G678" s="880">
        <v>0.95743090659742858</v>
      </c>
      <c r="H678" s="880">
        <v>0.9896021191640878</v>
      </c>
      <c r="I678" s="880">
        <v>1.0219539949224674</v>
      </c>
      <c r="K678">
        <v>1.0676042841010718</v>
      </c>
      <c r="L678">
        <v>0</v>
      </c>
      <c r="M678">
        <v>6.8013881082645649E-4</v>
      </c>
      <c r="N678">
        <v>6.5198816734032397E-2</v>
      </c>
      <c r="O678">
        <v>8.5268218838487862E-3</v>
      </c>
      <c r="P678">
        <v>1.2536593165934667E-2</v>
      </c>
      <c r="Q678">
        <v>2.8321615602562647E-3</v>
      </c>
      <c r="R678">
        <v>6.6852286528597846E-4</v>
      </c>
      <c r="S678">
        <v>8.4407513360266709E-2</v>
      </c>
      <c r="T678">
        <v>0.81683883472450514</v>
      </c>
      <c r="U678">
        <v>1.6454146540878772E-2</v>
      </c>
      <c r="V678">
        <v>1.0410510622928762E-2</v>
      </c>
      <c r="W678">
        <v>3.9305238048096512E-2</v>
      </c>
      <c r="X678">
        <v>9.2857645450589565E-3</v>
      </c>
      <c r="Y678">
        <v>1.81949886080512E-3</v>
      </c>
    </row>
    <row r="679" spans="1:25">
      <c r="A679" s="876"/>
      <c r="B679" s="1202">
        <v>429</v>
      </c>
      <c r="C679" s="880">
        <v>0.95916689229495045</v>
      </c>
      <c r="D679" s="880">
        <v>0.98779641860948109</v>
      </c>
      <c r="E679" s="880">
        <v>0.99841271451613067</v>
      </c>
      <c r="F679" s="880">
        <v>0.9729309461225758</v>
      </c>
      <c r="G679" s="880">
        <v>0.97410462305351597</v>
      </c>
      <c r="H679" s="880">
        <v>1.0025950914398059</v>
      </c>
      <c r="I679" s="880">
        <v>1.0383594803183933</v>
      </c>
      <c r="K679">
        <v>1.0896881845194639</v>
      </c>
      <c r="L679">
        <v>0</v>
      </c>
      <c r="M679">
        <v>7.2849118950892532E-4</v>
      </c>
      <c r="N679">
        <v>7.2237597367911757E-2</v>
      </c>
      <c r="O679">
        <v>9.221858424806044E-3</v>
      </c>
      <c r="P679">
        <v>1.2762806772194867E-2</v>
      </c>
      <c r="Q679">
        <v>3.0925178404017477E-3</v>
      </c>
      <c r="R679">
        <v>7.1622642393264011E-4</v>
      </c>
      <c r="S679">
        <v>9.3202313846789217E-2</v>
      </c>
      <c r="T679">
        <v>0.81596495181238538</v>
      </c>
      <c r="U679">
        <v>1.7630538545269407E-2</v>
      </c>
      <c r="V679">
        <v>1.0417273328949784E-2</v>
      </c>
      <c r="W679">
        <v>4.322661523511883E-2</v>
      </c>
      <c r="X679">
        <v>9.9946438892441966E-3</v>
      </c>
      <c r="Y679">
        <v>1.9493322219674512E-3</v>
      </c>
    </row>
    <row r="680" spans="1:25">
      <c r="A680" s="876"/>
      <c r="B680" s="1202">
        <v>430</v>
      </c>
      <c r="C680" s="880">
        <v>0.99474721746061057</v>
      </c>
      <c r="D680" s="880">
        <v>0.98183598876071521</v>
      </c>
      <c r="E680" s="880">
        <v>1.0007033612103464</v>
      </c>
      <c r="F680" s="880">
        <v>0.99171565307088638</v>
      </c>
      <c r="G680" s="880">
        <v>0.98474498849540237</v>
      </c>
      <c r="H680" s="880">
        <v>0.9837555383933998</v>
      </c>
      <c r="I680" s="880">
        <v>1.0071106326450683</v>
      </c>
      <c r="K680">
        <v>1.0758839266841413</v>
      </c>
      <c r="L680">
        <v>0</v>
      </c>
      <c r="M680">
        <v>6.8813382288585782E-4</v>
      </c>
      <c r="N680">
        <v>6.8701769297499382E-2</v>
      </c>
      <c r="O680">
        <v>8.9207966551657115E-3</v>
      </c>
      <c r="P680">
        <v>1.2685227676338059E-2</v>
      </c>
      <c r="Q680">
        <v>2.9970914113775062E-3</v>
      </c>
      <c r="R680">
        <v>6.7633192248734201E-4</v>
      </c>
      <c r="S680">
        <v>8.6739087489541067E-2</v>
      </c>
      <c r="T680">
        <v>0.81577998122662376</v>
      </c>
      <c r="U680">
        <v>1.6999925779256575E-2</v>
      </c>
      <c r="V680">
        <v>1.041364813536317E-2</v>
      </c>
      <c r="W680">
        <v>4.1046388912084023E-2</v>
      </c>
      <c r="X680">
        <v>9.7710594610377361E-3</v>
      </c>
      <c r="Y680">
        <v>1.8407525402522166E-3</v>
      </c>
    </row>
    <row r="681" spans="1:25">
      <c r="A681" s="876"/>
      <c r="B681" s="1202">
        <v>431</v>
      </c>
      <c r="C681" s="880">
        <v>1.0106242963957204</v>
      </c>
      <c r="D681" s="880">
        <v>0.99387646561609455</v>
      </c>
      <c r="E681" s="880">
        <v>1.0097324732549857</v>
      </c>
      <c r="F681" s="880">
        <v>0.98999409779108627</v>
      </c>
      <c r="G681" s="880">
        <v>1.0083633822176723</v>
      </c>
      <c r="H681" s="880">
        <v>0.99388073528756948</v>
      </c>
      <c r="I681" s="880">
        <v>1.0212045870392596</v>
      </c>
      <c r="K681">
        <v>1.0738617658356175</v>
      </c>
      <c r="L681">
        <v>0</v>
      </c>
      <c r="M681">
        <v>6.6705086137317903E-4</v>
      </c>
      <c r="N681">
        <v>6.8504528312168619E-2</v>
      </c>
      <c r="O681">
        <v>8.723695738874937E-3</v>
      </c>
      <c r="P681">
        <v>1.2752499414602993E-2</v>
      </c>
      <c r="Q681">
        <v>2.9602240084635805E-3</v>
      </c>
      <c r="R681">
        <v>6.5571690163188556E-4</v>
      </c>
      <c r="S681">
        <v>8.6413707380720364E-2</v>
      </c>
      <c r="T681">
        <v>0.81505261432443898</v>
      </c>
      <c r="U681">
        <v>1.6732854064821414E-2</v>
      </c>
      <c r="V681">
        <v>1.0412112824442588E-2</v>
      </c>
      <c r="W681">
        <v>4.067737783498749E-2</v>
      </c>
      <c r="X681">
        <v>9.8588406426132393E-3</v>
      </c>
      <c r="Y681">
        <v>1.7846452492234629E-3</v>
      </c>
    </row>
    <row r="682" spans="1:25">
      <c r="A682" s="876"/>
      <c r="B682" s="1202">
        <v>432</v>
      </c>
      <c r="C682" s="880">
        <v>0.97719230415184966</v>
      </c>
      <c r="D682" s="880">
        <v>0.99890993996983346</v>
      </c>
      <c r="E682" s="880">
        <v>0.98954979949513688</v>
      </c>
      <c r="F682" s="880">
        <v>1.0318661053564493</v>
      </c>
      <c r="G682" s="880">
        <v>0.97910806417854845</v>
      </c>
      <c r="H682" s="880">
        <v>0.96210803078657603</v>
      </c>
      <c r="I682" s="880">
        <v>1.0265603658284943</v>
      </c>
      <c r="K682">
        <v>1.0761380871649697</v>
      </c>
      <c r="L682">
        <v>0</v>
      </c>
      <c r="M682">
        <v>6.9494191682321742E-4</v>
      </c>
      <c r="N682">
        <v>6.6986558742070948E-2</v>
      </c>
      <c r="O682">
        <v>8.9978728797128951E-3</v>
      </c>
      <c r="P682">
        <v>1.2618653675280225E-2</v>
      </c>
      <c r="Q682">
        <v>2.9930612367579886E-3</v>
      </c>
      <c r="R682">
        <v>6.827395800545527E-4</v>
      </c>
      <c r="S682">
        <v>8.8418900801086775E-2</v>
      </c>
      <c r="T682">
        <v>0.81668231367459987</v>
      </c>
      <c r="U682">
        <v>1.7305323419047874E-2</v>
      </c>
      <c r="V682">
        <v>1.041540376992181E-2</v>
      </c>
      <c r="W682">
        <v>4.0329276816003269E-2</v>
      </c>
      <c r="X682">
        <v>9.5447324153901253E-3</v>
      </c>
      <c r="Y682">
        <v>1.8581920718664154E-3</v>
      </c>
    </row>
    <row r="683" spans="1:25">
      <c r="A683" s="876"/>
      <c r="B683" s="1202">
        <v>433</v>
      </c>
      <c r="C683" s="880">
        <v>0.95567318888497632</v>
      </c>
      <c r="D683" s="880">
        <v>0.9690489236545814</v>
      </c>
      <c r="E683" s="880">
        <v>1.0256312022592458</v>
      </c>
      <c r="F683" s="880">
        <v>1.0171012373826323</v>
      </c>
      <c r="G683" s="880">
        <v>0.99425426392917204</v>
      </c>
      <c r="H683" s="880">
        <v>1.006851417791484</v>
      </c>
      <c r="I683" s="880">
        <v>0.96101098771790927</v>
      </c>
      <c r="K683">
        <v>1.087438167520669</v>
      </c>
      <c r="L683">
        <v>0</v>
      </c>
      <c r="M683">
        <v>7.0039916872629312E-4</v>
      </c>
      <c r="N683">
        <v>7.5590948450859313E-2</v>
      </c>
      <c r="O683">
        <v>9.3508312053683495E-3</v>
      </c>
      <c r="P683">
        <v>1.2914164098254658E-2</v>
      </c>
      <c r="Q683">
        <v>3.217511354961608E-3</v>
      </c>
      <c r="R683">
        <v>6.8867387068880621E-4</v>
      </c>
      <c r="S683">
        <v>8.7562954611289393E-2</v>
      </c>
      <c r="T683">
        <v>0.8137785922271743</v>
      </c>
      <c r="U683">
        <v>1.769499140776639E-2</v>
      </c>
      <c r="V683">
        <v>1.041764384809615E-2</v>
      </c>
      <c r="W683">
        <v>4.4405499653473839E-2</v>
      </c>
      <c r="X683">
        <v>1.0642412706728553E-2</v>
      </c>
      <c r="Y683">
        <v>1.874343254734471E-3</v>
      </c>
    </row>
    <row r="684" spans="1:25">
      <c r="A684" s="876"/>
      <c r="B684" s="1202">
        <v>434</v>
      </c>
      <c r="C684" s="880">
        <v>1.0388272101222729</v>
      </c>
      <c r="D684" s="880">
        <v>1.0364551832451114</v>
      </c>
      <c r="E684" s="880">
        <v>1.0113194165697541</v>
      </c>
      <c r="F684" s="880">
        <v>1.0071993352459521</v>
      </c>
      <c r="G684" s="880">
        <v>0.9690368388458287</v>
      </c>
      <c r="H684" s="880">
        <v>1.0322668844467389</v>
      </c>
      <c r="I684" s="880">
        <v>1.025861919804167</v>
      </c>
      <c r="K684">
        <v>1.0690582727957305</v>
      </c>
      <c r="L684">
        <v>0</v>
      </c>
      <c r="M684">
        <v>6.5694765936069154E-4</v>
      </c>
      <c r="N684">
        <v>6.7840732239448948E-2</v>
      </c>
      <c r="O684">
        <v>8.2993771089415087E-3</v>
      </c>
      <c r="P684">
        <v>1.2726738911364699E-2</v>
      </c>
      <c r="Q684">
        <v>2.8295041806641039E-3</v>
      </c>
      <c r="R684">
        <v>6.4616750648988119E-4</v>
      </c>
      <c r="S684">
        <v>8.4037782983874182E-2</v>
      </c>
      <c r="T684">
        <v>0.81492505998478637</v>
      </c>
      <c r="U684">
        <v>1.6278577131188132E-2</v>
      </c>
      <c r="V684">
        <v>1.0409501329853349E-2</v>
      </c>
      <c r="W684">
        <v>4.0239823283835734E-2</v>
      </c>
      <c r="X684">
        <v>9.7233008510389882E-3</v>
      </c>
      <c r="Y684">
        <v>1.7586549436041899E-3</v>
      </c>
    </row>
    <row r="685" spans="1:25">
      <c r="A685" s="876"/>
      <c r="B685" s="1202">
        <v>435</v>
      </c>
      <c r="C685" s="880">
        <v>1.0090342066297802</v>
      </c>
      <c r="D685" s="880">
        <v>0.97632581287409304</v>
      </c>
      <c r="E685" s="880">
        <v>1.0035524949338508</v>
      </c>
      <c r="F685" s="880">
        <v>1.0273854979404462</v>
      </c>
      <c r="G685" s="880">
        <v>0.98827892536914996</v>
      </c>
      <c r="H685" s="880">
        <v>0.99907051862577012</v>
      </c>
      <c r="I685" s="880">
        <v>1.0029120847318895</v>
      </c>
      <c r="K685">
        <v>1.0752608012071334</v>
      </c>
      <c r="L685">
        <v>0</v>
      </c>
      <c r="M685">
        <v>6.8688648016424197E-4</v>
      </c>
      <c r="N685">
        <v>6.9206712324690084E-2</v>
      </c>
      <c r="O685">
        <v>8.8209734947778708E-3</v>
      </c>
      <c r="P685">
        <v>1.2694878692895623E-2</v>
      </c>
      <c r="Q685">
        <v>2.9707830907467832E-3</v>
      </c>
      <c r="R685">
        <v>6.7529139528844126E-4</v>
      </c>
      <c r="S685">
        <v>8.5945215629793265E-2</v>
      </c>
      <c r="T685">
        <v>0.81555016142309977</v>
      </c>
      <c r="U685">
        <v>1.675922258615457E-2</v>
      </c>
      <c r="V685">
        <v>1.0412264408742124E-2</v>
      </c>
      <c r="W685">
        <v>4.1267661023392327E-2</v>
      </c>
      <c r="X685">
        <v>9.8066030494893298E-3</v>
      </c>
      <c r="Y685">
        <v>1.8379205682265082E-3</v>
      </c>
    </row>
    <row r="686" spans="1:25">
      <c r="A686" s="876"/>
      <c r="B686" s="1202">
        <v>436</v>
      </c>
      <c r="C686" s="880">
        <v>1.0361747095527811</v>
      </c>
      <c r="D686" s="880">
        <v>0.96113611348101446</v>
      </c>
      <c r="E686" s="880">
        <v>0.99735506128800666</v>
      </c>
      <c r="F686" s="880">
        <v>0.98170925172852008</v>
      </c>
      <c r="G686" s="880">
        <v>1.0021957459598265</v>
      </c>
      <c r="H686" s="880">
        <v>0.99441666103915627</v>
      </c>
      <c r="I686" s="880">
        <v>0.98618182256902043</v>
      </c>
      <c r="K686">
        <v>1.068553040823766</v>
      </c>
      <c r="L686">
        <v>0</v>
      </c>
      <c r="M686">
        <v>6.8019353538003474E-4</v>
      </c>
      <c r="N686">
        <v>6.721965542261632E-2</v>
      </c>
      <c r="O686">
        <v>8.6622747872410217E-3</v>
      </c>
      <c r="P686">
        <v>1.2594012730187275E-2</v>
      </c>
      <c r="Q686">
        <v>2.8957825540251417E-3</v>
      </c>
      <c r="R686">
        <v>6.6867115401697433E-4</v>
      </c>
      <c r="S686">
        <v>8.2783788463662106E-2</v>
      </c>
      <c r="T686">
        <v>0.8160504178586957</v>
      </c>
      <c r="U686">
        <v>1.6320248612563686E-2</v>
      </c>
      <c r="V686">
        <v>1.0409740886036085E-2</v>
      </c>
      <c r="W686">
        <v>4.0253067239766627E-2</v>
      </c>
      <c r="X686">
        <v>9.555672196488554E-3</v>
      </c>
      <c r="Y686">
        <v>1.8199024538475238E-3</v>
      </c>
    </row>
    <row r="687" spans="1:25">
      <c r="A687" s="876"/>
      <c r="B687" s="1202">
        <v>437</v>
      </c>
      <c r="C687" s="880">
        <v>0.98214917857008144</v>
      </c>
      <c r="D687" s="880">
        <v>0.97345862721913579</v>
      </c>
      <c r="E687" s="880">
        <v>1.0430840998210822</v>
      </c>
      <c r="F687" s="880">
        <v>0.97700381734045982</v>
      </c>
      <c r="G687" s="880">
        <v>1.0110925307737404</v>
      </c>
      <c r="H687" s="880">
        <v>1.0218503818597906</v>
      </c>
      <c r="I687" s="880">
        <v>1.015189052984256</v>
      </c>
      <c r="K687">
        <v>1.0881838051696271</v>
      </c>
      <c r="L687">
        <v>0</v>
      </c>
      <c r="M687">
        <v>6.6497039830503064E-4</v>
      </c>
      <c r="N687">
        <v>7.5779889509554138E-2</v>
      </c>
      <c r="O687">
        <v>9.0766948116606048E-3</v>
      </c>
      <c r="P687">
        <v>1.309163496188159E-2</v>
      </c>
      <c r="Q687">
        <v>3.1785050100460953E-3</v>
      </c>
      <c r="R687">
        <v>6.5399790608056195E-4</v>
      </c>
      <c r="S687">
        <v>9.0364168923777646E-2</v>
      </c>
      <c r="T687">
        <v>0.81238995976093331</v>
      </c>
      <c r="U687">
        <v>1.7217984024150684E-2</v>
      </c>
      <c r="V687">
        <v>1.0414901683330322E-2</v>
      </c>
      <c r="W687">
        <v>4.400042889174282E-2</v>
      </c>
      <c r="X687">
        <v>1.090064337477463E-2</v>
      </c>
      <c r="Y687">
        <v>1.7799667099994909E-3</v>
      </c>
    </row>
    <row r="688" spans="1:25">
      <c r="A688" s="876"/>
      <c r="B688" s="1202">
        <v>438</v>
      </c>
      <c r="C688" s="880">
        <v>0.9920859084838537</v>
      </c>
      <c r="D688" s="880">
        <v>0.98863382211709394</v>
      </c>
      <c r="E688" s="880">
        <v>0.99131053402857072</v>
      </c>
      <c r="F688" s="880">
        <v>0.99913903843955365</v>
      </c>
      <c r="G688" s="880">
        <v>1.0013219878518307</v>
      </c>
      <c r="H688" s="880">
        <v>1.0202707135525149</v>
      </c>
      <c r="I688" s="880">
        <v>0.99527843168268537</v>
      </c>
      <c r="K688">
        <v>1.0800546538580893</v>
      </c>
      <c r="L688">
        <v>0</v>
      </c>
      <c r="M688">
        <v>7.2719933481443582E-4</v>
      </c>
      <c r="N688">
        <v>7.0553919270675711E-2</v>
      </c>
      <c r="O688">
        <v>8.911829640076592E-3</v>
      </c>
      <c r="P688">
        <v>1.2610312456293619E-2</v>
      </c>
      <c r="Q688">
        <v>2.9674199749635459E-3</v>
      </c>
      <c r="R688">
        <v>7.1516766966890676E-4</v>
      </c>
      <c r="S688">
        <v>8.6972480698225094E-2</v>
      </c>
      <c r="T688">
        <v>0.8165395881623565</v>
      </c>
      <c r="U688">
        <v>1.7045528740344588E-2</v>
      </c>
      <c r="V688">
        <v>1.0413910292380889E-2</v>
      </c>
      <c r="W688">
        <v>4.2425520022077196E-2</v>
      </c>
      <c r="X688">
        <v>9.6797256239599064E-3</v>
      </c>
      <c r="Y688">
        <v>1.9464506418798181E-3</v>
      </c>
    </row>
    <row r="689" spans="1:25">
      <c r="A689" s="876"/>
      <c r="B689" s="1202">
        <v>439</v>
      </c>
      <c r="C689" s="880">
        <v>0.99114327950221937</v>
      </c>
      <c r="D689" s="880">
        <v>0.98780953323160892</v>
      </c>
      <c r="E689" s="880">
        <v>1.0234559898611075</v>
      </c>
      <c r="F689" s="880">
        <v>1.0394319781983135</v>
      </c>
      <c r="G689" s="880">
        <v>0.99108584690123058</v>
      </c>
      <c r="H689" s="880">
        <v>0.99668270499009981</v>
      </c>
      <c r="I689" s="880">
        <v>0.98517115692826818</v>
      </c>
      <c r="K689">
        <v>1.0768421563588713</v>
      </c>
      <c r="L689">
        <v>0</v>
      </c>
      <c r="M689">
        <v>6.6476403615483193E-4</v>
      </c>
      <c r="N689">
        <v>7.124787822903321E-2</v>
      </c>
      <c r="O689">
        <v>8.9242784287038249E-3</v>
      </c>
      <c r="P689">
        <v>1.2856676427519505E-2</v>
      </c>
      <c r="Q689">
        <v>3.068556044762456E-3</v>
      </c>
      <c r="R689">
        <v>6.5350576922375281E-4</v>
      </c>
      <c r="S689">
        <v>8.5363229823385012E-2</v>
      </c>
      <c r="T689">
        <v>0.8139523909617985</v>
      </c>
      <c r="U689">
        <v>1.7061739927697842E-2</v>
      </c>
      <c r="V689">
        <v>1.0414003485376007E-2</v>
      </c>
      <c r="W689">
        <v>4.191547063683413E-2</v>
      </c>
      <c r="X689">
        <v>1.0270563384982239E-2</v>
      </c>
      <c r="Y689">
        <v>1.7786272757081278E-3</v>
      </c>
    </row>
    <row r="690" spans="1:25">
      <c r="A690" s="876"/>
      <c r="B690" s="1202">
        <v>440</v>
      </c>
      <c r="C690" s="880">
        <v>1.0275859122762618</v>
      </c>
      <c r="D690" s="880">
        <v>0.98302474099146686</v>
      </c>
      <c r="E690" s="880">
        <v>0.99369304587816742</v>
      </c>
      <c r="F690" s="880">
        <v>0.999778021974561</v>
      </c>
      <c r="G690" s="880">
        <v>0.97378134848057463</v>
      </c>
      <c r="H690" s="880">
        <v>0.97209026173505653</v>
      </c>
      <c r="I690" s="880">
        <v>0.9758734004375319</v>
      </c>
      <c r="K690">
        <v>1.0636907965683202</v>
      </c>
      <c r="L690">
        <v>0</v>
      </c>
      <c r="M690">
        <v>6.6759898395515166E-4</v>
      </c>
      <c r="N690">
        <v>6.5199636294596325E-2</v>
      </c>
      <c r="O690">
        <v>8.6301336988184492E-3</v>
      </c>
      <c r="P690">
        <v>1.2539961410807652E-2</v>
      </c>
      <c r="Q690">
        <v>2.8793095729526927E-3</v>
      </c>
      <c r="R690">
        <v>6.5601083177976491E-4</v>
      </c>
      <c r="S690">
        <v>8.09139512250652E-2</v>
      </c>
      <c r="T690">
        <v>0.81634662866577068</v>
      </c>
      <c r="U690">
        <v>1.6456656970406228E-2</v>
      </c>
      <c r="V690">
        <v>1.04105250545951E-2</v>
      </c>
      <c r="W690">
        <v>3.9141682599031086E-2</v>
      </c>
      <c r="X690">
        <v>9.3984539982599098E-3</v>
      </c>
      <c r="Y690">
        <v>1.7854452301919437E-3</v>
      </c>
    </row>
    <row r="691" spans="1:25">
      <c r="A691" s="876"/>
      <c r="B691" s="1202">
        <v>441</v>
      </c>
      <c r="C691" s="880">
        <v>1.0153584195879652</v>
      </c>
      <c r="D691" s="880">
        <v>0.99172734426866271</v>
      </c>
      <c r="E691" s="880">
        <v>0.96741023641293356</v>
      </c>
      <c r="F691" s="880">
        <v>1.0175848569993764</v>
      </c>
      <c r="G691" s="880">
        <v>0.97755032046004853</v>
      </c>
      <c r="H691" s="880">
        <v>0.99054592845841793</v>
      </c>
      <c r="I691" s="880">
        <v>1.0028727246500053</v>
      </c>
      <c r="K691">
        <v>1.0698294050859156</v>
      </c>
      <c r="L691">
        <v>0</v>
      </c>
      <c r="M691">
        <v>7.2411623249440829E-4</v>
      </c>
      <c r="N691">
        <v>6.5179773330799357E-2</v>
      </c>
      <c r="O691">
        <v>8.6930574722623652E-3</v>
      </c>
      <c r="P691">
        <v>1.2369979873122333E-2</v>
      </c>
      <c r="Q691">
        <v>2.8257427468886781E-3</v>
      </c>
      <c r="R691">
        <v>7.1177321322979045E-4</v>
      </c>
      <c r="S691">
        <v>8.4439701146563809E-2</v>
      </c>
      <c r="T691">
        <v>0.81848590806247246</v>
      </c>
      <c r="U691">
        <v>1.6654836892783877E-2</v>
      </c>
      <c r="V691">
        <v>1.0411664328365483E-2</v>
      </c>
      <c r="W691">
        <v>3.9849662611419125E-2</v>
      </c>
      <c r="X691">
        <v>8.9942095900672082E-3</v>
      </c>
      <c r="Y691">
        <v>1.9372120504348078E-3</v>
      </c>
    </row>
    <row r="692" spans="1:25">
      <c r="A692" s="876"/>
      <c r="B692" s="1202">
        <v>442</v>
      </c>
      <c r="C692" s="880">
        <v>0.98797051404683423</v>
      </c>
      <c r="D692" s="880">
        <v>0.97812033839038959</v>
      </c>
      <c r="E692" s="880">
        <v>0.98831589206069381</v>
      </c>
      <c r="F692" s="880">
        <v>1.034898542826201</v>
      </c>
      <c r="G692" s="880">
        <v>1.0107851355540798</v>
      </c>
      <c r="H692" s="880">
        <v>0.98783475454953507</v>
      </c>
      <c r="I692" s="880">
        <v>0.99408315277971737</v>
      </c>
      <c r="K692">
        <v>1.0770399938335413</v>
      </c>
      <c r="L692">
        <v>0</v>
      </c>
      <c r="M692">
        <v>7.1554395449041153E-4</v>
      </c>
      <c r="N692">
        <v>6.874177635569638E-2</v>
      </c>
      <c r="O692">
        <v>9.0002007392291465E-3</v>
      </c>
      <c r="P692">
        <v>1.2579955076058007E-2</v>
      </c>
      <c r="Q692">
        <v>2.9853848072255011E-3</v>
      </c>
      <c r="R692">
        <v>7.0332606281654168E-4</v>
      </c>
      <c r="S692">
        <v>8.6516093097623661E-2</v>
      </c>
      <c r="T692">
        <v>0.81678239711595035</v>
      </c>
      <c r="U692">
        <v>1.7116531946570594E-2</v>
      </c>
      <c r="V692">
        <v>1.0414318467384186E-2</v>
      </c>
      <c r="W692">
        <v>4.1421234341124526E-2</v>
      </c>
      <c r="X692">
        <v>9.5800980867382663E-3</v>
      </c>
      <c r="Y692">
        <v>1.9142216916123304E-3</v>
      </c>
    </row>
    <row r="693" spans="1:25">
      <c r="A693" s="876"/>
      <c r="B693" s="1202">
        <v>443</v>
      </c>
      <c r="C693" s="880">
        <v>1.0150134356911495</v>
      </c>
      <c r="D693" s="880">
        <v>0.98862581966612917</v>
      </c>
      <c r="E693" s="880">
        <v>1.0267208477114271</v>
      </c>
      <c r="F693" s="880">
        <v>1.0281670679926302</v>
      </c>
      <c r="G693" s="880">
        <v>0.99536155533343662</v>
      </c>
      <c r="H693" s="880">
        <v>0.99283289112409601</v>
      </c>
      <c r="I693" s="880">
        <v>1.0289760431897605</v>
      </c>
      <c r="K693">
        <v>1.074447845861195</v>
      </c>
      <c r="L693">
        <v>0</v>
      </c>
      <c r="M693">
        <v>6.4189340068301296E-4</v>
      </c>
      <c r="N693">
        <v>6.9492982625658714E-2</v>
      </c>
      <c r="O693">
        <v>8.7105633278216944E-3</v>
      </c>
      <c r="P693">
        <v>1.2899318812447469E-2</v>
      </c>
      <c r="Q693">
        <v>3.0049675708817732E-3</v>
      </c>
      <c r="R693">
        <v>6.3097964621105802E-4</v>
      </c>
      <c r="S693">
        <v>8.6885832690521386E-2</v>
      </c>
      <c r="T693">
        <v>0.81369159061357421</v>
      </c>
      <c r="U693">
        <v>1.666049755729342E-2</v>
      </c>
      <c r="V693">
        <v>1.0411696869737619E-2</v>
      </c>
      <c r="W693">
        <v>4.0793405317633889E-2</v>
      </c>
      <c r="X693">
        <v>1.0190585635493075E-2</v>
      </c>
      <c r="Y693">
        <v>1.7173185946020284E-3</v>
      </c>
    </row>
    <row r="694" spans="1:25">
      <c r="A694" s="876"/>
      <c r="B694" s="1202">
        <v>444</v>
      </c>
      <c r="C694" s="880">
        <v>1.0100385295840966</v>
      </c>
      <c r="D694" s="880">
        <v>1.0263088831529119</v>
      </c>
      <c r="E694" s="880">
        <v>1.004294394066493</v>
      </c>
      <c r="F694" s="880">
        <v>0.99974365492851858</v>
      </c>
      <c r="G694" s="880">
        <v>0.976098472049718</v>
      </c>
      <c r="H694" s="880">
        <v>1.035928064800008</v>
      </c>
      <c r="I694" s="880">
        <v>1.0209952085962588</v>
      </c>
      <c r="K694">
        <v>1.0765986034639909</v>
      </c>
      <c r="L694">
        <v>0</v>
      </c>
      <c r="M694">
        <v>6.9178772618803659E-4</v>
      </c>
      <c r="N694">
        <v>6.989998255487484E-2</v>
      </c>
      <c r="O694">
        <v>8.580696512076701E-3</v>
      </c>
      <c r="P694">
        <v>1.2709465284821173E-2</v>
      </c>
      <c r="Q694">
        <v>2.9028125442496764E-3</v>
      </c>
      <c r="R694">
        <v>6.8048404597176261E-4</v>
      </c>
      <c r="S694">
        <v>8.6575012217260078E-2</v>
      </c>
      <c r="T694">
        <v>0.81549036286434362</v>
      </c>
      <c r="U694">
        <v>1.674255820014673E-2</v>
      </c>
      <c r="V694">
        <v>1.0412168610451094E-2</v>
      </c>
      <c r="W694">
        <v>4.1659959358577213E-2</v>
      </c>
      <c r="X694">
        <v>9.7848357457767741E-3</v>
      </c>
      <c r="Y694">
        <v>1.8520532516296711E-3</v>
      </c>
    </row>
    <row r="695" spans="1:25">
      <c r="A695" s="876"/>
      <c r="B695" s="1202">
        <v>445</v>
      </c>
      <c r="C695" s="880">
        <v>0.96969004540998316</v>
      </c>
      <c r="D695" s="880">
        <v>0.98431927404702713</v>
      </c>
      <c r="E695" s="880">
        <v>1.0010286225436831</v>
      </c>
      <c r="F695" s="880">
        <v>0.98868113354358866</v>
      </c>
      <c r="G695" s="880">
        <v>0.9964662050131331</v>
      </c>
      <c r="H695" s="880">
        <v>1.0128929445961596</v>
      </c>
      <c r="I695" s="880">
        <v>0.99199348055202574</v>
      </c>
      <c r="K695">
        <v>1.084933199660878</v>
      </c>
      <c r="L695">
        <v>0</v>
      </c>
      <c r="M695">
        <v>7.2534889859166051E-4</v>
      </c>
      <c r="N695">
        <v>7.2526712477706368E-2</v>
      </c>
      <c r="O695">
        <v>9.1389744863962872E-3</v>
      </c>
      <c r="P695">
        <v>1.2719526044866591E-2</v>
      </c>
      <c r="Q695">
        <v>3.0719792774840343E-3</v>
      </c>
      <c r="R695">
        <v>7.1326433996824683E-4</v>
      </c>
      <c r="S695">
        <v>8.8609205281176412E-2</v>
      </c>
      <c r="T695">
        <v>0.81575373070600632</v>
      </c>
      <c r="U695">
        <v>1.7439210545677587E-2</v>
      </c>
      <c r="V695">
        <v>1.0416173444719002E-2</v>
      </c>
      <c r="W695">
        <v>4.3321993128044273E-2</v>
      </c>
      <c r="X695">
        <v>1.0006508421557531E-2</v>
      </c>
      <c r="Y695">
        <v>1.9412704058670892E-3</v>
      </c>
    </row>
    <row r="696" spans="1:25">
      <c r="A696" s="876"/>
      <c r="B696" s="1202">
        <v>446</v>
      </c>
      <c r="C696" s="880">
        <v>0.97882069913167491</v>
      </c>
      <c r="D696" s="880">
        <v>0.9911195451184438</v>
      </c>
      <c r="E696" s="880">
        <v>0.98990769440472115</v>
      </c>
      <c r="F696" s="880">
        <v>0.97765775669959043</v>
      </c>
      <c r="G696" s="880">
        <v>0.99556934095475724</v>
      </c>
      <c r="H696" s="880">
        <v>1.0318916234898445</v>
      </c>
      <c r="I696" s="880">
        <v>1.0037945270065534</v>
      </c>
      <c r="K696">
        <v>1.0855254439552406</v>
      </c>
      <c r="L696">
        <v>0</v>
      </c>
      <c r="M696">
        <v>7.4665276308661602E-4</v>
      </c>
      <c r="N696">
        <v>7.213906923906746E-2</v>
      </c>
      <c r="O696">
        <v>9.0205055536369712E-3</v>
      </c>
      <c r="P696">
        <v>1.2632154419509881E-2</v>
      </c>
      <c r="Q696">
        <v>2.9999169823618269E-3</v>
      </c>
      <c r="R696">
        <v>7.344360969011852E-4</v>
      </c>
      <c r="S696">
        <v>8.9222213704368808E-2</v>
      </c>
      <c r="T696">
        <v>0.81665329412508159</v>
      </c>
      <c r="U696">
        <v>1.7276533772685888E-2</v>
      </c>
      <c r="V696">
        <v>1.0415238267339302E-2</v>
      </c>
      <c r="W696">
        <v>4.3420636146047714E-2</v>
      </c>
      <c r="X696">
        <v>9.7592054623544533E-3</v>
      </c>
      <c r="Y696">
        <v>1.9988929489707509E-3</v>
      </c>
    </row>
    <row r="697" spans="1:25">
      <c r="A697" s="876"/>
      <c r="B697" s="1202">
        <v>447</v>
      </c>
      <c r="C697" s="880">
        <v>0.99418455046808529</v>
      </c>
      <c r="D697" s="880">
        <v>1.0021557662851672</v>
      </c>
      <c r="E697" s="880">
        <v>0.9848796813471894</v>
      </c>
      <c r="F697" s="880">
        <v>1.0083408442142676</v>
      </c>
      <c r="G697" s="880">
        <v>0.99380646467923706</v>
      </c>
      <c r="H697" s="880">
        <v>1.0379988222591052</v>
      </c>
      <c r="I697" s="880">
        <v>1.0132619330637165</v>
      </c>
      <c r="K697">
        <v>1.0821036139905245</v>
      </c>
      <c r="L697">
        <v>0</v>
      </c>
      <c r="M697">
        <v>7.4292983261874579E-4</v>
      </c>
      <c r="N697">
        <v>7.0670215649828616E-2</v>
      </c>
      <c r="O697">
        <v>8.8287984335971605E-3</v>
      </c>
      <c r="P697">
        <v>1.2575130060319174E-2</v>
      </c>
      <c r="Q697">
        <v>2.9236766769068366E-3</v>
      </c>
      <c r="R697">
        <v>7.308357562915604E-4</v>
      </c>
      <c r="S697">
        <v>8.8405814856953618E-2</v>
      </c>
      <c r="T697">
        <v>0.81706138346937141</v>
      </c>
      <c r="U697">
        <v>1.7009547028255956E-2</v>
      </c>
      <c r="V697">
        <v>1.0413703444884416E-2</v>
      </c>
      <c r="W697">
        <v>4.2684424753148431E-2</v>
      </c>
      <c r="X697">
        <v>9.5539196849014855E-3</v>
      </c>
      <c r="Y697">
        <v>1.9890940086833143E-3</v>
      </c>
    </row>
    <row r="698" spans="1:25">
      <c r="A698" s="876"/>
      <c r="B698" s="1202">
        <v>448</v>
      </c>
      <c r="C698" s="880">
        <v>1.0412269496569242</v>
      </c>
      <c r="D698" s="880">
        <v>0.97521762533703449</v>
      </c>
      <c r="E698" s="880">
        <v>1.0115462681348466</v>
      </c>
      <c r="F698" s="880">
        <v>0.97424680397011276</v>
      </c>
      <c r="G698" s="880">
        <v>0.98973205068945858</v>
      </c>
      <c r="H698" s="880">
        <v>0.97228038164159292</v>
      </c>
      <c r="I698" s="880">
        <v>0.96666527361631127</v>
      </c>
      <c r="K698">
        <v>1.0613084647522026</v>
      </c>
      <c r="L698">
        <v>0</v>
      </c>
      <c r="M698">
        <v>6.3735924831382902E-4</v>
      </c>
      <c r="N698">
        <v>6.5801732188927362E-2</v>
      </c>
      <c r="O698">
        <v>8.5534367135112598E-3</v>
      </c>
      <c r="P698">
        <v>1.2664567603095533E-2</v>
      </c>
      <c r="Q698">
        <v>2.9035742854641353E-3</v>
      </c>
      <c r="R698">
        <v>6.2630469311415423E-4</v>
      </c>
      <c r="S698">
        <v>7.9422115120013265E-2</v>
      </c>
      <c r="T698">
        <v>0.81490683325500091</v>
      </c>
      <c r="U698">
        <v>1.6241059522637484E-2</v>
      </c>
      <c r="V698">
        <v>1.0409285652973266E-2</v>
      </c>
      <c r="W698">
        <v>3.9024377826896377E-2</v>
      </c>
      <c r="X698">
        <v>9.687942225512329E-3</v>
      </c>
      <c r="Y698">
        <v>1.7045949133701306E-3</v>
      </c>
    </row>
    <row r="699" spans="1:25">
      <c r="A699" s="876"/>
      <c r="B699" s="1202">
        <v>449</v>
      </c>
      <c r="C699" s="880">
        <v>1.0211930420055781</v>
      </c>
      <c r="D699" s="880">
        <v>1.0140094314981338</v>
      </c>
      <c r="E699" s="880">
        <v>0.97483486440592093</v>
      </c>
      <c r="F699" s="880">
        <v>0.99014862095014078</v>
      </c>
      <c r="G699" s="880">
        <v>1.0075129629479203</v>
      </c>
      <c r="H699" s="880">
        <v>0.98970322947483103</v>
      </c>
      <c r="I699" s="880">
        <v>1.0162088381374093</v>
      </c>
      <c r="K699">
        <v>1.067330959678644</v>
      </c>
      <c r="L699">
        <v>0</v>
      </c>
      <c r="M699">
        <v>6.9993585435757974E-4</v>
      </c>
      <c r="N699">
        <v>6.4475883566774903E-2</v>
      </c>
      <c r="O699">
        <v>8.5416068381491302E-3</v>
      </c>
      <c r="P699">
        <v>1.2426754858902401E-2</v>
      </c>
      <c r="Q699">
        <v>2.8022902671299482E-3</v>
      </c>
      <c r="R699">
        <v>6.8797537188257808E-4</v>
      </c>
      <c r="S699">
        <v>8.4108111735200511E-2</v>
      </c>
      <c r="T699">
        <v>0.81787921550118725</v>
      </c>
      <c r="U699">
        <v>1.6559678895520728E-2</v>
      </c>
      <c r="V699">
        <v>1.0411117295098828E-2</v>
      </c>
      <c r="W699">
        <v>3.9215491601069762E-2</v>
      </c>
      <c r="X699">
        <v>9.0503274308409883E-3</v>
      </c>
      <c r="Y699">
        <v>1.8724421712439882E-3</v>
      </c>
    </row>
    <row r="700" spans="1:25">
      <c r="A700" s="876"/>
      <c r="B700" s="1202">
        <v>450</v>
      </c>
      <c r="C700" s="880">
        <v>1.0225231410068785</v>
      </c>
      <c r="D700" s="880">
        <v>0.9720062951594366</v>
      </c>
      <c r="E700" s="880">
        <v>1.0075354348540895</v>
      </c>
      <c r="F700" s="880">
        <v>1.0133278324019233</v>
      </c>
      <c r="G700" s="880">
        <v>0.99198180571602879</v>
      </c>
      <c r="H700" s="880">
        <v>1.0030828302681818</v>
      </c>
      <c r="I700" s="880">
        <v>1.0174186545239108</v>
      </c>
      <c r="K700">
        <v>1.0746460850043087</v>
      </c>
      <c r="L700">
        <v>0</v>
      </c>
      <c r="M700">
        <v>6.7645592396993687E-4</v>
      </c>
      <c r="N700">
        <v>6.9010364421507528E-2</v>
      </c>
      <c r="O700">
        <v>8.7252673247009242E-3</v>
      </c>
      <c r="P700">
        <v>1.2730942294708305E-2</v>
      </c>
      <c r="Q700">
        <v>2.9493146470693549E-3</v>
      </c>
      <c r="R700">
        <v>6.6508633400820245E-4</v>
      </c>
      <c r="S700">
        <v>8.6373912506614997E-2</v>
      </c>
      <c r="T700">
        <v>0.81522934798486069</v>
      </c>
      <c r="U700">
        <v>1.6538138050646432E-2</v>
      </c>
      <c r="V700">
        <v>1.0410993463586203E-2</v>
      </c>
      <c r="W700">
        <v>4.1039016749552994E-2</v>
      </c>
      <c r="X700">
        <v>9.8400113955037487E-3</v>
      </c>
      <c r="Y700">
        <v>1.8101457555192446E-3</v>
      </c>
    </row>
    <row r="701" spans="1:25">
      <c r="A701" s="876"/>
      <c r="B701" s="1202">
        <v>451</v>
      </c>
      <c r="C701" s="880">
        <v>0.99634501631588968</v>
      </c>
      <c r="D701" s="880">
        <v>0.99714716433245743</v>
      </c>
      <c r="E701" s="880">
        <v>0.98485191785409054</v>
      </c>
      <c r="F701" s="880">
        <v>0.9627452764695178</v>
      </c>
      <c r="G701" s="880">
        <v>1.0054354553086426</v>
      </c>
      <c r="H701" s="880">
        <v>1.0344360672568156</v>
      </c>
      <c r="I701" s="880">
        <v>1.0261382755348609</v>
      </c>
      <c r="K701">
        <v>1.0827578079041162</v>
      </c>
      <c r="L701">
        <v>0</v>
      </c>
      <c r="M701">
        <v>7.4078955153279247E-4</v>
      </c>
      <c r="N701">
        <v>7.0456945659720369E-2</v>
      </c>
      <c r="O701">
        <v>8.8332245768326777E-3</v>
      </c>
      <c r="P701">
        <v>1.2588178050895519E-2</v>
      </c>
      <c r="Q701">
        <v>2.9239654900923423E-3</v>
      </c>
      <c r="R701">
        <v>7.2869323455089616E-4</v>
      </c>
      <c r="S701">
        <v>8.9427214726163357E-2</v>
      </c>
      <c r="T701">
        <v>0.81706363921978786</v>
      </c>
      <c r="U701">
        <v>1.6972663674759539E-2</v>
      </c>
      <c r="V701">
        <v>1.0413491414136306E-2</v>
      </c>
      <c r="W701">
        <v>4.255642788226266E-2</v>
      </c>
      <c r="X701">
        <v>9.5508907556588543E-3</v>
      </c>
      <c r="Y701">
        <v>1.9832627707873285E-3</v>
      </c>
    </row>
    <row r="702" spans="1:25">
      <c r="A702" s="876"/>
      <c r="B702" s="1202">
        <v>452</v>
      </c>
      <c r="C702" s="880">
        <v>0.96245892072811312</v>
      </c>
      <c r="D702" s="880">
        <v>1.0257281425661617</v>
      </c>
      <c r="E702" s="880">
        <v>0.96671057107450009</v>
      </c>
      <c r="F702" s="880">
        <v>0.97619484730552852</v>
      </c>
      <c r="G702" s="880">
        <v>1.0017854076811732</v>
      </c>
      <c r="H702" s="880">
        <v>0.9755527231565515</v>
      </c>
      <c r="I702" s="880">
        <v>0.99979032103887844</v>
      </c>
      <c r="K702">
        <v>1.0758553731030691</v>
      </c>
      <c r="L702">
        <v>0</v>
      </c>
      <c r="M702">
        <v>7.4007528725934259E-4</v>
      </c>
      <c r="N702">
        <v>6.6450485644349591E-2</v>
      </c>
      <c r="O702">
        <v>9.0075990518101983E-3</v>
      </c>
      <c r="P702">
        <v>1.2407489983475342E-2</v>
      </c>
      <c r="Q702">
        <v>2.9332391585083881E-3</v>
      </c>
      <c r="R702">
        <v>7.2723472868155964E-4</v>
      </c>
      <c r="S702">
        <v>8.6780639264624287E-2</v>
      </c>
      <c r="T702">
        <v>0.81854317610220195</v>
      </c>
      <c r="U702">
        <v>1.7570234429495693E-2</v>
      </c>
      <c r="V702">
        <v>1.0416926659637737E-2</v>
      </c>
      <c r="W702">
        <v>4.0646460761760851E-2</v>
      </c>
      <c r="X702">
        <v>9.1326694071757909E-3</v>
      </c>
      <c r="Y702">
        <v>1.9792931986073251E-3</v>
      </c>
    </row>
    <row r="703" spans="1:25">
      <c r="A703" s="876"/>
      <c r="B703" s="1202">
        <v>453</v>
      </c>
      <c r="C703" s="880">
        <v>0.99741982788875461</v>
      </c>
      <c r="D703" s="880">
        <v>1.0058136004687008</v>
      </c>
      <c r="E703" s="880">
        <v>0.99366517007985289</v>
      </c>
      <c r="F703" s="880">
        <v>0.96043739081204205</v>
      </c>
      <c r="G703" s="880">
        <v>0.96298674882854141</v>
      </c>
      <c r="H703" s="880">
        <v>1.0151857752844682</v>
      </c>
      <c r="I703" s="880">
        <v>1.0160296141804706</v>
      </c>
      <c r="K703">
        <v>1.0779464687862619</v>
      </c>
      <c r="L703">
        <v>0</v>
      </c>
      <c r="M703">
        <v>7.0961418534251663E-4</v>
      </c>
      <c r="N703">
        <v>6.9346933968371521E-2</v>
      </c>
      <c r="O703">
        <v>8.7830864797913411E-3</v>
      </c>
      <c r="P703">
        <v>1.263423977014437E-2</v>
      </c>
      <c r="Q703">
        <v>2.9352899410525178E-3</v>
      </c>
      <c r="R703">
        <v>6.9779970792396048E-4</v>
      </c>
      <c r="S703">
        <v>8.7371120263240995E-2</v>
      </c>
      <c r="T703">
        <v>0.81634888521154636</v>
      </c>
      <c r="U703">
        <v>1.6954374069089069E-2</v>
      </c>
      <c r="V703">
        <v>1.0413386272970823E-2</v>
      </c>
      <c r="W703">
        <v>4.1632251889048233E-2</v>
      </c>
      <c r="X703">
        <v>9.6395346230675003E-3</v>
      </c>
      <c r="Y703">
        <v>1.899180775357125E-3</v>
      </c>
    </row>
    <row r="704" spans="1:25">
      <c r="A704" s="876"/>
      <c r="B704" s="1202">
        <v>454</v>
      </c>
      <c r="C704" s="880">
        <v>1.0039443077576193</v>
      </c>
      <c r="D704" s="880">
        <v>1.0050623810349073</v>
      </c>
      <c r="E704" s="880">
        <v>1.0041640239361889</v>
      </c>
      <c r="F704" s="880">
        <v>0.97435144810052121</v>
      </c>
      <c r="G704" s="880">
        <v>0.99063584272876204</v>
      </c>
      <c r="H704" s="880">
        <v>1.0128591014272923</v>
      </c>
      <c r="I704" s="880">
        <v>0.97771249596863896</v>
      </c>
      <c r="K704">
        <v>1.0731208653522701</v>
      </c>
      <c r="L704">
        <v>0</v>
      </c>
      <c r="M704">
        <v>6.8828157329882378E-4</v>
      </c>
      <c r="N704">
        <v>6.9493018561117281E-2</v>
      </c>
      <c r="O704">
        <v>8.729482183660724E-3</v>
      </c>
      <c r="P704">
        <v>1.2667404468786775E-2</v>
      </c>
      <c r="Q704">
        <v>2.9481808753635133E-3</v>
      </c>
      <c r="R704">
        <v>6.7679657093028538E-4</v>
      </c>
      <c r="S704">
        <v>8.3480020021663395E-2</v>
      </c>
      <c r="T704">
        <v>0.81550086960301715</v>
      </c>
      <c r="U704">
        <v>1.6844190195891919E-2</v>
      </c>
      <c r="V704">
        <v>1.0412752860689966E-2</v>
      </c>
      <c r="W704">
        <v>4.1421095221919751E-2</v>
      </c>
      <c r="X704">
        <v>9.7933192023849282E-3</v>
      </c>
      <c r="Y704">
        <v>1.8420171601425906E-3</v>
      </c>
    </row>
    <row r="705" spans="1:25">
      <c r="A705" s="876"/>
      <c r="B705" s="1202">
        <v>455</v>
      </c>
      <c r="C705" s="880">
        <v>1.0097895830077042</v>
      </c>
      <c r="D705" s="880">
        <v>0.96161758982033996</v>
      </c>
      <c r="E705" s="880">
        <v>0.98219806167533585</v>
      </c>
      <c r="F705" s="880">
        <v>0.98352062153523678</v>
      </c>
      <c r="G705" s="880">
        <v>0.97795379946108962</v>
      </c>
      <c r="H705" s="880">
        <v>1.0131762487130005</v>
      </c>
      <c r="I705" s="880">
        <v>1.015191604561239</v>
      </c>
      <c r="K705">
        <v>1.0794160870490752</v>
      </c>
      <c r="L705">
        <v>0</v>
      </c>
      <c r="M705">
        <v>7.3396520127315238E-4</v>
      </c>
      <c r="N705">
        <v>6.9212222083026423E-2</v>
      </c>
      <c r="O705">
        <v>8.8862317077747551E-3</v>
      </c>
      <c r="P705">
        <v>1.2545014736299999E-2</v>
      </c>
      <c r="Q705">
        <v>2.9255924562454636E-3</v>
      </c>
      <c r="R705">
        <v>7.2176168872470727E-4</v>
      </c>
      <c r="S705">
        <v>8.8112323703403134E-2</v>
      </c>
      <c r="T705">
        <v>0.81727938234148401</v>
      </c>
      <c r="U705">
        <v>1.6746685795255779E-2</v>
      </c>
      <c r="V705">
        <v>1.041219233869151E-2</v>
      </c>
      <c r="W705">
        <v>4.1881470144612326E-2</v>
      </c>
      <c r="X705">
        <v>9.4627778667981353E-3</v>
      </c>
      <c r="Y705">
        <v>1.9643973880319097E-3</v>
      </c>
    </row>
    <row r="706" spans="1:25">
      <c r="A706" s="876"/>
      <c r="B706" s="1202">
        <v>456</v>
      </c>
      <c r="C706" s="880">
        <v>1.0304670024426181</v>
      </c>
      <c r="D706" s="880">
        <v>0.99532624515798163</v>
      </c>
      <c r="E706" s="880">
        <v>1.016258271107332</v>
      </c>
      <c r="F706" s="880">
        <v>0.99179916000404567</v>
      </c>
      <c r="G706" s="880">
        <v>0.99678287649437225</v>
      </c>
      <c r="H706" s="880">
        <v>1.0220987220494415</v>
      </c>
      <c r="I706" s="880">
        <v>0.99811057039381035</v>
      </c>
      <c r="K706">
        <v>1.0716737254986428</v>
      </c>
      <c r="L706">
        <v>0</v>
      </c>
      <c r="M706">
        <v>6.630646132020409E-4</v>
      </c>
      <c r="N706">
        <v>6.9523458885006884E-2</v>
      </c>
      <c r="O706">
        <v>8.5490606249572984E-3</v>
      </c>
      <c r="P706">
        <v>1.276561733754674E-2</v>
      </c>
      <c r="Q706">
        <v>2.9202381831012311E-3</v>
      </c>
      <c r="R706">
        <v>6.521082457864862E-4</v>
      </c>
      <c r="S706">
        <v>8.3752674484571452E-2</v>
      </c>
      <c r="T706">
        <v>0.81452863656706265</v>
      </c>
      <c r="U706">
        <v>1.6410645683818552E-2</v>
      </c>
      <c r="V706">
        <v>1.041026055024308E-2</v>
      </c>
      <c r="W706">
        <v>4.1100140204994848E-2</v>
      </c>
      <c r="X706">
        <v>9.9491256671496407E-3</v>
      </c>
      <c r="Y706">
        <v>1.7748236776053655E-3</v>
      </c>
    </row>
    <row r="707" spans="1:25">
      <c r="A707" s="876"/>
      <c r="B707" s="1202">
        <v>457</v>
      </c>
      <c r="C707" s="880">
        <v>0.97628464707253848</v>
      </c>
      <c r="D707" s="880">
        <v>1.0233962160795615</v>
      </c>
      <c r="E707" s="880">
        <v>1.0272242072801201</v>
      </c>
      <c r="F707" s="880">
        <v>1.0196520855251796</v>
      </c>
      <c r="G707" s="880">
        <v>0.99631642363721351</v>
      </c>
      <c r="H707" s="880">
        <v>0.97627921928044792</v>
      </c>
      <c r="I707" s="880">
        <v>0.99424632852900885</v>
      </c>
      <c r="K707">
        <v>1.0741174365907873</v>
      </c>
      <c r="L707">
        <v>0</v>
      </c>
      <c r="M707">
        <v>6.4359385892006358E-4</v>
      </c>
      <c r="N707">
        <v>6.9762482492474368E-2</v>
      </c>
      <c r="O707">
        <v>8.8907968871953236E-3</v>
      </c>
      <c r="P707">
        <v>1.2889271149795142E-2</v>
      </c>
      <c r="Q707">
        <v>3.0765866279363939E-3</v>
      </c>
      <c r="R707">
        <v>6.3243744072155605E-4</v>
      </c>
      <c r="S707">
        <v>8.5199595443651369E-2</v>
      </c>
      <c r="T707">
        <v>0.81365141407117136</v>
      </c>
      <c r="U707">
        <v>1.7321412271165102E-2</v>
      </c>
      <c r="V707">
        <v>1.0415496259650296E-2</v>
      </c>
      <c r="W707">
        <v>4.0937765703653164E-2</v>
      </c>
      <c r="X707">
        <v>1.0262485871596227E-2</v>
      </c>
      <c r="Y707">
        <v>1.7212862306977723E-3</v>
      </c>
    </row>
    <row r="708" spans="1:25">
      <c r="A708" s="876"/>
      <c r="B708" s="1202">
        <v>458</v>
      </c>
      <c r="C708" s="880">
        <v>1.0030974761853364</v>
      </c>
      <c r="D708" s="880">
        <v>1.0421870040658032</v>
      </c>
      <c r="E708" s="880">
        <v>0.9756324629035521</v>
      </c>
      <c r="F708" s="880">
        <v>0.98077320789545575</v>
      </c>
      <c r="G708" s="880">
        <v>1.0164533779946845</v>
      </c>
      <c r="H708" s="880">
        <v>0.99096163540096316</v>
      </c>
      <c r="I708" s="880">
        <v>0.98662048363985821</v>
      </c>
      <c r="K708">
        <v>1.0661123731004578</v>
      </c>
      <c r="L708">
        <v>0</v>
      </c>
      <c r="M708">
        <v>7.0199151287946167E-4</v>
      </c>
      <c r="N708">
        <v>6.4825391319012979E-2</v>
      </c>
      <c r="O708">
        <v>8.5698478226234991E-3</v>
      </c>
      <c r="P708">
        <v>1.2409933202100236E-2</v>
      </c>
      <c r="Q708">
        <v>2.8195394624012018E-3</v>
      </c>
      <c r="R708">
        <v>6.8998728831028144E-4</v>
      </c>
      <c r="S708">
        <v>8.2052148851352966E-2</v>
      </c>
      <c r="T708">
        <v>0.81781415165459659</v>
      </c>
      <c r="U708">
        <v>1.6858410341397283E-2</v>
      </c>
      <c r="V708">
        <v>1.0412834607814451E-2</v>
      </c>
      <c r="W708">
        <v>3.9406180623988145E-2</v>
      </c>
      <c r="X708">
        <v>9.0780214952063312E-3</v>
      </c>
      <c r="Y708">
        <v>1.8779179445321237E-3</v>
      </c>
    </row>
    <row r="709" spans="1:25">
      <c r="A709" s="876"/>
      <c r="B709" s="1202">
        <v>459</v>
      </c>
      <c r="C709" s="880">
        <v>1.0393382325395393</v>
      </c>
      <c r="D709" s="880">
        <v>1.0090744607298507</v>
      </c>
      <c r="E709" s="880">
        <v>1.0416622181964632</v>
      </c>
      <c r="F709" s="880">
        <v>0.99506728591657168</v>
      </c>
      <c r="G709" s="880">
        <v>1.0081433128953179</v>
      </c>
      <c r="H709" s="880">
        <v>0.9818415172319388</v>
      </c>
      <c r="I709" s="880">
        <v>1.0305392110040899</v>
      </c>
      <c r="K709">
        <v>1.0655768212546846</v>
      </c>
      <c r="L709">
        <v>0</v>
      </c>
      <c r="M709">
        <v>5.9412293491674091E-4</v>
      </c>
      <c r="N709">
        <v>6.7359008169194615E-2</v>
      </c>
      <c r="O709">
        <v>8.4143226845918764E-3</v>
      </c>
      <c r="P709">
        <v>1.2973103092541082E-2</v>
      </c>
      <c r="Q709">
        <v>2.9503805462974281E-3</v>
      </c>
      <c r="R709">
        <v>5.8389293653700162E-4</v>
      </c>
      <c r="S709">
        <v>8.37312916262236E-2</v>
      </c>
      <c r="T709">
        <v>0.81250270175274486</v>
      </c>
      <c r="U709">
        <v>1.6270573271063658E-2</v>
      </c>
      <c r="V709">
        <v>1.0409455318189825E-2</v>
      </c>
      <c r="W709">
        <v>3.9147939527542044E-2</v>
      </c>
      <c r="X709">
        <v>1.0239111171676311E-2</v>
      </c>
      <c r="Y709">
        <v>1.5891640929989199E-3</v>
      </c>
    </row>
    <row r="710" spans="1:25">
      <c r="A710" s="876"/>
      <c r="B710" s="1202">
        <v>460</v>
      </c>
      <c r="C710" s="880">
        <v>1.0351627183209875</v>
      </c>
      <c r="D710" s="880">
        <v>1.0246607318809502</v>
      </c>
      <c r="E710" s="880">
        <v>1.0244530382909278</v>
      </c>
      <c r="F710" s="880">
        <v>0.99948390657675323</v>
      </c>
      <c r="G710" s="880">
        <v>1.0013298995252595</v>
      </c>
      <c r="H710" s="880">
        <v>1.0018501127353909</v>
      </c>
      <c r="I710" s="880">
        <v>1.0089764530886123</v>
      </c>
      <c r="K710">
        <v>1.0655741919905219</v>
      </c>
      <c r="L710">
        <v>0</v>
      </c>
      <c r="M710">
        <v>6.2613535613087251E-4</v>
      </c>
      <c r="N710">
        <v>6.7318744641594236E-2</v>
      </c>
      <c r="O710">
        <v>8.3795980659998152E-3</v>
      </c>
      <c r="P710">
        <v>1.2813263225370177E-2</v>
      </c>
      <c r="Q710">
        <v>2.8920025580098027E-3</v>
      </c>
      <c r="R710">
        <v>6.1555765260760292E-4</v>
      </c>
      <c r="S710">
        <v>8.2373779161559121E-2</v>
      </c>
      <c r="T710">
        <v>0.8138727070923133</v>
      </c>
      <c r="U710">
        <v>1.6336203542358138E-2</v>
      </c>
      <c r="V710">
        <v>1.0409832605887466E-2</v>
      </c>
      <c r="W710">
        <v>3.9577379318425351E-2</v>
      </c>
      <c r="X710">
        <v>9.9359144706540597E-3</v>
      </c>
      <c r="Y710">
        <v>1.675345011872249E-3</v>
      </c>
    </row>
    <row r="711" spans="1:25">
      <c r="A711" s="876"/>
      <c r="B711" s="1202">
        <v>461</v>
      </c>
      <c r="C711" s="880">
        <v>1.010554619835581</v>
      </c>
      <c r="D711" s="880">
        <v>0.98502813005669887</v>
      </c>
      <c r="E711" s="880">
        <v>0.99204194064260975</v>
      </c>
      <c r="F711" s="880">
        <v>0.98934775277038767</v>
      </c>
      <c r="G711" s="880">
        <v>1.0228560249992358</v>
      </c>
      <c r="H711" s="880">
        <v>0.98918383258080667</v>
      </c>
      <c r="I711" s="880">
        <v>0.98927055460842517</v>
      </c>
      <c r="K711">
        <v>1.0709049656216199</v>
      </c>
      <c r="L711">
        <v>0</v>
      </c>
      <c r="M711">
        <v>6.9243935226453578E-4</v>
      </c>
      <c r="N711">
        <v>6.7299309923844031E-2</v>
      </c>
      <c r="O711">
        <v>8.7660439062236181E-3</v>
      </c>
      <c r="P711">
        <v>1.2570864473559158E-2</v>
      </c>
      <c r="Q711">
        <v>2.9202319382984907E-3</v>
      </c>
      <c r="R711">
        <v>6.8062594365195933E-4</v>
      </c>
      <c r="S711">
        <v>8.3925655713759317E-2</v>
      </c>
      <c r="T711">
        <v>0.81648033109838025</v>
      </c>
      <c r="U711">
        <v>1.6734007775555736E-2</v>
      </c>
      <c r="V711">
        <v>1.0412119456761142E-2</v>
      </c>
      <c r="W711">
        <v>4.0448090767826989E-2</v>
      </c>
      <c r="X711">
        <v>9.5076845256846457E-3</v>
      </c>
      <c r="Y711">
        <v>1.8524394503386086E-3</v>
      </c>
    </row>
    <row r="712" spans="1:25">
      <c r="A712" s="876"/>
      <c r="B712" s="1202">
        <v>462</v>
      </c>
      <c r="C712" s="880">
        <v>0.98285564243192591</v>
      </c>
      <c r="D712" s="880">
        <v>0.99886287392803097</v>
      </c>
      <c r="E712" s="880">
        <v>0.98896816616366268</v>
      </c>
      <c r="F712" s="880">
        <v>0.96540616438456439</v>
      </c>
      <c r="G712" s="880">
        <v>1.0347324162937028</v>
      </c>
      <c r="H712" s="880">
        <v>1.0150080978136904</v>
      </c>
      <c r="I712" s="880">
        <v>0.99742422792802821</v>
      </c>
      <c r="K712">
        <v>1.080409887594963</v>
      </c>
      <c r="L712">
        <v>0</v>
      </c>
      <c r="M712">
        <v>7.2983793666330638E-4</v>
      </c>
      <c r="N712">
        <v>7.0288370603557623E-2</v>
      </c>
      <c r="O712">
        <v>8.9462508117375411E-3</v>
      </c>
      <c r="P712">
        <v>1.2597755787328425E-2</v>
      </c>
      <c r="Q712">
        <v>2.9741294342051257E-3</v>
      </c>
      <c r="R712">
        <v>7.1769080434241526E-4</v>
      </c>
      <c r="S712">
        <v>8.7336950222364151E-2</v>
      </c>
      <c r="T712">
        <v>0.81672948409337898</v>
      </c>
      <c r="U712">
        <v>1.720560796101207E-2</v>
      </c>
      <c r="V712">
        <v>1.0414830537252839E-2</v>
      </c>
      <c r="W712">
        <v>4.2334105225884981E-2</v>
      </c>
      <c r="X712">
        <v>9.6412322678518236E-3</v>
      </c>
      <c r="Y712">
        <v>1.9533177827099867E-3</v>
      </c>
    </row>
    <row r="713" spans="1:25">
      <c r="A713" s="876"/>
      <c r="B713" s="1202">
        <v>463</v>
      </c>
      <c r="C713" s="880">
        <v>0.96787162777573876</v>
      </c>
      <c r="D713" s="880">
        <v>1.0339945685710206</v>
      </c>
      <c r="E713" s="880">
        <v>0.98469541990936549</v>
      </c>
      <c r="F713" s="880">
        <v>0.97158108348041872</v>
      </c>
      <c r="G713" s="880">
        <v>0.99180131786378167</v>
      </c>
      <c r="H713" s="880">
        <v>0.97440579530961335</v>
      </c>
      <c r="I713" s="880">
        <v>1.0041658411501826</v>
      </c>
      <c r="K713">
        <v>1.0743519233551204</v>
      </c>
      <c r="L713">
        <v>0</v>
      </c>
      <c r="M713">
        <v>7.0484572665149554E-4</v>
      </c>
      <c r="N713">
        <v>6.6933983119349311E-2</v>
      </c>
      <c r="O713">
        <v>8.9190730849867065E-3</v>
      </c>
      <c r="P713">
        <v>1.2551261901891127E-2</v>
      </c>
      <c r="Q713">
        <v>2.9598730638404239E-3</v>
      </c>
      <c r="R713">
        <v>6.925948916148947E-4</v>
      </c>
      <c r="S713">
        <v>8.6286748417523804E-2</v>
      </c>
      <c r="T713">
        <v>0.8170763549778931</v>
      </c>
      <c r="U713">
        <v>1.7471974981656015E-2</v>
      </c>
      <c r="V713">
        <v>1.0416361797111452E-2</v>
      </c>
      <c r="W713">
        <v>4.0432912660393776E-2</v>
      </c>
      <c r="X713">
        <v>9.4306152043787932E-3</v>
      </c>
      <c r="Y713">
        <v>1.8850149811310839E-3</v>
      </c>
    </row>
    <row r="714" spans="1:25">
      <c r="A714" s="876"/>
      <c r="B714" s="1202">
        <v>464</v>
      </c>
      <c r="C714" s="880">
        <v>0.99152847401109334</v>
      </c>
      <c r="D714" s="880">
        <v>0.97922622312931795</v>
      </c>
      <c r="E714" s="880">
        <v>0.9856170986390439</v>
      </c>
      <c r="F714" s="880">
        <v>0.99397034503586112</v>
      </c>
      <c r="G714" s="880">
        <v>1.007183806724621</v>
      </c>
      <c r="H714" s="880">
        <v>1.0107387356138859</v>
      </c>
      <c r="I714" s="880">
        <v>1.0243371058378572</v>
      </c>
      <c r="K714">
        <v>1.0822222218709308</v>
      </c>
      <c r="L714">
        <v>0</v>
      </c>
      <c r="M714">
        <v>7.3321507434388213E-4</v>
      </c>
      <c r="N714">
        <v>6.9877307303967823E-2</v>
      </c>
      <c r="O714">
        <v>8.9624913769025798E-3</v>
      </c>
      <c r="P714">
        <v>1.2598552221369193E-2</v>
      </c>
      <c r="Q714">
        <v>2.9650169741565822E-3</v>
      </c>
      <c r="R714">
        <v>7.2097812666495613E-4</v>
      </c>
      <c r="S714">
        <v>8.9634659163980945E-2</v>
      </c>
      <c r="T714">
        <v>0.8170014787579889</v>
      </c>
      <c r="U714">
        <v>1.7055111687859816E-2</v>
      </c>
      <c r="V714">
        <v>1.0413965381718996E-2</v>
      </c>
      <c r="W714">
        <v>4.2184001298938081E-2</v>
      </c>
      <c r="X714">
        <v>9.5796098613187414E-3</v>
      </c>
      <c r="Y714">
        <v>1.9622647904064313E-3</v>
      </c>
    </row>
    <row r="715" spans="1:25">
      <c r="A715" s="876"/>
      <c r="B715" s="1202">
        <v>465</v>
      </c>
      <c r="C715" s="880">
        <v>1.0343332959441529</v>
      </c>
      <c r="D715" s="880">
        <v>0.97257207064419227</v>
      </c>
      <c r="E715" s="880">
        <v>1.0087725350274035</v>
      </c>
      <c r="F715" s="880">
        <v>0.98559806665493321</v>
      </c>
      <c r="G715" s="880">
        <v>0.99786021666458069</v>
      </c>
      <c r="H715" s="880">
        <v>1.0094757635340872</v>
      </c>
      <c r="I715" s="880">
        <v>1.0229351404626159</v>
      </c>
      <c r="K715">
        <v>1.0733868948986822</v>
      </c>
      <c r="L715">
        <v>0</v>
      </c>
      <c r="M715">
        <v>6.7103252934907706E-4</v>
      </c>
      <c r="N715">
        <v>6.8728295006561885E-2</v>
      </c>
      <c r="O715">
        <v>8.6229576751980595E-3</v>
      </c>
      <c r="P715">
        <v>1.2734270118673332E-2</v>
      </c>
      <c r="Q715">
        <v>2.9184707535956046E-3</v>
      </c>
      <c r="R715">
        <v>6.5982503429970875E-4</v>
      </c>
      <c r="S715">
        <v>8.6055126501047768E-2</v>
      </c>
      <c r="T715">
        <v>0.81512981324933087</v>
      </c>
      <c r="U715">
        <v>1.6349303394043953E-2</v>
      </c>
      <c r="V715">
        <v>1.040990791279669E-2</v>
      </c>
      <c r="W715">
        <v>4.083689015254359E-2</v>
      </c>
      <c r="X715">
        <v>9.8172413978385702E-3</v>
      </c>
      <c r="Y715">
        <v>1.7958262320997074E-3</v>
      </c>
    </row>
    <row r="716" spans="1:25">
      <c r="A716" s="876"/>
      <c r="B716" s="1202">
        <v>466</v>
      </c>
      <c r="C716" s="880">
        <v>0.99629677739652489</v>
      </c>
      <c r="D716" s="880">
        <v>0.9935425138235604</v>
      </c>
      <c r="E716" s="880">
        <v>1.0256248093867226</v>
      </c>
      <c r="F716" s="880">
        <v>1.00670341174971</v>
      </c>
      <c r="G716" s="880">
        <v>1.0277778907956596</v>
      </c>
      <c r="H716" s="880">
        <v>0.9933197689979909</v>
      </c>
      <c r="I716" s="880">
        <v>0.99098490805561612</v>
      </c>
      <c r="K716">
        <v>1.0750132648884074</v>
      </c>
      <c r="L716">
        <v>0</v>
      </c>
      <c r="M716">
        <v>6.5406082445338873E-4</v>
      </c>
      <c r="N716">
        <v>7.056983150103846E-2</v>
      </c>
      <c r="O716">
        <v>8.850736216639522E-3</v>
      </c>
      <c r="P716">
        <v>1.2869161468896743E-2</v>
      </c>
      <c r="Q716">
        <v>3.0511452137760367E-3</v>
      </c>
      <c r="R716">
        <v>6.4294157941040308E-4</v>
      </c>
      <c r="S716">
        <v>8.5056688015125267E-2</v>
      </c>
      <c r="T716">
        <v>0.81377910277901133</v>
      </c>
      <c r="U716">
        <v>1.6973485460971216E-2</v>
      </c>
      <c r="V716">
        <v>1.0413496138325635E-2</v>
      </c>
      <c r="W716">
        <v>4.1456049406028359E-2</v>
      </c>
      <c r="X716">
        <v>1.0254812900116645E-2</v>
      </c>
      <c r="Y716">
        <v>1.7498750335204261E-3</v>
      </c>
    </row>
    <row r="717" spans="1:25">
      <c r="A717" s="876"/>
      <c r="B717" s="1202">
        <v>467</v>
      </c>
      <c r="C717" s="880">
        <v>1.019852899978092</v>
      </c>
      <c r="D717" s="880">
        <v>0.97752122521734852</v>
      </c>
      <c r="E717" s="880">
        <v>0.98065653460165314</v>
      </c>
      <c r="F717" s="880">
        <v>0.99659475924424401</v>
      </c>
      <c r="G717" s="880">
        <v>0.99842369102441697</v>
      </c>
      <c r="H717" s="880">
        <v>0.96773464322835201</v>
      </c>
      <c r="I717" s="880">
        <v>1.0262351629909932</v>
      </c>
      <c r="K717">
        <v>1.0692951814184346</v>
      </c>
      <c r="L717">
        <v>0</v>
      </c>
      <c r="M717">
        <v>6.9031106092957571E-4</v>
      </c>
      <c r="N717">
        <v>6.4730972274266788E-2</v>
      </c>
      <c r="O717">
        <v>8.721694036801439E-3</v>
      </c>
      <c r="P717">
        <v>1.2498907856064391E-2</v>
      </c>
      <c r="Q717">
        <v>2.870492120726612E-3</v>
      </c>
      <c r="R717">
        <v>6.7827974670603148E-4</v>
      </c>
      <c r="S717">
        <v>8.5816692131454653E-2</v>
      </c>
      <c r="T717">
        <v>0.81740480902565482</v>
      </c>
      <c r="U717">
        <v>1.6581439211787938E-2</v>
      </c>
      <c r="V717">
        <v>1.0411242388283146E-2</v>
      </c>
      <c r="W717">
        <v>3.9211669540044868E-2</v>
      </c>
      <c r="X717">
        <v>9.2132402718976443E-3</v>
      </c>
      <c r="Y717">
        <v>1.8460538756754083E-3</v>
      </c>
    </row>
    <row r="718" spans="1:25">
      <c r="A718" s="876"/>
      <c r="B718" s="1202">
        <v>468</v>
      </c>
      <c r="C718" s="880">
        <v>1.0173367891741605</v>
      </c>
      <c r="D718" s="880">
        <v>0.9906198657774159</v>
      </c>
      <c r="E718" s="880">
        <v>0.97200058195028227</v>
      </c>
      <c r="F718" s="880">
        <v>0.97498743849471647</v>
      </c>
      <c r="G718" s="880">
        <v>0.99381726617027244</v>
      </c>
      <c r="H718" s="880">
        <v>1.0169473721819418</v>
      </c>
      <c r="I718" s="880">
        <v>0.99057287857900922</v>
      </c>
      <c r="K718">
        <v>1.0724778601731695</v>
      </c>
      <c r="L718">
        <v>0</v>
      </c>
      <c r="M718">
        <v>7.3530397128208609E-4</v>
      </c>
      <c r="N718">
        <v>6.7171291177245185E-2</v>
      </c>
      <c r="O718">
        <v>8.6813279977917043E-3</v>
      </c>
      <c r="P718">
        <v>1.2405158826999873E-2</v>
      </c>
      <c r="Q718">
        <v>2.8349653904619545E-3</v>
      </c>
      <c r="R718">
        <v>7.2309664914574085E-4</v>
      </c>
      <c r="S718">
        <v>8.4212016640493062E-2</v>
      </c>
      <c r="T718">
        <v>0.81811059509326656</v>
      </c>
      <c r="U718">
        <v>1.6622448972556932E-2</v>
      </c>
      <c r="V718">
        <v>1.041147814044318E-2</v>
      </c>
      <c r="W718">
        <v>4.0935692028606335E-2</v>
      </c>
      <c r="X718">
        <v>9.1370625172110895E-3</v>
      </c>
      <c r="Y718">
        <v>1.9680307102283787E-3</v>
      </c>
    </row>
    <row r="719" spans="1:25">
      <c r="A719" s="876"/>
      <c r="B719" s="1202">
        <v>469</v>
      </c>
      <c r="C719" s="880">
        <v>0.98307988699930504</v>
      </c>
      <c r="D719" s="880">
        <v>1.0327659320136189</v>
      </c>
      <c r="E719" s="880">
        <v>1.0086665957402461</v>
      </c>
      <c r="F719" s="880">
        <v>1.0110518748815767</v>
      </c>
      <c r="G719" s="880">
        <v>0.95788771395269223</v>
      </c>
      <c r="H719" s="880">
        <v>0.99772909467423598</v>
      </c>
      <c r="I719" s="880">
        <v>0.99180021243828409</v>
      </c>
      <c r="K719">
        <v>1.0740360958958159</v>
      </c>
      <c r="L719">
        <v>0</v>
      </c>
      <c r="M719">
        <v>6.7601624471093651E-4</v>
      </c>
      <c r="N719">
        <v>6.9196840350355546E-2</v>
      </c>
      <c r="O719">
        <v>8.7866467535688188E-3</v>
      </c>
      <c r="P719">
        <v>1.2727679029525967E-2</v>
      </c>
      <c r="Q719">
        <v>2.986911399051155E-3</v>
      </c>
      <c r="R719">
        <v>6.6454214560577641E-4</v>
      </c>
      <c r="S719">
        <v>8.4782267551307133E-2</v>
      </c>
      <c r="T719">
        <v>0.8151383348847101</v>
      </c>
      <c r="U719">
        <v>1.7201683291038897E-2</v>
      </c>
      <c r="V719">
        <v>1.0414807975564917E-2</v>
      </c>
      <c r="W719">
        <v>4.1118252226711186E-2</v>
      </c>
      <c r="X719">
        <v>9.885481879008548E-3</v>
      </c>
      <c r="Y719">
        <v>1.8086646540794997E-3</v>
      </c>
    </row>
    <row r="720" spans="1:25">
      <c r="A720" s="876"/>
      <c r="B720" s="1202">
        <v>470</v>
      </c>
      <c r="C720" s="880">
        <v>0.99145790091100416</v>
      </c>
      <c r="D720" s="880">
        <v>1.0091945186833076</v>
      </c>
      <c r="E720" s="880">
        <v>1.0080081841013393</v>
      </c>
      <c r="F720" s="880">
        <v>0.99698444628392846</v>
      </c>
      <c r="G720" s="880">
        <v>1.0028303732215678</v>
      </c>
      <c r="H720" s="880">
        <v>1.0295836846474637</v>
      </c>
      <c r="I720" s="880">
        <v>0.96485791539011834</v>
      </c>
      <c r="K720">
        <v>1.0771304230448542</v>
      </c>
      <c r="L720">
        <v>0</v>
      </c>
      <c r="M720">
        <v>7.0120924391957416E-4</v>
      </c>
      <c r="N720">
        <v>7.1669081756551331E-2</v>
      </c>
      <c r="O720">
        <v>8.8201152295742085E-3</v>
      </c>
      <c r="P720">
        <v>1.2707098271916569E-2</v>
      </c>
      <c r="Q720">
        <v>2.9911974831433917E-3</v>
      </c>
      <c r="R720">
        <v>6.8969513325337929E-4</v>
      </c>
      <c r="S720">
        <v>8.3828849828180535E-2</v>
      </c>
      <c r="T720">
        <v>0.81519130532850559</v>
      </c>
      <c r="U720">
        <v>1.7056325690091311E-2</v>
      </c>
      <c r="V720">
        <v>1.0413972360634309E-2</v>
      </c>
      <c r="W720">
        <v>4.2606390428713364E-2</v>
      </c>
      <c r="X720">
        <v>9.9804779834335236E-3</v>
      </c>
      <c r="Y720">
        <v>1.8771227947761253E-3</v>
      </c>
    </row>
    <row r="721" spans="1:25">
      <c r="A721" s="876"/>
      <c r="B721" s="1202">
        <v>471</v>
      </c>
      <c r="C721" s="880">
        <v>1.0421333889678017</v>
      </c>
      <c r="D721" s="880">
        <v>1.0130164723487565</v>
      </c>
      <c r="E721" s="880">
        <v>1.0188425802686152</v>
      </c>
      <c r="F721" s="880">
        <v>1.021298683472704</v>
      </c>
      <c r="G721" s="880">
        <v>1.0445405016040656</v>
      </c>
      <c r="H721" s="880">
        <v>0.99984871720683077</v>
      </c>
      <c r="I721" s="880">
        <v>1.0240082860975108</v>
      </c>
      <c r="K721">
        <v>1.0660976111116354</v>
      </c>
      <c r="L721">
        <v>0</v>
      </c>
      <c r="M721">
        <v>6.3193051053201256E-4</v>
      </c>
      <c r="N721">
        <v>6.6766716651508309E-2</v>
      </c>
      <c r="O721">
        <v>8.3743425650614264E-3</v>
      </c>
      <c r="P721">
        <v>1.2780218630592404E-2</v>
      </c>
      <c r="Q721">
        <v>2.8716951060883678E-3</v>
      </c>
      <c r="R721">
        <v>6.2124243745131794E-4</v>
      </c>
      <c r="S721">
        <v>8.3445086773348165E-2</v>
      </c>
      <c r="T721">
        <v>0.81432153490475123</v>
      </c>
      <c r="U721">
        <v>1.6226933178584573E-2</v>
      </c>
      <c r="V721">
        <v>1.0409204445083716E-2</v>
      </c>
      <c r="W721">
        <v>3.9401551615991147E-2</v>
      </c>
      <c r="X721">
        <v>9.8201981914772234E-3</v>
      </c>
      <c r="Y721">
        <v>1.6908171222280209E-3</v>
      </c>
    </row>
    <row r="722" spans="1:25">
      <c r="A722" s="876"/>
      <c r="B722" s="1202">
        <v>472</v>
      </c>
      <c r="C722" s="880">
        <v>0.97489428696685965</v>
      </c>
      <c r="D722" s="880">
        <v>1.0301700155595734</v>
      </c>
      <c r="E722" s="880">
        <v>1.0133754619836961</v>
      </c>
      <c r="F722" s="880">
        <v>1.0031607280050563</v>
      </c>
      <c r="G722" s="880">
        <v>1.0069804133799032</v>
      </c>
      <c r="H722" s="880">
        <v>0.96163111595010509</v>
      </c>
      <c r="I722" s="880">
        <v>1.0336756291963296</v>
      </c>
      <c r="K722">
        <v>1.0744409560398238</v>
      </c>
      <c r="L722">
        <v>0</v>
      </c>
      <c r="M722">
        <v>6.5140347993604191E-4</v>
      </c>
      <c r="N722">
        <v>6.7617045417613611E-2</v>
      </c>
      <c r="O722">
        <v>8.8722873154099702E-3</v>
      </c>
      <c r="P722">
        <v>1.2811403847540448E-2</v>
      </c>
      <c r="Q722">
        <v>3.0296842420686203E-3</v>
      </c>
      <c r="R722">
        <v>6.3993419124877093E-4</v>
      </c>
      <c r="S722">
        <v>8.7868169697971385E-2</v>
      </c>
      <c r="T722">
        <v>0.81475992795724606</v>
      </c>
      <c r="U722">
        <v>1.7346115463006316E-2</v>
      </c>
      <c r="V722">
        <v>1.0415638270496668E-2</v>
      </c>
      <c r="W722">
        <v>4.0051241722964391E-2</v>
      </c>
      <c r="X722">
        <v>9.9392214798641257E-3</v>
      </c>
      <c r="Y722">
        <v>1.7416899143297047E-3</v>
      </c>
    </row>
    <row r="723" spans="1:25">
      <c r="A723" s="876"/>
      <c r="B723" s="1202">
        <v>473</v>
      </c>
      <c r="C723" s="880">
        <v>0.99829303189258667</v>
      </c>
      <c r="D723" s="880">
        <v>0.98642860911863051</v>
      </c>
      <c r="E723" s="880">
        <v>0.96014606684192394</v>
      </c>
      <c r="F723" s="880">
        <v>1.0090820797267424</v>
      </c>
      <c r="G723" s="880">
        <v>0.99604059588349658</v>
      </c>
      <c r="H723" s="880">
        <v>1.0042890503283872</v>
      </c>
      <c r="I723" s="880">
        <v>1.0088362030563267</v>
      </c>
      <c r="K723">
        <v>1.0766929510509127</v>
      </c>
      <c r="L723">
        <v>0</v>
      </c>
      <c r="M723">
        <v>7.6032354723603484E-4</v>
      </c>
      <c r="N723">
        <v>6.692181057154642E-2</v>
      </c>
      <c r="O723">
        <v>8.8669835315973323E-3</v>
      </c>
      <c r="P723">
        <v>1.2348041956447743E-2</v>
      </c>
      <c r="Q723">
        <v>2.8597344593555285E-3</v>
      </c>
      <c r="R723">
        <v>7.4754575572481613E-4</v>
      </c>
      <c r="S723">
        <v>8.7125125158816777E-2</v>
      </c>
      <c r="T723">
        <v>0.81908128842793004</v>
      </c>
      <c r="U723">
        <v>1.6939544127532187E-2</v>
      </c>
      <c r="V723">
        <v>1.0413301020321458E-2</v>
      </c>
      <c r="W723">
        <v>4.1123843379779985E-2</v>
      </c>
      <c r="X723">
        <v>8.9914830904058718E-3</v>
      </c>
      <c r="Y723">
        <v>2.0345731186908037E-3</v>
      </c>
    </row>
    <row r="724" spans="1:25">
      <c r="A724" s="876"/>
      <c r="B724" s="1202">
        <v>474</v>
      </c>
      <c r="C724" s="880">
        <v>0.97549314106577589</v>
      </c>
      <c r="D724" s="880">
        <v>1.0075409223920153</v>
      </c>
      <c r="E724" s="880">
        <v>0.99045337920672871</v>
      </c>
      <c r="F724" s="880">
        <v>1.0061694857042465</v>
      </c>
      <c r="G724" s="880">
        <v>0.99646458353979572</v>
      </c>
      <c r="H724" s="880">
        <v>0.99318667442456676</v>
      </c>
      <c r="I724" s="880">
        <v>1.0136999986647441</v>
      </c>
      <c r="K724">
        <v>1.0793210912213242</v>
      </c>
      <c r="L724">
        <v>0</v>
      </c>
      <c r="M724">
        <v>7.1400144109954515E-4</v>
      </c>
      <c r="N724">
        <v>6.9055470815838391E-2</v>
      </c>
      <c r="O724">
        <v>8.972300329507547E-3</v>
      </c>
      <c r="P724">
        <v>1.2624243039878318E-2</v>
      </c>
      <c r="Q724">
        <v>2.9891993446147882E-3</v>
      </c>
      <c r="R724">
        <v>7.0184908417461286E-4</v>
      </c>
      <c r="S724">
        <v>8.8239944944853307E-2</v>
      </c>
      <c r="T724">
        <v>0.81660905618027291</v>
      </c>
      <c r="U724">
        <v>1.7335466703001793E-2</v>
      </c>
      <c r="V724">
        <v>1.0415577054139275E-2</v>
      </c>
      <c r="W724">
        <v>4.1548989309022191E-2</v>
      </c>
      <c r="X724">
        <v>9.6327940144843114E-3</v>
      </c>
      <c r="Y724">
        <v>1.9102018426348788E-3</v>
      </c>
    </row>
    <row r="725" spans="1:25">
      <c r="A725" s="876"/>
      <c r="B725" s="1202">
        <v>475</v>
      </c>
      <c r="C725" s="880">
        <v>1.0155670845308273</v>
      </c>
      <c r="D725" s="880">
        <v>1.0225840685263041</v>
      </c>
      <c r="E725" s="880">
        <v>0.96055156128145625</v>
      </c>
      <c r="F725" s="880">
        <v>0.99516717331559645</v>
      </c>
      <c r="G725" s="880">
        <v>1.0035450903844823</v>
      </c>
      <c r="H725" s="880">
        <v>0.9640305054746624</v>
      </c>
      <c r="I725" s="880">
        <v>0.97454414508189147</v>
      </c>
      <c r="K725">
        <v>1.0601289719005955</v>
      </c>
      <c r="L725">
        <v>0</v>
      </c>
      <c r="M725">
        <v>7.032305892001031E-4</v>
      </c>
      <c r="N725">
        <v>6.1927839208177064E-2</v>
      </c>
      <c r="O725">
        <v>8.5505095599009949E-3</v>
      </c>
      <c r="P725">
        <v>1.2251905177637036E-2</v>
      </c>
      <c r="Q725">
        <v>2.7662297737333671E-3</v>
      </c>
      <c r="R725">
        <v>6.9088622155692779E-4</v>
      </c>
      <c r="S725">
        <v>7.9897377853772739E-2</v>
      </c>
      <c r="T725">
        <v>0.81904800675749667</v>
      </c>
      <c r="U725">
        <v>1.6651414882912215E-2</v>
      </c>
      <c r="V725">
        <v>1.0411644656311728E-2</v>
      </c>
      <c r="W725">
        <v>3.8044163716592971E-2</v>
      </c>
      <c r="X725">
        <v>8.7118601372069403E-3</v>
      </c>
      <c r="Y725">
        <v>1.8803645444962313E-3</v>
      </c>
    </row>
    <row r="726" spans="1:25">
      <c r="A726" s="876"/>
      <c r="B726" s="1202">
        <v>476</v>
      </c>
      <c r="C726" s="880">
        <v>1.0204641266301884</v>
      </c>
      <c r="D726" s="880">
        <v>1.0384550684728111</v>
      </c>
      <c r="E726" s="880">
        <v>0.97745170534465875</v>
      </c>
      <c r="F726" s="880">
        <v>0.99542479272773809</v>
      </c>
      <c r="G726" s="880">
        <v>1.0064746748737909</v>
      </c>
      <c r="H726" s="880">
        <v>0.9715604569911428</v>
      </c>
      <c r="I726" s="880">
        <v>0.98717264790536663</v>
      </c>
      <c r="K726">
        <v>1.0599771746542199</v>
      </c>
      <c r="L726">
        <v>0</v>
      </c>
      <c r="M726">
        <v>6.7524014584109714E-4</v>
      </c>
      <c r="N726">
        <v>6.2688078148029694E-2</v>
      </c>
      <c r="O726">
        <v>8.4400727348924436E-3</v>
      </c>
      <c r="P726">
        <v>1.2396278655738547E-2</v>
      </c>
      <c r="Q726">
        <v>2.7812591727400162E-3</v>
      </c>
      <c r="R726">
        <v>6.6346584663607799E-4</v>
      </c>
      <c r="S726">
        <v>8.0186807503811908E-2</v>
      </c>
      <c r="T726">
        <v>0.81766582798211473</v>
      </c>
      <c r="U726">
        <v>1.6571507439262188E-2</v>
      </c>
      <c r="V726">
        <v>1.0411185293660251E-2</v>
      </c>
      <c r="W726">
        <v>3.8058755704933167E-2</v>
      </c>
      <c r="X726">
        <v>8.9834409951565688E-3</v>
      </c>
      <c r="Y726">
        <v>1.8057353230858406E-3</v>
      </c>
    </row>
    <row r="727" spans="1:25">
      <c r="A727" s="876"/>
      <c r="B727" s="1202">
        <v>477</v>
      </c>
      <c r="C727" s="880">
        <v>0.98654234186087519</v>
      </c>
      <c r="D727" s="880">
        <v>0.98050079483788344</v>
      </c>
      <c r="E727" s="880">
        <v>0.97505132145038076</v>
      </c>
      <c r="F727" s="880">
        <v>0.99302324990198787</v>
      </c>
      <c r="G727" s="880">
        <v>0.99129684588105083</v>
      </c>
      <c r="H727" s="880">
        <v>0.99302848300246394</v>
      </c>
      <c r="I727" s="880">
        <v>1.0178015197663917</v>
      </c>
      <c r="K727">
        <v>1.0796319941925081</v>
      </c>
      <c r="L727">
        <v>0</v>
      </c>
      <c r="M727">
        <v>7.3973493872696837E-4</v>
      </c>
      <c r="N727">
        <v>6.8194923874643973E-2</v>
      </c>
      <c r="O727">
        <v>9.0015308703183181E-3</v>
      </c>
      <c r="P727">
        <v>1.2499178360088077E-2</v>
      </c>
      <c r="Q727">
        <v>2.946417793538084E-3</v>
      </c>
      <c r="R727">
        <v>7.2716778574216981E-4</v>
      </c>
      <c r="S727">
        <v>8.8794601475580215E-2</v>
      </c>
      <c r="T727">
        <v>0.81786155596033039</v>
      </c>
      <c r="U727">
        <v>1.7141310766301744E-2</v>
      </c>
      <c r="V727">
        <v>1.0414460912991365E-2</v>
      </c>
      <c r="W727">
        <v>4.1471233034969628E-2</v>
      </c>
      <c r="X727">
        <v>9.3402372947379506E-3</v>
      </c>
      <c r="Y727">
        <v>1.9791110019940399E-3</v>
      </c>
    </row>
    <row r="728" spans="1:25">
      <c r="A728" s="876"/>
      <c r="B728" s="1202">
        <v>478</v>
      </c>
      <c r="C728" s="880">
        <v>1.0418633764916683</v>
      </c>
      <c r="D728" s="880">
        <v>1.0307774199188968</v>
      </c>
      <c r="E728" s="880">
        <v>1.0116807452779888</v>
      </c>
      <c r="F728" s="880">
        <v>1.0065006612110203</v>
      </c>
      <c r="G728" s="880">
        <v>0.98195625036420109</v>
      </c>
      <c r="H728" s="880">
        <v>1.0047335891329949</v>
      </c>
      <c r="I728" s="880">
        <v>1.0266071037969655</v>
      </c>
      <c r="K728">
        <v>1.0650342908456687</v>
      </c>
      <c r="L728">
        <v>0</v>
      </c>
      <c r="M728">
        <v>6.3893458628817281E-4</v>
      </c>
      <c r="N728">
        <v>6.6024984631439521E-2</v>
      </c>
      <c r="O728">
        <v>8.2993910512258687E-3</v>
      </c>
      <c r="P728">
        <v>1.2716562402545503E-2</v>
      </c>
      <c r="Q728">
        <v>2.8293857194997209E-3</v>
      </c>
      <c r="R728">
        <v>6.2816698545923916E-4</v>
      </c>
      <c r="S728">
        <v>8.3128328520186007E-2</v>
      </c>
      <c r="T728">
        <v>0.81489602931409899</v>
      </c>
      <c r="U728">
        <v>1.6231138599858062E-2</v>
      </c>
      <c r="V728">
        <v>1.0409228620722145E-2</v>
      </c>
      <c r="W728">
        <v>3.9153206142524814E-2</v>
      </c>
      <c r="X728">
        <v>9.6471399851679757E-3</v>
      </c>
      <c r="Y728">
        <v>1.709663459228945E-3</v>
      </c>
    </row>
    <row r="729" spans="1:25">
      <c r="A729" s="876"/>
      <c r="B729" s="1202">
        <v>479</v>
      </c>
      <c r="C729" s="880">
        <v>1.0046321775692113</v>
      </c>
      <c r="D729" s="880">
        <v>0.9979619303427999</v>
      </c>
      <c r="E729" s="880">
        <v>0.98276735069090582</v>
      </c>
      <c r="F729" s="880">
        <v>1.0114935298650742</v>
      </c>
      <c r="G729" s="880">
        <v>0.97364287180624687</v>
      </c>
      <c r="H729" s="880">
        <v>0.99943886457550202</v>
      </c>
      <c r="I729" s="880">
        <v>0.97678914953214335</v>
      </c>
      <c r="K729">
        <v>1.0710325120200301</v>
      </c>
      <c r="L729">
        <v>0</v>
      </c>
      <c r="M729">
        <v>7.1262827216160628E-4</v>
      </c>
      <c r="N729">
        <v>6.7300629011995544E-2</v>
      </c>
      <c r="O729">
        <v>8.756544080354917E-3</v>
      </c>
      <c r="P729">
        <v>1.2484417434870356E-2</v>
      </c>
      <c r="Q729">
        <v>2.8926375312969695E-3</v>
      </c>
      <c r="R729">
        <v>7.00583603602969E-4</v>
      </c>
      <c r="S729">
        <v>8.3171946959043369E-2</v>
      </c>
      <c r="T729">
        <v>0.8172330823544508</v>
      </c>
      <c r="U729">
        <v>1.6832657009721742E-2</v>
      </c>
      <c r="V729">
        <v>1.0412686560045915E-2</v>
      </c>
      <c r="W729">
        <v>4.0708677211728037E-2</v>
      </c>
      <c r="X729">
        <v>9.344520913394775E-3</v>
      </c>
      <c r="Y729">
        <v>1.9067576216844225E-3</v>
      </c>
    </row>
    <row r="730" spans="1:25">
      <c r="A730" s="876"/>
      <c r="B730" s="1202">
        <v>480</v>
      </c>
      <c r="C730" s="880">
        <v>0.99686989685512184</v>
      </c>
      <c r="D730" s="880">
        <v>1.0172326618842495</v>
      </c>
      <c r="E730" s="880">
        <v>1.0247858105726775</v>
      </c>
      <c r="F730" s="880">
        <v>0.96202793017708521</v>
      </c>
      <c r="G730" s="880">
        <v>1.0190009755001261</v>
      </c>
      <c r="H730" s="880">
        <v>1.0195439553265622</v>
      </c>
      <c r="I730" s="880">
        <v>0.97963667396440002</v>
      </c>
      <c r="K730">
        <v>1.0752583189693496</v>
      </c>
      <c r="L730">
        <v>0</v>
      </c>
      <c r="M730">
        <v>6.6376418638857933E-4</v>
      </c>
      <c r="N730">
        <v>7.1460125904981409E-2</v>
      </c>
      <c r="O730">
        <v>8.7352436627117953E-3</v>
      </c>
      <c r="P730">
        <v>1.2846935172127221E-2</v>
      </c>
      <c r="Q730">
        <v>3.014115712671156E-3</v>
      </c>
      <c r="R730">
        <v>6.5275123212741974E-4</v>
      </c>
      <c r="S730">
        <v>8.396757774943496E-2</v>
      </c>
      <c r="T730">
        <v>0.81384611956014341</v>
      </c>
      <c r="U730">
        <v>1.696372708143885E-2</v>
      </c>
      <c r="V730">
        <v>1.0413440040484286E-2</v>
      </c>
      <c r="W730">
        <v>4.2002737294143298E-2</v>
      </c>
      <c r="X730">
        <v>1.0242736071008895E-2</v>
      </c>
      <c r="Y730">
        <v>1.776573674464996E-3</v>
      </c>
    </row>
    <row r="731" spans="1:25">
      <c r="A731" s="876"/>
      <c r="B731" s="1202">
        <v>481</v>
      </c>
      <c r="C731" s="880">
        <v>1.0174394368044404</v>
      </c>
      <c r="D731" s="880">
        <v>0.9741540880140005</v>
      </c>
      <c r="E731" s="880">
        <v>0.98919303278294002</v>
      </c>
      <c r="F731" s="880">
        <v>0.96936265599252913</v>
      </c>
      <c r="G731" s="880">
        <v>0.98562926324864486</v>
      </c>
      <c r="H731" s="880">
        <v>0.97843229829681466</v>
      </c>
      <c r="I731" s="880">
        <v>1.0153038866151649</v>
      </c>
      <c r="K731">
        <v>1.0711070406828522</v>
      </c>
      <c r="L731">
        <v>0</v>
      </c>
      <c r="M731">
        <v>6.8842770193099936E-4</v>
      </c>
      <c r="N731">
        <v>6.6306894651159562E-2</v>
      </c>
      <c r="O731">
        <v>8.7585216172788513E-3</v>
      </c>
      <c r="P731">
        <v>1.2568678548254688E-2</v>
      </c>
      <c r="Q731">
        <v>2.9069064147592928E-3</v>
      </c>
      <c r="R731">
        <v>6.7656343591640847E-4</v>
      </c>
      <c r="S731">
        <v>8.5637699845932058E-2</v>
      </c>
      <c r="T731">
        <v>0.81671124606777679</v>
      </c>
      <c r="U731">
        <v>1.6620771963651259E-2</v>
      </c>
      <c r="V731">
        <v>1.0411468499848727E-2</v>
      </c>
      <c r="W731">
        <v>3.9929903829641622E-2</v>
      </c>
      <c r="X731">
        <v>9.4254308670756234E-3</v>
      </c>
      <c r="Y731">
        <v>1.8413826434877543E-3</v>
      </c>
    </row>
    <row r="732" spans="1:25">
      <c r="A732" s="876"/>
      <c r="B732" s="1202">
        <v>482</v>
      </c>
      <c r="C732" s="880">
        <v>0.96625384297276196</v>
      </c>
      <c r="D732" s="880">
        <v>1.0085873667956244</v>
      </c>
      <c r="E732" s="880">
        <v>1.0011643732971929</v>
      </c>
      <c r="F732" s="880">
        <v>1.0368985728428202</v>
      </c>
      <c r="G732" s="880">
        <v>0.9823540240541131</v>
      </c>
      <c r="H732" s="880">
        <v>0.98712991206115053</v>
      </c>
      <c r="I732" s="880">
        <v>0.98409673322281088</v>
      </c>
      <c r="K732">
        <v>1.0782051877142051</v>
      </c>
      <c r="L732">
        <v>0</v>
      </c>
      <c r="M732">
        <v>7.0007731248158608E-4</v>
      </c>
      <c r="N732">
        <v>6.9996257493092406E-2</v>
      </c>
      <c r="O732">
        <v>9.0530841967902988E-3</v>
      </c>
      <c r="P732">
        <v>1.2688853025015366E-2</v>
      </c>
      <c r="Q732">
        <v>3.0490734367208563E-3</v>
      </c>
      <c r="R732">
        <v>6.8808792510738066E-4</v>
      </c>
      <c r="S732">
        <v>8.6217955909473093E-2</v>
      </c>
      <c r="T732">
        <v>0.81574277587765642</v>
      </c>
      <c r="U732">
        <v>1.7501228056103144E-2</v>
      </c>
      <c r="V732">
        <v>1.0416529963795643E-2</v>
      </c>
      <c r="W732">
        <v>4.1806609524038911E-2</v>
      </c>
      <c r="X732">
        <v>9.8720611148740162E-3</v>
      </c>
      <c r="Y732">
        <v>1.8727485040187404E-3</v>
      </c>
    </row>
    <row r="733" spans="1:25">
      <c r="A733" s="876"/>
      <c r="B733" s="1202">
        <v>483</v>
      </c>
      <c r="C733" s="880">
        <v>1.0002114081459323</v>
      </c>
      <c r="D733" s="880">
        <v>1.0021989134516989</v>
      </c>
      <c r="E733" s="880">
        <v>0.99316315051107762</v>
      </c>
      <c r="F733" s="880">
        <v>0.99709213092924742</v>
      </c>
      <c r="G733" s="880">
        <v>1.0200889586183197</v>
      </c>
      <c r="H733" s="880">
        <v>1.0023294294864331</v>
      </c>
      <c r="I733" s="880">
        <v>0.9938139311005616</v>
      </c>
      <c r="K733">
        <v>1.0737844863403581</v>
      </c>
      <c r="L733">
        <v>0</v>
      </c>
      <c r="M733">
        <v>7.0075084655856694E-4</v>
      </c>
      <c r="N733">
        <v>6.8359301986304397E-2</v>
      </c>
      <c r="O733">
        <v>8.7753983338311106E-3</v>
      </c>
      <c r="P733">
        <v>1.2596084812367996E-2</v>
      </c>
      <c r="Q733">
        <v>2.9304488787361615E-3</v>
      </c>
      <c r="R733">
        <v>6.8893740903556739E-4</v>
      </c>
      <c r="S733">
        <v>8.4918984917594295E-2</v>
      </c>
      <c r="T733">
        <v>0.81638952820734456</v>
      </c>
      <c r="U733">
        <v>1.6907054576891088E-2</v>
      </c>
      <c r="V733">
        <v>1.0413114248157997E-2</v>
      </c>
      <c r="W733">
        <v>4.1053494176527018E-2</v>
      </c>
      <c r="X733">
        <v>9.5778291208875634E-3</v>
      </c>
      <c r="Y733">
        <v>1.8750605192389626E-3</v>
      </c>
    </row>
    <row r="734" spans="1:25">
      <c r="A734" s="876"/>
      <c r="B734" s="1202">
        <v>484</v>
      </c>
      <c r="C734" s="880">
        <v>1.0217228838064689</v>
      </c>
      <c r="D734" s="880">
        <v>1.0130686680508982</v>
      </c>
      <c r="E734" s="880">
        <v>1.0019005640871315</v>
      </c>
      <c r="F734" s="880">
        <v>1.0006148780021895</v>
      </c>
      <c r="G734" s="880">
        <v>0.97269991012082879</v>
      </c>
      <c r="H734" s="880">
        <v>0.98391882602930969</v>
      </c>
      <c r="I734" s="880">
        <v>0.98092277309861031</v>
      </c>
      <c r="K734">
        <v>1.0641415918941244</v>
      </c>
      <c r="L734">
        <v>0</v>
      </c>
      <c r="M734">
        <v>6.5734345234405415E-4</v>
      </c>
      <c r="N734">
        <v>6.5870139510536968E-2</v>
      </c>
      <c r="O734">
        <v>8.5413986981123357E-3</v>
      </c>
      <c r="P734">
        <v>1.2610440850777224E-2</v>
      </c>
      <c r="Q734">
        <v>2.8798148303552898E-3</v>
      </c>
      <c r="R734">
        <v>6.4604551689432458E-4</v>
      </c>
      <c r="S734">
        <v>8.0985769016512818E-2</v>
      </c>
      <c r="T734">
        <v>0.81568337758516152</v>
      </c>
      <c r="U734">
        <v>1.6551091429949358E-2</v>
      </c>
      <c r="V734">
        <v>1.0411067928471971E-2</v>
      </c>
      <c r="W734">
        <v>3.9322414536206635E-2</v>
      </c>
      <c r="X734">
        <v>9.5390525153500813E-3</v>
      </c>
      <c r="Y734">
        <v>1.7583229281389445E-3</v>
      </c>
    </row>
    <row r="735" spans="1:25">
      <c r="A735" s="876"/>
      <c r="B735" s="1202">
        <v>485</v>
      </c>
      <c r="C735" s="880">
        <v>0.99094581242687441</v>
      </c>
      <c r="D735" s="880">
        <v>1.0090787757597437</v>
      </c>
      <c r="E735" s="880">
        <v>0.96355185348778849</v>
      </c>
      <c r="F735" s="880">
        <v>0.9917708151281529</v>
      </c>
      <c r="G735" s="880">
        <v>1.0164278947688095</v>
      </c>
      <c r="H735" s="880">
        <v>0.97830684503485055</v>
      </c>
      <c r="I735" s="880">
        <v>0.97702338548282819</v>
      </c>
      <c r="K735">
        <v>1.0693120988789773</v>
      </c>
      <c r="L735">
        <v>0</v>
      </c>
      <c r="M735">
        <v>7.3194839199245353E-4</v>
      </c>
      <c r="N735">
        <v>6.5081042711457496E-2</v>
      </c>
      <c r="O735">
        <v>8.825212470739096E-3</v>
      </c>
      <c r="P735">
        <v>1.2325608810744749E-2</v>
      </c>
      <c r="Q735">
        <v>2.8610851641592164E-3</v>
      </c>
      <c r="R735">
        <v>7.1929968465399134E-4</v>
      </c>
      <c r="S735">
        <v>8.3135590002775442E-2</v>
      </c>
      <c r="T735">
        <v>0.81880192453418821</v>
      </c>
      <c r="U735">
        <v>1.7065139843052992E-2</v>
      </c>
      <c r="V735">
        <v>1.041402303041537E-2</v>
      </c>
      <c r="W735">
        <v>3.9897067650852963E-2</v>
      </c>
      <c r="X735">
        <v>8.9603567433797562E-3</v>
      </c>
      <c r="Y735">
        <v>1.9576966245508447E-3</v>
      </c>
    </row>
    <row r="736" spans="1:25">
      <c r="A736" s="876"/>
      <c r="B736" s="1202">
        <v>486</v>
      </c>
      <c r="C736" s="880">
        <v>1.0002950557363985</v>
      </c>
      <c r="D736" s="880">
        <v>1.0008841862625404</v>
      </c>
      <c r="E736" s="880">
        <v>1.0291405318369202</v>
      </c>
      <c r="F736" s="880">
        <v>1.0056757105663809</v>
      </c>
      <c r="G736" s="880">
        <v>0.9942501099883766</v>
      </c>
      <c r="H736" s="880">
        <v>0.99191856763334996</v>
      </c>
      <c r="I736" s="880">
        <v>0.98655079835119752</v>
      </c>
      <c r="K736">
        <v>1.0727512583518037</v>
      </c>
      <c r="L736">
        <v>0</v>
      </c>
      <c r="M736">
        <v>6.4318420092460626E-4</v>
      </c>
      <c r="N736">
        <v>7.0155583425254436E-2</v>
      </c>
      <c r="O736">
        <v>8.7808082157361574E-3</v>
      </c>
      <c r="P736">
        <v>1.2882301323087375E-2</v>
      </c>
      <c r="Q736">
        <v>3.0392669150212052E-3</v>
      </c>
      <c r="R736">
        <v>6.3222848774135867E-4</v>
      </c>
      <c r="S736">
        <v>8.3979501668767997E-2</v>
      </c>
      <c r="T736">
        <v>0.81349853833515628</v>
      </c>
      <c r="U736">
        <v>1.6905640759668741E-2</v>
      </c>
      <c r="V736">
        <v>1.0413106120569397E-2</v>
      </c>
      <c r="W736">
        <v>4.1115544348801811E-2</v>
      </c>
      <c r="X736">
        <v>1.0271205423356957E-2</v>
      </c>
      <c r="Y736">
        <v>1.7207175295670069E-3</v>
      </c>
    </row>
    <row r="737" spans="1:25">
      <c r="A737" s="876"/>
      <c r="B737" s="1202">
        <v>487</v>
      </c>
      <c r="C737" s="880">
        <v>1.0159838452484442</v>
      </c>
      <c r="D737" s="880">
        <v>0.98671754413471335</v>
      </c>
      <c r="E737" s="880">
        <v>1.0033281062696631</v>
      </c>
      <c r="F737" s="880">
        <v>0.99019107198791734</v>
      </c>
      <c r="G737" s="880">
        <v>1.0391115254479313</v>
      </c>
      <c r="H737" s="880">
        <v>0.95623488447282035</v>
      </c>
      <c r="I737" s="880">
        <v>1.0204691813370805</v>
      </c>
      <c r="K737">
        <v>1.0674491356208284</v>
      </c>
      <c r="L737">
        <v>0</v>
      </c>
      <c r="M737">
        <v>6.4957199144564687E-4</v>
      </c>
      <c r="N737">
        <v>6.5350234288138603E-2</v>
      </c>
      <c r="O737">
        <v>8.7112248753480701E-3</v>
      </c>
      <c r="P737">
        <v>1.2676368218820672E-2</v>
      </c>
      <c r="Q737">
        <v>2.9355000666359569E-3</v>
      </c>
      <c r="R737">
        <v>6.3810661849620991E-4</v>
      </c>
      <c r="S737">
        <v>8.4844508490829404E-2</v>
      </c>
      <c r="T737">
        <v>0.81556825128577315</v>
      </c>
      <c r="U737">
        <v>1.664458440460452E-2</v>
      </c>
      <c r="V737">
        <v>1.041160539004962E-2</v>
      </c>
      <c r="W737">
        <v>3.8974029078481652E-2</v>
      </c>
      <c r="X737">
        <v>9.6075790313385548E-3</v>
      </c>
      <c r="Y737">
        <v>1.7367158637564292E-3</v>
      </c>
    </row>
    <row r="738" spans="1:25">
      <c r="A738" s="876"/>
      <c r="B738" s="1202">
        <v>488</v>
      </c>
      <c r="C738" s="880">
        <v>0.96531756893627707</v>
      </c>
      <c r="D738" s="880">
        <v>1.0124621322370051</v>
      </c>
      <c r="E738" s="880">
        <v>0.99992797936166822</v>
      </c>
      <c r="F738" s="880">
        <v>0.98745590579851172</v>
      </c>
      <c r="G738" s="880">
        <v>1.0014256955507743</v>
      </c>
      <c r="H738" s="880">
        <v>0.99833381705580537</v>
      </c>
      <c r="I738" s="880">
        <v>0.98549369907289897</v>
      </c>
      <c r="K738">
        <v>1.0798436606775748</v>
      </c>
      <c r="L738">
        <v>0</v>
      </c>
      <c r="M738">
        <v>7.0911119174980647E-4</v>
      </c>
      <c r="N738">
        <v>7.0640782823421178E-2</v>
      </c>
      <c r="O738">
        <v>9.0433728572085568E-3</v>
      </c>
      <c r="P738">
        <v>1.2684851832304549E-2</v>
      </c>
      <c r="Q738">
        <v>3.0428882431991163E-3</v>
      </c>
      <c r="R738">
        <v>6.9710001433543646E-4</v>
      </c>
      <c r="S738">
        <v>8.666571024061924E-2</v>
      </c>
      <c r="T738">
        <v>0.81584257364498769</v>
      </c>
      <c r="U738">
        <v>1.7518202724298163E-2</v>
      </c>
      <c r="V738">
        <v>1.041662754580094E-2</v>
      </c>
      <c r="W738">
        <v>4.2227259842663213E-2</v>
      </c>
      <c r="X738">
        <v>9.8761256604228149E-3</v>
      </c>
      <c r="Y738">
        <v>1.8972764400630923E-3</v>
      </c>
    </row>
    <row r="739" spans="1:25">
      <c r="A739" s="876"/>
      <c r="B739" s="1202">
        <v>489</v>
      </c>
      <c r="C739" s="880">
        <v>1.0032211844031236</v>
      </c>
      <c r="D739" s="880">
        <v>1.0048757774566355</v>
      </c>
      <c r="E739" s="880">
        <v>1.0426270758907128</v>
      </c>
      <c r="F739" s="880">
        <v>0.97950632451698927</v>
      </c>
      <c r="G739" s="880">
        <v>1.0140764653563001</v>
      </c>
      <c r="H739" s="880">
        <v>0.97537314682784371</v>
      </c>
      <c r="I739" s="880">
        <v>0.98269911505752394</v>
      </c>
      <c r="K739">
        <v>1.0691384378181252</v>
      </c>
      <c r="L739">
        <v>0</v>
      </c>
      <c r="M739">
        <v>6.1156217807735013E-4</v>
      </c>
      <c r="N739">
        <v>6.9536280807689269E-2</v>
      </c>
      <c r="O739">
        <v>8.7366390369894922E-3</v>
      </c>
      <c r="P739">
        <v>1.2974311581325058E-2</v>
      </c>
      <c r="Q739">
        <v>3.0653492766286703E-3</v>
      </c>
      <c r="R739">
        <v>6.0096530099795742E-4</v>
      </c>
      <c r="S739">
        <v>8.2664564858636463E-2</v>
      </c>
      <c r="T739">
        <v>0.81242618997068516</v>
      </c>
      <c r="U739">
        <v>1.6856331513786287E-2</v>
      </c>
      <c r="V739">
        <v>1.0412822657291198E-2</v>
      </c>
      <c r="W739">
        <v>4.0387431139815883E-2</v>
      </c>
      <c r="X739">
        <v>1.0453484411197976E-2</v>
      </c>
      <c r="Y739">
        <v>1.6356294411582087E-3</v>
      </c>
    </row>
    <row r="740" spans="1:25">
      <c r="A740" s="876"/>
      <c r="B740" s="1202">
        <v>490</v>
      </c>
      <c r="C740" s="880">
        <v>0.98721505646821928</v>
      </c>
      <c r="D740" s="880">
        <v>0.98767771302163732</v>
      </c>
      <c r="E740" s="880">
        <v>0.98827908944829146</v>
      </c>
      <c r="F740" s="880">
        <v>1.0098020376962233</v>
      </c>
      <c r="G740" s="880">
        <v>0.99934819558044585</v>
      </c>
      <c r="H740" s="880">
        <v>0.96019017947347929</v>
      </c>
      <c r="I740" s="880">
        <v>1.0158638231691506</v>
      </c>
      <c r="K740">
        <v>1.0737530882766158</v>
      </c>
      <c r="L740">
        <v>0</v>
      </c>
      <c r="M740">
        <v>6.9250795184489108E-4</v>
      </c>
      <c r="N740">
        <v>6.6486975747445332E-2</v>
      </c>
      <c r="O740">
        <v>8.960427406178027E-3</v>
      </c>
      <c r="P740">
        <v>1.2586740263238461E-2</v>
      </c>
      <c r="Q740">
        <v>2.9742567323730344E-3</v>
      </c>
      <c r="R740">
        <v>6.8033420759229426E-4</v>
      </c>
      <c r="S740">
        <v>8.7027308555447561E-2</v>
      </c>
      <c r="T740">
        <v>0.8167853830045726</v>
      </c>
      <c r="U740">
        <v>1.7129630221048752E-2</v>
      </c>
      <c r="V740">
        <v>1.0414393765226498E-2</v>
      </c>
      <c r="W740">
        <v>4.0063592621936886E-2</v>
      </c>
      <c r="X740">
        <v>9.4849082624462282E-3</v>
      </c>
      <c r="Y740">
        <v>1.8516454409549662E-3</v>
      </c>
    </row>
    <row r="741" spans="1:25">
      <c r="A741" s="876"/>
      <c r="B741" s="1202">
        <v>491</v>
      </c>
      <c r="C741" s="880">
        <v>1.0095271971715991</v>
      </c>
      <c r="D741" s="880">
        <v>1.010040564461639</v>
      </c>
      <c r="E741" s="880">
        <v>0.99611829185766165</v>
      </c>
      <c r="F741" s="880">
        <v>0.98969933972451463</v>
      </c>
      <c r="G741" s="880">
        <v>0.964897214977538</v>
      </c>
      <c r="H741" s="880">
        <v>0.95884178665039532</v>
      </c>
      <c r="I741" s="880">
        <v>1.0204295529077749</v>
      </c>
      <c r="K741">
        <v>1.0665878809095681</v>
      </c>
      <c r="L741">
        <v>0</v>
      </c>
      <c r="M741">
        <v>6.5731513837341299E-4</v>
      </c>
      <c r="N741">
        <v>6.4663570397248751E-2</v>
      </c>
      <c r="O741">
        <v>8.6583794928487522E-3</v>
      </c>
      <c r="P741">
        <v>1.2612835916955912E-2</v>
      </c>
      <c r="Q741">
        <v>2.9016829920700368E-3</v>
      </c>
      <c r="R741">
        <v>6.4572475736297363E-4</v>
      </c>
      <c r="S741">
        <v>8.4490758807562516E-2</v>
      </c>
      <c r="T741">
        <v>0.81615040597503696</v>
      </c>
      <c r="U741">
        <v>1.6751038420095107E-2</v>
      </c>
      <c r="V741">
        <v>1.0412217360556766E-2</v>
      </c>
      <c r="W741">
        <v>3.8755267342604732E-2</v>
      </c>
      <c r="X741">
        <v>9.4458646591656231E-3</v>
      </c>
      <c r="Y741">
        <v>1.7574499264329576E-3</v>
      </c>
    </row>
    <row r="742" spans="1:25">
      <c r="A742" s="876"/>
      <c r="B742" s="1202">
        <v>492</v>
      </c>
      <c r="C742" s="880">
        <v>0.98642747519834595</v>
      </c>
      <c r="D742" s="880">
        <v>0.99036176074286209</v>
      </c>
      <c r="E742" s="880">
        <v>1.0184777030850709</v>
      </c>
      <c r="F742" s="880">
        <v>1.0213710610715756</v>
      </c>
      <c r="G742" s="880">
        <v>1.0021288559740418</v>
      </c>
      <c r="H742" s="880">
        <v>1.0116838843675766</v>
      </c>
      <c r="I742" s="880">
        <v>1.0341136463370066</v>
      </c>
      <c r="K742">
        <v>1.0842368211682212</v>
      </c>
      <c r="L742">
        <v>0</v>
      </c>
      <c r="M742">
        <v>6.8422285743212461E-4</v>
      </c>
      <c r="N742">
        <v>7.2226338075821475E-2</v>
      </c>
      <c r="O742">
        <v>8.9545993527177514E-3</v>
      </c>
      <c r="P742">
        <v>1.2887305796562056E-2</v>
      </c>
      <c r="Q742">
        <v>3.0643824639821878E-3</v>
      </c>
      <c r="R742">
        <v>6.7280469086683134E-4</v>
      </c>
      <c r="S742">
        <v>9.0481783079320643E-2</v>
      </c>
      <c r="T742">
        <v>0.81435076167406861</v>
      </c>
      <c r="U742">
        <v>1.7143306822989764E-2</v>
      </c>
      <c r="V742">
        <v>1.0414472387690743E-2</v>
      </c>
      <c r="W742">
        <v>4.2633985078768748E-2</v>
      </c>
      <c r="X742">
        <v>1.0260152024331708E-2</v>
      </c>
      <c r="Y742">
        <v>1.8311525785327781E-3</v>
      </c>
    </row>
    <row r="743" spans="1:25">
      <c r="A743" s="876"/>
      <c r="B743" s="1202">
        <v>493</v>
      </c>
      <c r="C743" s="880">
        <v>0.97116103630011219</v>
      </c>
      <c r="D743" s="880">
        <v>0.98679707668292782</v>
      </c>
      <c r="E743" s="880">
        <v>0.9835198365375033</v>
      </c>
      <c r="F743" s="880">
        <v>1.0406594696521747</v>
      </c>
      <c r="G743" s="880">
        <v>1.011921136152544</v>
      </c>
      <c r="H743" s="880">
        <v>1.0108633727585277</v>
      </c>
      <c r="I743" s="880">
        <v>0.96500187758151212</v>
      </c>
      <c r="K743">
        <v>1.0809229534174272</v>
      </c>
      <c r="L743">
        <v>0</v>
      </c>
      <c r="M743">
        <v>7.4891070263657109E-4</v>
      </c>
      <c r="N743">
        <v>7.0907894120419326E-2</v>
      </c>
      <c r="O743">
        <v>9.1128891443871939E-3</v>
      </c>
      <c r="P743">
        <v>1.2535184899357911E-2</v>
      </c>
      <c r="Q743">
        <v>3.010112914286588E-3</v>
      </c>
      <c r="R743">
        <v>7.3640622251874279E-4</v>
      </c>
      <c r="S743">
        <v>8.5887083566874967E-2</v>
      </c>
      <c r="T743">
        <v>0.81717189989861472</v>
      </c>
      <c r="U743">
        <v>1.7412795853484601E-2</v>
      </c>
      <c r="V743">
        <v>1.0416021594997779E-2</v>
      </c>
      <c r="W743">
        <v>4.2868293055297095E-2</v>
      </c>
      <c r="X743">
        <v>9.6090278683739934E-3</v>
      </c>
      <c r="Y743">
        <v>2.0042549814500068E-3</v>
      </c>
    </row>
    <row r="744" spans="1:25">
      <c r="A744" s="876"/>
      <c r="B744" s="1202">
        <v>494</v>
      </c>
      <c r="C744" s="880">
        <v>1.0017355942525743</v>
      </c>
      <c r="D744" s="880">
        <v>0.97530932351838595</v>
      </c>
      <c r="E744" s="880">
        <v>1.0085794384527058</v>
      </c>
      <c r="F744" s="880">
        <v>1.0001996730815592</v>
      </c>
      <c r="G744" s="880">
        <v>1.0176899824810135</v>
      </c>
      <c r="H744" s="880">
        <v>0.98444159123243768</v>
      </c>
      <c r="I744" s="880">
        <v>1.0048833216171942</v>
      </c>
      <c r="K744">
        <v>1.0751358157792945</v>
      </c>
      <c r="L744">
        <v>0</v>
      </c>
      <c r="M744">
        <v>6.7494888726880235E-4</v>
      </c>
      <c r="N744">
        <v>6.905783201402961E-2</v>
      </c>
      <c r="O744">
        <v>8.8901914449863832E-3</v>
      </c>
      <c r="P744">
        <v>1.2742755735994118E-2</v>
      </c>
      <c r="Q744">
        <v>3.0089746140086046E-3</v>
      </c>
      <c r="R744">
        <v>6.633869005409932E-4</v>
      </c>
      <c r="S744">
        <v>8.6254987915504747E-2</v>
      </c>
      <c r="T744">
        <v>0.81514534600383892</v>
      </c>
      <c r="U744">
        <v>1.6881329727102219E-2</v>
      </c>
      <c r="V744">
        <v>1.0412966364122835E-2</v>
      </c>
      <c r="W744">
        <v>4.1038083105764685E-2</v>
      </c>
      <c r="X744">
        <v>9.9093903828297598E-3</v>
      </c>
      <c r="Y744">
        <v>1.8055204578395934E-3</v>
      </c>
    </row>
    <row r="745" spans="1:25">
      <c r="A745" s="876"/>
      <c r="B745" s="1202">
        <v>495</v>
      </c>
      <c r="C745" s="880">
        <v>0.97873625508511675</v>
      </c>
      <c r="D745" s="880">
        <v>0.99412161573167568</v>
      </c>
      <c r="E745" s="880">
        <v>0.96234059783052839</v>
      </c>
      <c r="F745" s="880">
        <v>1.0380901287917264</v>
      </c>
      <c r="G745" s="880">
        <v>1.040212947135444</v>
      </c>
      <c r="H745" s="880">
        <v>1.018210223967323</v>
      </c>
      <c r="I745" s="880">
        <v>1.0050930112107714</v>
      </c>
      <c r="K745">
        <v>1.0823187636857654</v>
      </c>
      <c r="L745">
        <v>0</v>
      </c>
      <c r="M745">
        <v>7.794319285307946E-4</v>
      </c>
      <c r="N745">
        <v>6.9090505987662906E-2</v>
      </c>
      <c r="O745">
        <v>9.0067356801748436E-3</v>
      </c>
      <c r="P745">
        <v>1.239213192242802E-2</v>
      </c>
      <c r="Q745">
        <v>2.9130582976807824E-3</v>
      </c>
      <c r="R745">
        <v>7.66504694443047E-4</v>
      </c>
      <c r="S745">
        <v>8.8706687634799719E-2</v>
      </c>
      <c r="T745">
        <v>0.81890123452689945</v>
      </c>
      <c r="U745">
        <v>1.7278024368762916E-2</v>
      </c>
      <c r="V745">
        <v>1.0415246836305283E-2</v>
      </c>
      <c r="W745">
        <v>4.2391059400393567E-2</v>
      </c>
      <c r="X745">
        <v>9.1508331646750797E-3</v>
      </c>
      <c r="Y745">
        <v>2.0861731000693597E-3</v>
      </c>
    </row>
    <row r="746" spans="1:25">
      <c r="A746" s="876"/>
      <c r="B746" s="1202">
        <v>496</v>
      </c>
      <c r="C746" s="880">
        <v>1.0115291347797768</v>
      </c>
      <c r="D746" s="880">
        <v>0.98713625978290254</v>
      </c>
      <c r="E746" s="880">
        <v>1.0007284272740229</v>
      </c>
      <c r="F746" s="880">
        <v>1.0285689464678827</v>
      </c>
      <c r="G746" s="880">
        <v>0.95572661175944695</v>
      </c>
      <c r="H746" s="880">
        <v>0.98608007402675979</v>
      </c>
      <c r="I746" s="880">
        <v>0.99281982880127295</v>
      </c>
      <c r="K746">
        <v>1.0705208999649207</v>
      </c>
      <c r="L746">
        <v>0</v>
      </c>
      <c r="M746">
        <v>6.7633762372317321E-4</v>
      </c>
      <c r="N746">
        <v>6.753163821196663E-2</v>
      </c>
      <c r="O746">
        <v>8.7476067451030069E-3</v>
      </c>
      <c r="P746">
        <v>1.2643427089375249E-2</v>
      </c>
      <c r="Q746">
        <v>2.9401694452722421E-3</v>
      </c>
      <c r="R746">
        <v>6.6476077255456538E-4</v>
      </c>
      <c r="S746">
        <v>8.3946268504317592E-2</v>
      </c>
      <c r="T746">
        <v>0.81577795811861853</v>
      </c>
      <c r="U746">
        <v>1.6717886103828378E-2</v>
      </c>
      <c r="V746">
        <v>1.0412026778363068E-2</v>
      </c>
      <c r="W746">
        <v>4.0346593638373951E-2</v>
      </c>
      <c r="X746">
        <v>9.6596424963064382E-3</v>
      </c>
      <c r="Y746">
        <v>1.8092596845637489E-3</v>
      </c>
    </row>
    <row r="747" spans="1:25">
      <c r="A747" s="876"/>
      <c r="B747" s="1202">
        <v>497</v>
      </c>
      <c r="C747" s="880">
        <v>0.99695080186953744</v>
      </c>
      <c r="D747" s="880">
        <v>1.015825075669635</v>
      </c>
      <c r="E747" s="880">
        <v>1.0047805002907939</v>
      </c>
      <c r="F747" s="880">
        <v>0.98692777422180078</v>
      </c>
      <c r="G747" s="880">
        <v>1.0244149150908368</v>
      </c>
      <c r="H747" s="880">
        <v>1.0208978860289342</v>
      </c>
      <c r="I747" s="880">
        <v>1.0094213446092533</v>
      </c>
      <c r="K747">
        <v>1.0775691596355315</v>
      </c>
      <c r="L747">
        <v>0</v>
      </c>
      <c r="M747">
        <v>6.9376517766624732E-4</v>
      </c>
      <c r="N747">
        <v>7.018956217881879E-2</v>
      </c>
      <c r="O747">
        <v>8.740976797476218E-3</v>
      </c>
      <c r="P747">
        <v>1.2717192701853758E-2</v>
      </c>
      <c r="Q747">
        <v>2.9562286839498945E-3</v>
      </c>
      <c r="R747">
        <v>6.8227088311711688E-4</v>
      </c>
      <c r="S747">
        <v>8.6621710052708245E-2</v>
      </c>
      <c r="T747">
        <v>0.81545119187638282</v>
      </c>
      <c r="U747">
        <v>1.6962350433181492E-2</v>
      </c>
      <c r="V747">
        <v>1.0413432126568329E-2</v>
      </c>
      <c r="W747">
        <v>4.1818679235750625E-2</v>
      </c>
      <c r="X747">
        <v>9.8524134100810897E-3</v>
      </c>
      <c r="Y747">
        <v>1.8569164333086185E-3</v>
      </c>
    </row>
    <row r="748" spans="1:25">
      <c r="A748" s="876"/>
      <c r="B748" s="1202">
        <v>498</v>
      </c>
      <c r="C748" s="880">
        <v>0.98953735334771786</v>
      </c>
      <c r="D748" s="880">
        <v>1.0238830627965341</v>
      </c>
      <c r="E748" s="880">
        <v>0.9748472356491632</v>
      </c>
      <c r="F748" s="880">
        <v>0.99081486418998888</v>
      </c>
      <c r="G748" s="880">
        <v>1.0063428499024196</v>
      </c>
      <c r="H748" s="880">
        <v>0.98581889388280008</v>
      </c>
      <c r="I748" s="880">
        <v>1.0038647310756958</v>
      </c>
      <c r="K748">
        <v>1.0717844873895221</v>
      </c>
      <c r="L748">
        <v>0</v>
      </c>
      <c r="M748">
        <v>7.1578051425374002E-4</v>
      </c>
      <c r="N748">
        <v>6.5932656886439997E-2</v>
      </c>
      <c r="O748">
        <v>8.7695044540434947E-3</v>
      </c>
      <c r="P748">
        <v>1.2448527524276868E-2</v>
      </c>
      <c r="Q748">
        <v>2.8791603481292697E-3</v>
      </c>
      <c r="R748">
        <v>7.0349241567515457E-4</v>
      </c>
      <c r="S748">
        <v>8.5193391534096941E-2</v>
      </c>
      <c r="T748">
        <v>0.81787820615677076</v>
      </c>
      <c r="U748">
        <v>1.7089429528599209E-2</v>
      </c>
      <c r="V748">
        <v>1.041416266414468E-2</v>
      </c>
      <c r="W748">
        <v>4.0101184093389065E-2</v>
      </c>
      <c r="X748">
        <v>9.1758778489536494E-3</v>
      </c>
      <c r="Y748">
        <v>1.9146744492552694E-3</v>
      </c>
    </row>
    <row r="749" spans="1:25">
      <c r="A749" s="876"/>
      <c r="B749" s="1202">
        <v>499</v>
      </c>
      <c r="C749" s="880">
        <v>1.0100463500024466</v>
      </c>
      <c r="D749" s="880">
        <v>0.98163711941790077</v>
      </c>
      <c r="E749" s="880">
        <v>1.0000117645999689</v>
      </c>
      <c r="F749" s="880">
        <v>0.99787158405786591</v>
      </c>
      <c r="G749" s="880">
        <v>1.0058401071047436</v>
      </c>
      <c r="H749" s="880">
        <v>1.0159337135136619</v>
      </c>
      <c r="I749" s="880">
        <v>1.0161002957544059</v>
      </c>
      <c r="K749">
        <v>1.0780477092452116</v>
      </c>
      <c r="L749">
        <v>0</v>
      </c>
      <c r="M749">
        <v>7.0097409173071627E-4</v>
      </c>
      <c r="N749">
        <v>6.9871914497881105E-2</v>
      </c>
      <c r="O749">
        <v>8.7866244787686443E-3</v>
      </c>
      <c r="P749">
        <v>1.2684453660249636E-2</v>
      </c>
      <c r="Q749">
        <v>2.949917968937277E-3</v>
      </c>
      <c r="R749">
        <v>6.8933293025882144E-4</v>
      </c>
      <c r="S749">
        <v>8.7365367206239289E-2</v>
      </c>
      <c r="T749">
        <v>0.8158358091275778</v>
      </c>
      <c r="U749">
        <v>1.6742428568660653E-2</v>
      </c>
      <c r="V749">
        <v>1.0412167865240638E-2</v>
      </c>
      <c r="W749">
        <v>4.1765255459133517E-2</v>
      </c>
      <c r="X749">
        <v>9.769274576368869E-3</v>
      </c>
      <c r="Y749">
        <v>1.8761369976251234E-3</v>
      </c>
    </row>
    <row r="750" spans="1:25">
      <c r="A750" s="876"/>
      <c r="B750" s="1202">
        <v>500</v>
      </c>
      <c r="C750" s="880">
        <v>0.99951971311030552</v>
      </c>
      <c r="D750" s="880">
        <v>0.98126839630625839</v>
      </c>
      <c r="E750" s="880">
        <v>0.99863933527343318</v>
      </c>
      <c r="F750" s="880">
        <v>0.96552726549148715</v>
      </c>
      <c r="G750" s="880">
        <v>0.96594320085671093</v>
      </c>
      <c r="H750" s="880">
        <v>0.99988278540437325</v>
      </c>
      <c r="I750" s="880">
        <v>1.0147463644935979</v>
      </c>
      <c r="K750">
        <v>1.0779345072941577</v>
      </c>
      <c r="L750">
        <v>0</v>
      </c>
      <c r="M750">
        <v>6.9932276661487081E-4</v>
      </c>
      <c r="N750">
        <v>6.9391514478136102E-2</v>
      </c>
      <c r="O750">
        <v>8.88094477570784E-3</v>
      </c>
      <c r="P750">
        <v>1.2678521259206444E-2</v>
      </c>
      <c r="Q750">
        <v>2.9773878249526827E-3</v>
      </c>
      <c r="R750">
        <v>6.8752292394803449E-4</v>
      </c>
      <c r="S750">
        <v>8.7595850737129777E-2</v>
      </c>
      <c r="T750">
        <v>0.815946644155358</v>
      </c>
      <c r="U750">
        <v>1.6918754722035315E-2</v>
      </c>
      <c r="V750">
        <v>1.0413181508596455E-2</v>
      </c>
      <c r="W750">
        <v>4.1517088633394206E-2</v>
      </c>
      <c r="X750">
        <v>9.7552082851924144E-3</v>
      </c>
      <c r="Y750">
        <v>1.8712107571155819E-3</v>
      </c>
    </row>
    <row r="751" spans="1:25">
      <c r="A751" s="876"/>
      <c r="B751" s="1202">
        <v>501</v>
      </c>
      <c r="C751" s="880">
        <v>1.006483832752741</v>
      </c>
      <c r="D751" s="880">
        <v>1.0307441898116163</v>
      </c>
      <c r="E751" s="880">
        <v>0.95790044042493594</v>
      </c>
      <c r="F751" s="880">
        <v>0.96700475760380411</v>
      </c>
      <c r="G751" s="880">
        <v>1.0342791530576667</v>
      </c>
      <c r="H751" s="880">
        <v>0.96682199586926987</v>
      </c>
      <c r="I751" s="880">
        <v>1.0219544390928286</v>
      </c>
      <c r="K751">
        <v>1.0655885862806667</v>
      </c>
      <c r="L751">
        <v>0</v>
      </c>
      <c r="M751">
        <v>7.1257806788658519E-4</v>
      </c>
      <c r="N751">
        <v>6.223657440171463E-2</v>
      </c>
      <c r="O751">
        <v>8.5912754176411098E-3</v>
      </c>
      <c r="P751">
        <v>1.228992050388516E-2</v>
      </c>
      <c r="Q751">
        <v>2.7734791568025047E-3</v>
      </c>
      <c r="R751">
        <v>7.0009853340846076E-4</v>
      </c>
      <c r="S751">
        <v>8.430743694171218E-2</v>
      </c>
      <c r="T751">
        <v>0.81926570235638729</v>
      </c>
      <c r="U751">
        <v>1.6801689521133846E-2</v>
      </c>
      <c r="V751">
        <v>1.0412508537736365E-2</v>
      </c>
      <c r="W751">
        <v>3.8305266627926986E-2</v>
      </c>
      <c r="X751">
        <v>8.7117749296874124E-3</v>
      </c>
      <c r="Y751">
        <v>1.9054374205183181E-3</v>
      </c>
    </row>
    <row r="752" spans="1:25">
      <c r="A752" s="876"/>
      <c r="B752" s="1202">
        <v>502</v>
      </c>
      <c r="C752" s="880">
        <v>1.0327235603368208</v>
      </c>
      <c r="D752" s="880">
        <v>1.0123719906967332</v>
      </c>
      <c r="E752" s="880">
        <v>1.0230283551773693</v>
      </c>
      <c r="F752" s="880">
        <v>1.0029245008396956</v>
      </c>
      <c r="G752" s="880">
        <v>0.98834647475410153</v>
      </c>
      <c r="H752" s="880">
        <v>0.96042926223505554</v>
      </c>
      <c r="I752" s="880">
        <v>0.96936437047503654</v>
      </c>
      <c r="K752">
        <v>1.0579228559590299</v>
      </c>
      <c r="L752">
        <v>0</v>
      </c>
      <c r="M752">
        <v>6.0735971526638911E-4</v>
      </c>
      <c r="N752">
        <v>6.4964644825600576E-2</v>
      </c>
      <c r="O752">
        <v>8.453511711002247E-3</v>
      </c>
      <c r="P752">
        <v>1.2747194911513113E-2</v>
      </c>
      <c r="Q752">
        <v>2.9107876072069988E-3</v>
      </c>
      <c r="R752">
        <v>5.9666609397955714E-4</v>
      </c>
      <c r="S752">
        <v>7.8422891699074349E-2</v>
      </c>
      <c r="T752">
        <v>0.81398657781329076</v>
      </c>
      <c r="U752">
        <v>1.6374787518585319E-2</v>
      </c>
      <c r="V752">
        <v>1.0410054412978428E-2</v>
      </c>
      <c r="W752">
        <v>3.8230019319139871E-2</v>
      </c>
      <c r="X752">
        <v>9.8091513450378007E-3</v>
      </c>
      <c r="Y752">
        <v>1.6239284168873358E-3</v>
      </c>
    </row>
    <row r="753" spans="1:25">
      <c r="A753" s="876"/>
      <c r="B753" s="1202">
        <v>503</v>
      </c>
      <c r="C753" s="880">
        <v>1.0195960100320307</v>
      </c>
      <c r="D753" s="880">
        <v>1.0281363306564377</v>
      </c>
      <c r="E753" s="880">
        <v>0.97524592925038134</v>
      </c>
      <c r="F753" s="880">
        <v>0.98323287579255381</v>
      </c>
      <c r="G753" s="880">
        <v>1.0012111195225804</v>
      </c>
      <c r="H753" s="880">
        <v>1.0286370109473524</v>
      </c>
      <c r="I753" s="880">
        <v>1.01316231343654</v>
      </c>
      <c r="K753">
        <v>1.071640213143715</v>
      </c>
      <c r="L753">
        <v>0</v>
      </c>
      <c r="M753">
        <v>7.2265375163486402E-4</v>
      </c>
      <c r="N753">
        <v>6.6696666123599799E-2</v>
      </c>
      <c r="O753">
        <v>8.4922231065989937E-3</v>
      </c>
      <c r="P753">
        <v>1.2439492317967642E-2</v>
      </c>
      <c r="Q753">
        <v>2.7901120967919186E-3</v>
      </c>
      <c r="R753">
        <v>7.1076049477716992E-4</v>
      </c>
      <c r="S753">
        <v>8.4775034514282033E-2</v>
      </c>
      <c r="T753">
        <v>0.81784568033094396</v>
      </c>
      <c r="U753">
        <v>1.6585616949816365E-2</v>
      </c>
      <c r="V753">
        <v>1.0411266404779367E-2</v>
      </c>
      <c r="W753">
        <v>4.0554605336622744E-2</v>
      </c>
      <c r="X753">
        <v>9.1269534545192106E-3</v>
      </c>
      <c r="Y753">
        <v>1.9344557646493235E-3</v>
      </c>
    </row>
    <row r="754" spans="1:25">
      <c r="A754" s="876"/>
      <c r="B754" s="1202">
        <v>504</v>
      </c>
      <c r="C754" s="880">
        <v>0.99222064301985469</v>
      </c>
      <c r="D754" s="880">
        <v>0.9859658119114364</v>
      </c>
      <c r="E754" s="880">
        <v>0.99474662798257518</v>
      </c>
      <c r="F754" s="880">
        <v>1.018015490344848</v>
      </c>
      <c r="G754" s="880">
        <v>0.99261697452586239</v>
      </c>
      <c r="H754" s="880">
        <v>1.0016433890631891</v>
      </c>
      <c r="I754" s="880">
        <v>0.97756609581131482</v>
      </c>
      <c r="K754">
        <v>1.0759967987771113</v>
      </c>
      <c r="L754">
        <v>0</v>
      </c>
      <c r="M754">
        <v>7.0970538411021676E-4</v>
      </c>
      <c r="N754">
        <v>6.9575509770701205E-2</v>
      </c>
      <c r="O754">
        <v>8.9234852331161549E-3</v>
      </c>
      <c r="P754">
        <v>1.2610488601484367E-2</v>
      </c>
      <c r="Q754">
        <v>2.9810160654714429E-3</v>
      </c>
      <c r="R754">
        <v>6.9774717894900782E-4</v>
      </c>
      <c r="S754">
        <v>8.4867245091424917E-2</v>
      </c>
      <c r="T754">
        <v>0.81626136053223086</v>
      </c>
      <c r="U754">
        <v>1.7043214112623502E-2</v>
      </c>
      <c r="V754">
        <v>1.0413896986317278E-2</v>
      </c>
      <c r="W754">
        <v>4.1738454416752113E-2</v>
      </c>
      <c r="X754">
        <v>9.6950483633476171E-3</v>
      </c>
      <c r="Y754">
        <v>1.8990378088034757E-3</v>
      </c>
    </row>
    <row r="755" spans="1:25">
      <c r="A755" s="876"/>
      <c r="B755" s="1202">
        <v>505</v>
      </c>
      <c r="C755" s="880">
        <v>0.9717101589414886</v>
      </c>
      <c r="D755" s="880">
        <v>0.99157587711138173</v>
      </c>
      <c r="E755" s="880">
        <v>1.0037543903172572</v>
      </c>
      <c r="F755" s="880">
        <v>0.99930187732045017</v>
      </c>
      <c r="G755" s="880">
        <v>1.0111184977463705</v>
      </c>
      <c r="H755" s="880">
        <v>1.0034040880874255</v>
      </c>
      <c r="I755" s="880">
        <v>0.96902952180507007</v>
      </c>
      <c r="K755">
        <v>1.0800932836377948</v>
      </c>
      <c r="L755">
        <v>0</v>
      </c>
      <c r="M755">
        <v>7.1017036476527461E-4</v>
      </c>
      <c r="N755">
        <v>7.1601513291878291E-2</v>
      </c>
      <c r="O755">
        <v>9.0842815275306941E-3</v>
      </c>
      <c r="P755">
        <v>1.2702372169164739E-2</v>
      </c>
      <c r="Q755">
        <v>3.0636507675017E-3</v>
      </c>
      <c r="R755">
        <v>6.9822032001919674E-4</v>
      </c>
      <c r="S755">
        <v>8.5722152521516437E-2</v>
      </c>
      <c r="T755">
        <v>0.81553388639657909</v>
      </c>
      <c r="U755">
        <v>1.7402955717138516E-2</v>
      </c>
      <c r="V755">
        <v>1.0415965027162317E-2</v>
      </c>
      <c r="W755">
        <v>4.2689787633739387E-2</v>
      </c>
      <c r="X755">
        <v>9.9883430875049497E-3</v>
      </c>
      <c r="Y755">
        <v>1.9003255428256182E-3</v>
      </c>
    </row>
    <row r="756" spans="1:25">
      <c r="A756" s="876"/>
      <c r="B756" s="1202">
        <v>506</v>
      </c>
      <c r="C756" s="880">
        <v>0.97785000918648379</v>
      </c>
      <c r="D756" s="880">
        <v>0.99596576852500918</v>
      </c>
      <c r="E756" s="880">
        <v>1.0137614786964344</v>
      </c>
      <c r="F756" s="880">
        <v>0.97548391275942192</v>
      </c>
      <c r="G756" s="880">
        <v>0.99919692070896715</v>
      </c>
      <c r="H756" s="880">
        <v>0.9907936018785366</v>
      </c>
      <c r="I756" s="880">
        <v>0.97719610779234722</v>
      </c>
      <c r="K756">
        <v>1.0771639880770318</v>
      </c>
      <c r="L756">
        <v>0</v>
      </c>
      <c r="M756">
        <v>6.8068845033452546E-4</v>
      </c>
      <c r="N756">
        <v>7.0782055437520766E-2</v>
      </c>
      <c r="O756">
        <v>9.0059892035823166E-3</v>
      </c>
      <c r="P756">
        <v>1.277795653833461E-2</v>
      </c>
      <c r="Q756">
        <v>3.0688185778462193E-3</v>
      </c>
      <c r="R756">
        <v>6.6908494269626016E-4</v>
      </c>
      <c r="S756">
        <v>8.5261296533033354E-2</v>
      </c>
      <c r="T756">
        <v>0.81472894093716031</v>
      </c>
      <c r="U756">
        <v>1.7293683803327926E-2</v>
      </c>
      <c r="V756">
        <v>1.0415336857447889E-2</v>
      </c>
      <c r="W756">
        <v>4.1914986948759343E-2</v>
      </c>
      <c r="X756">
        <v>1.0105498097430259E-2</v>
      </c>
      <c r="Y756">
        <v>1.8210286502271383E-3</v>
      </c>
    </row>
    <row r="757" spans="1:25">
      <c r="A757" s="876"/>
      <c r="B757" s="1202">
        <v>507</v>
      </c>
      <c r="C757" s="880">
        <v>1.0004318759289812</v>
      </c>
      <c r="D757" s="880">
        <v>0.98238913456597565</v>
      </c>
      <c r="E757" s="880">
        <v>1.0170010585575135</v>
      </c>
      <c r="F757" s="880">
        <v>1.0277547105778153</v>
      </c>
      <c r="G757" s="880">
        <v>0.97125197723070278</v>
      </c>
      <c r="H757" s="880">
        <v>1.0024270498455878</v>
      </c>
      <c r="I757" s="880">
        <v>0.98070968392137825</v>
      </c>
      <c r="K757">
        <v>1.0755594176773786</v>
      </c>
      <c r="L757">
        <v>0</v>
      </c>
      <c r="M757">
        <v>6.7345300732420219E-4</v>
      </c>
      <c r="N757">
        <v>7.0753699946182677E-2</v>
      </c>
      <c r="O757">
        <v>8.8674385608989471E-3</v>
      </c>
      <c r="P757">
        <v>1.2790642153366269E-2</v>
      </c>
      <c r="Q757">
        <v>3.0282582809118322E-3</v>
      </c>
      <c r="R757">
        <v>6.6211755506884629E-4</v>
      </c>
      <c r="S757">
        <v>8.462236196314582E-2</v>
      </c>
      <c r="T757">
        <v>0.81446908767393633</v>
      </c>
      <c r="U757">
        <v>1.6903328725156305E-2</v>
      </c>
      <c r="V757">
        <v>1.0413092829413332E-2</v>
      </c>
      <c r="W757">
        <v>4.1806412583760853E-2</v>
      </c>
      <c r="X757">
        <v>1.0114364694957663E-2</v>
      </c>
      <c r="Y757">
        <v>1.8020657179040318E-3</v>
      </c>
    </row>
    <row r="758" spans="1:25">
      <c r="A758" s="876"/>
      <c r="B758" s="1202">
        <v>508</v>
      </c>
      <c r="C758" s="880">
        <v>1.004542294227178</v>
      </c>
      <c r="D758" s="880">
        <v>1.0270445575739615</v>
      </c>
      <c r="E758" s="880">
        <v>1.0219341147487893</v>
      </c>
      <c r="F758" s="880">
        <v>1.0337873882302844</v>
      </c>
      <c r="G758" s="880">
        <v>1.0473442587404376</v>
      </c>
      <c r="H758" s="880">
        <v>1.0029919163803624</v>
      </c>
      <c r="I758" s="880">
        <v>1.0296413400858118</v>
      </c>
      <c r="K758">
        <v>1.0740734784433836</v>
      </c>
      <c r="L758">
        <v>0</v>
      </c>
      <c r="M758">
        <v>6.4860402755024312E-4</v>
      </c>
      <c r="N758">
        <v>6.9192190920278493E-2</v>
      </c>
      <c r="O758">
        <v>8.624356889046645E-3</v>
      </c>
      <c r="P758">
        <v>1.2857538761572491E-2</v>
      </c>
      <c r="Q758">
        <v>2.9695532248728788E-3</v>
      </c>
      <c r="R758">
        <v>6.3765737311702612E-4</v>
      </c>
      <c r="S758">
        <v>8.6564553515698153E-2</v>
      </c>
      <c r="T758">
        <v>0.81407408423141059</v>
      </c>
      <c r="U758">
        <v>1.6834163143884556E-2</v>
      </c>
      <c r="V758">
        <v>1.0412695218335441E-2</v>
      </c>
      <c r="W758">
        <v>4.0747845380135046E-2</v>
      </c>
      <c r="X758">
        <v>1.0071950646653375E-2</v>
      </c>
      <c r="Y758">
        <v>1.7354931659279908E-3</v>
      </c>
    </row>
    <row r="759" spans="1:25">
      <c r="A759" s="876"/>
      <c r="B759" s="1202">
        <v>509</v>
      </c>
      <c r="C759" s="880">
        <v>1.0160792722076972</v>
      </c>
      <c r="D759" s="880">
        <v>1.0109468522685263</v>
      </c>
      <c r="E759" s="880">
        <v>1.0483653897252887</v>
      </c>
      <c r="F759" s="880">
        <v>1.0258269699436116</v>
      </c>
      <c r="G759" s="880">
        <v>0.97457059989169748</v>
      </c>
      <c r="H759" s="880">
        <v>0.97199143722566961</v>
      </c>
      <c r="I759" s="880">
        <v>0.97397106953325918</v>
      </c>
      <c r="K759">
        <v>1.0644705565262937</v>
      </c>
      <c r="L759">
        <v>0</v>
      </c>
      <c r="M759">
        <v>5.9255219569389023E-4</v>
      </c>
      <c r="N759">
        <v>6.8579550464979017E-2</v>
      </c>
      <c r="O759">
        <v>8.5984375787129148E-3</v>
      </c>
      <c r="P759">
        <v>1.2988294548731308E-2</v>
      </c>
      <c r="Q759">
        <v>3.0352394625622185E-3</v>
      </c>
      <c r="R759">
        <v>5.8224445047848458E-4</v>
      </c>
      <c r="S759">
        <v>8.0536376945352775E-2</v>
      </c>
      <c r="T759">
        <v>0.81197180789557111</v>
      </c>
      <c r="U759">
        <v>1.6643021197755178E-2</v>
      </c>
      <c r="V759">
        <v>1.0411596403667237E-2</v>
      </c>
      <c r="W759">
        <v>3.9680504065603896E-2</v>
      </c>
      <c r="X759">
        <v>1.0451358251202468E-2</v>
      </c>
      <c r="Y759">
        <v>1.5846774573709183E-3</v>
      </c>
    </row>
    <row r="760" spans="1:25">
      <c r="A760" s="876"/>
      <c r="B760" s="1202">
        <v>510</v>
      </c>
      <c r="C760" s="880">
        <v>0.98754776451165149</v>
      </c>
      <c r="D760" s="880">
        <v>1.000014802070996</v>
      </c>
      <c r="E760" s="880">
        <v>0.97468975085820886</v>
      </c>
      <c r="F760" s="880">
        <v>0.98535435225262435</v>
      </c>
      <c r="G760" s="880">
        <v>1.0093450829886108</v>
      </c>
      <c r="H760" s="880">
        <v>0.98743518543308484</v>
      </c>
      <c r="I760" s="880">
        <v>1.0093006107296139</v>
      </c>
      <c r="K760">
        <v>1.0755590070773353</v>
      </c>
      <c r="L760">
        <v>0</v>
      </c>
      <c r="M760">
        <v>7.2770041108518484E-4</v>
      </c>
      <c r="N760">
        <v>6.7001665595707929E-2</v>
      </c>
      <c r="O760">
        <v>8.8982734882660734E-3</v>
      </c>
      <c r="P760">
        <v>1.2470502116954904E-2</v>
      </c>
      <c r="Q760">
        <v>2.9158528612742859E-3</v>
      </c>
      <c r="R760">
        <v>7.1524960064034112E-4</v>
      </c>
      <c r="S760">
        <v>8.6898909114399028E-2</v>
      </c>
      <c r="T760">
        <v>0.81789105540467133</v>
      </c>
      <c r="U760">
        <v>1.7123859193094088E-2</v>
      </c>
      <c r="V760">
        <v>1.0414360589409808E-2</v>
      </c>
      <c r="W760">
        <v>4.0755840304555785E-2</v>
      </c>
      <c r="X760">
        <v>9.2544655884717105E-3</v>
      </c>
      <c r="Y760">
        <v>1.9466736309755256E-3</v>
      </c>
    </row>
    <row r="761" spans="1:25">
      <c r="A761" s="876"/>
      <c r="B761" s="1202">
        <v>511</v>
      </c>
      <c r="C761" s="880">
        <v>0.9792541044949461</v>
      </c>
      <c r="D761" s="880">
        <v>1.0023139219886261</v>
      </c>
      <c r="E761" s="880">
        <v>1.0320303263758666</v>
      </c>
      <c r="F761" s="880">
        <v>0.98959075177641964</v>
      </c>
      <c r="G761" s="880">
        <v>1.0155670376454653</v>
      </c>
      <c r="H761" s="880">
        <v>1.0102686898715152</v>
      </c>
      <c r="I761" s="880">
        <v>1.0102408617046512</v>
      </c>
      <c r="K761">
        <v>1.0827238045221916</v>
      </c>
      <c r="L761">
        <v>0</v>
      </c>
      <c r="M761">
        <v>6.6457492780932679E-4</v>
      </c>
      <c r="N761">
        <v>7.3164837382786882E-2</v>
      </c>
      <c r="O761">
        <v>8.9626548578566733E-3</v>
      </c>
      <c r="P761">
        <v>1.2973847239991773E-2</v>
      </c>
      <c r="Q761">
        <v>3.1114134823841868E-3</v>
      </c>
      <c r="R761">
        <v>6.5345930363654647E-4</v>
      </c>
      <c r="S761">
        <v>8.8457487972070356E-2</v>
      </c>
      <c r="T761">
        <v>0.8132682406180739</v>
      </c>
      <c r="U761">
        <v>1.7268887399429483E-2</v>
      </c>
      <c r="V761">
        <v>1.0415194310754867E-2</v>
      </c>
      <c r="W761">
        <v>4.2796233297355053E-2</v>
      </c>
      <c r="X761">
        <v>1.0537622773963392E-2</v>
      </c>
      <c r="Y761">
        <v>1.7785008116971291E-3</v>
      </c>
    </row>
    <row r="762" spans="1:25">
      <c r="A762" s="876"/>
      <c r="B762" s="1202">
        <v>512</v>
      </c>
      <c r="C762" s="880">
        <v>0.99940804808994943</v>
      </c>
      <c r="D762" s="880">
        <v>1.004006989334191</v>
      </c>
      <c r="E762" s="880">
        <v>0.9778028123229312</v>
      </c>
      <c r="F762" s="880">
        <v>0.98835247542539373</v>
      </c>
      <c r="G762" s="880">
        <v>0.9682656536779265</v>
      </c>
      <c r="H762" s="880">
        <v>0.97433945566281999</v>
      </c>
      <c r="I762" s="880">
        <v>0.99547017786218239</v>
      </c>
      <c r="K762">
        <v>1.0692784931716057</v>
      </c>
      <c r="L762">
        <v>0</v>
      </c>
      <c r="M762">
        <v>7.0341667632534718E-4</v>
      </c>
      <c r="N762">
        <v>6.538157312505001E-2</v>
      </c>
      <c r="O762">
        <v>8.7740171187555959E-3</v>
      </c>
      <c r="P762">
        <v>1.2455881359659898E-2</v>
      </c>
      <c r="Q762">
        <v>2.8851240301252966E-3</v>
      </c>
      <c r="R762">
        <v>6.9121602787526203E-4</v>
      </c>
      <c r="S762">
        <v>8.4057807214315147E-2</v>
      </c>
      <c r="T762">
        <v>0.81763721495043296</v>
      </c>
      <c r="U762">
        <v>1.6920645074123317E-2</v>
      </c>
      <c r="V762">
        <v>1.0413192375633474E-2</v>
      </c>
      <c r="W762">
        <v>3.9684326298597569E-2</v>
      </c>
      <c r="X762">
        <v>9.1996501047872468E-3</v>
      </c>
      <c r="Y762">
        <v>1.8812621685741122E-3</v>
      </c>
    </row>
    <row r="763" spans="1:25">
      <c r="A763" s="876"/>
      <c r="B763" s="1202">
        <v>513</v>
      </c>
      <c r="C763" s="880">
        <v>0.97350273600015391</v>
      </c>
      <c r="D763" s="880">
        <v>0.99632614691770094</v>
      </c>
      <c r="E763" s="880">
        <v>1.0008708447311347</v>
      </c>
      <c r="F763" s="880">
        <v>0.96735573789303653</v>
      </c>
      <c r="G763" s="880">
        <v>0.98437324867471676</v>
      </c>
      <c r="H763" s="880">
        <v>1.0362031641866196</v>
      </c>
      <c r="I763" s="880">
        <v>0.98932296318202118</v>
      </c>
      <c r="K763">
        <v>1.0859839209854381</v>
      </c>
      <c r="L763">
        <v>0</v>
      </c>
      <c r="M763">
        <v>7.3462300601582358E-4</v>
      </c>
      <c r="N763">
        <v>7.3444868879911099E-2</v>
      </c>
      <c r="O763">
        <v>9.0444606605770538E-3</v>
      </c>
      <c r="P763">
        <v>1.271362083162678E-2</v>
      </c>
      <c r="Q763">
        <v>3.0424930535668969E-3</v>
      </c>
      <c r="R763">
        <v>7.2264856439251937E-4</v>
      </c>
      <c r="S763">
        <v>8.8342420621789375E-2</v>
      </c>
      <c r="T763">
        <v>0.81576646386317797</v>
      </c>
      <c r="U763">
        <v>1.7370910466500959E-2</v>
      </c>
      <c r="V763">
        <v>1.0415780809139243E-2</v>
      </c>
      <c r="W763">
        <v>4.3875163861067018E-2</v>
      </c>
      <c r="X763">
        <v>1.0012901208462601E-2</v>
      </c>
      <c r="Y763">
        <v>1.9668111712412097E-3</v>
      </c>
    </row>
    <row r="764" spans="1:25">
      <c r="A764" s="876"/>
      <c r="B764" s="1202">
        <v>514</v>
      </c>
      <c r="C764" s="880">
        <v>0.99971973247163026</v>
      </c>
      <c r="D764" s="880">
        <v>0.99328500955017685</v>
      </c>
      <c r="E764" s="880">
        <v>1.001968657695095</v>
      </c>
      <c r="F764" s="880">
        <v>0.99155772848990165</v>
      </c>
      <c r="G764" s="880">
        <v>1.0041466273509112</v>
      </c>
      <c r="H764" s="880">
        <v>1.0009404142201197</v>
      </c>
      <c r="I764" s="880">
        <v>0.97072765747237755</v>
      </c>
      <c r="K764">
        <v>1.0729231425770041</v>
      </c>
      <c r="L764">
        <v>0</v>
      </c>
      <c r="M764">
        <v>6.9054047224433198E-4</v>
      </c>
      <c r="N764">
        <v>6.9233660115556095E-2</v>
      </c>
      <c r="O764">
        <v>8.8216521438206092E-3</v>
      </c>
      <c r="P764">
        <v>1.2647766960803584E-2</v>
      </c>
      <c r="Q764">
        <v>2.9701359669380726E-3</v>
      </c>
      <c r="R764">
        <v>6.7889066162706035E-4</v>
      </c>
      <c r="S764">
        <v>8.3308971729032566E-2</v>
      </c>
      <c r="T764">
        <v>0.81567788449977541</v>
      </c>
      <c r="U764">
        <v>1.6915369694808224E-2</v>
      </c>
      <c r="V764">
        <v>1.0413162049144236E-2</v>
      </c>
      <c r="W764">
        <v>4.1328408174397153E-2</v>
      </c>
      <c r="X764">
        <v>9.7700644686419726E-3</v>
      </c>
      <c r="Y764">
        <v>1.8477165847023997E-3</v>
      </c>
    </row>
    <row r="765" spans="1:25">
      <c r="A765" s="876"/>
      <c r="B765" s="1202">
        <v>515</v>
      </c>
      <c r="C765" s="880">
        <v>1.0397428633363213</v>
      </c>
      <c r="D765" s="880">
        <v>1.0114313102341375</v>
      </c>
      <c r="E765" s="880">
        <v>0.99139177018905922</v>
      </c>
      <c r="F765" s="880">
        <v>0.99293494079225086</v>
      </c>
      <c r="G765" s="880">
        <v>1.039216032241784</v>
      </c>
      <c r="H765" s="880">
        <v>1.0089426302060032</v>
      </c>
      <c r="I765" s="880">
        <v>0.95934018178096814</v>
      </c>
      <c r="K765">
        <v>1.0620237770964385</v>
      </c>
      <c r="L765">
        <v>0</v>
      </c>
      <c r="M765">
        <v>6.7777616522190945E-4</v>
      </c>
      <c r="N765">
        <v>6.5761145875835147E-2</v>
      </c>
      <c r="O765">
        <v>8.4006008055942522E-3</v>
      </c>
      <c r="P765">
        <v>1.248835620643801E-2</v>
      </c>
      <c r="Q765">
        <v>2.8021903809935089E-3</v>
      </c>
      <c r="R765">
        <v>6.6641731097046464E-4</v>
      </c>
      <c r="S765">
        <v>7.8714360327452507E-2</v>
      </c>
      <c r="T765">
        <v>0.81653300567944032</v>
      </c>
      <c r="U765">
        <v>1.6264241344912597E-2</v>
      </c>
      <c r="V765">
        <v>1.0409418917946601E-2</v>
      </c>
      <c r="W765">
        <v>3.9541315691753544E-2</v>
      </c>
      <c r="X765">
        <v>9.3067324842674593E-3</v>
      </c>
      <c r="Y765">
        <v>1.8137682360540852E-3</v>
      </c>
    </row>
    <row r="766" spans="1:25">
      <c r="A766" s="876"/>
      <c r="B766" s="1202">
        <v>516</v>
      </c>
      <c r="C766" s="880">
        <v>0.99565181685480264</v>
      </c>
      <c r="D766" s="880">
        <v>1.0180684319789295</v>
      </c>
      <c r="E766" s="880">
        <v>1.0117472500368396</v>
      </c>
      <c r="F766" s="880">
        <v>1.0100688399898006</v>
      </c>
      <c r="G766" s="880">
        <v>1.0186785651849364</v>
      </c>
      <c r="H766" s="880">
        <v>0.98769649977998075</v>
      </c>
      <c r="I766" s="880">
        <v>1.008452165181938</v>
      </c>
      <c r="K766">
        <v>1.0726641883221883</v>
      </c>
      <c r="L766">
        <v>0</v>
      </c>
      <c r="M766">
        <v>6.6150208396222954E-4</v>
      </c>
      <c r="N766">
        <v>6.8352012059998912E-2</v>
      </c>
      <c r="O766">
        <v>8.7421072124141859E-3</v>
      </c>
      <c r="P766">
        <v>1.2758344015557265E-2</v>
      </c>
      <c r="Q766">
        <v>2.9777803282033111E-3</v>
      </c>
      <c r="R766">
        <v>6.5017209028941014E-4</v>
      </c>
      <c r="S766">
        <v>8.5365447035806521E-2</v>
      </c>
      <c r="T766">
        <v>0.81489068652596597</v>
      </c>
      <c r="U766">
        <v>1.6984480497782759E-2</v>
      </c>
      <c r="V766">
        <v>1.0413559345319011E-2</v>
      </c>
      <c r="W766">
        <v>4.0531317731852569E-2</v>
      </c>
      <c r="X766">
        <v>9.890229462365183E-3</v>
      </c>
      <c r="Y766">
        <v>1.7695541005958127E-3</v>
      </c>
    </row>
    <row r="767" spans="1:25">
      <c r="A767" s="876"/>
      <c r="B767" s="1202">
        <v>517</v>
      </c>
      <c r="C767" s="880">
        <v>1.0065862575662359</v>
      </c>
      <c r="D767" s="880">
        <v>0.97224791584257519</v>
      </c>
      <c r="E767" s="880">
        <v>0.99666190108548935</v>
      </c>
      <c r="F767" s="880">
        <v>0.95553751501132589</v>
      </c>
      <c r="G767" s="880">
        <v>1.000982143380613</v>
      </c>
      <c r="H767" s="880">
        <v>0.98137719673828594</v>
      </c>
      <c r="I767" s="880">
        <v>1.0222293958514217</v>
      </c>
      <c r="K767">
        <v>1.0750548241683071</v>
      </c>
      <c r="L767">
        <v>0</v>
      </c>
      <c r="M767">
        <v>6.8778282847507344E-4</v>
      </c>
      <c r="N767">
        <v>6.7806667766677625E-2</v>
      </c>
      <c r="O767">
        <v>8.8622331629028515E-3</v>
      </c>
      <c r="P767">
        <v>1.2656908503913888E-2</v>
      </c>
      <c r="Q767">
        <v>2.9631417238748636E-3</v>
      </c>
      <c r="R767">
        <v>6.759669644470325E-4</v>
      </c>
      <c r="S767">
        <v>8.734532766872162E-2</v>
      </c>
      <c r="T767">
        <v>0.81610645083398925</v>
      </c>
      <c r="U767">
        <v>1.6799979871411717E-2</v>
      </c>
      <c r="V767">
        <v>1.0412498709500201E-2</v>
      </c>
      <c r="W767">
        <v>4.0623890317655426E-2</v>
      </c>
      <c r="X767">
        <v>9.6497822289119354E-3</v>
      </c>
      <c r="Y767">
        <v>1.8397592447748797E-3</v>
      </c>
    </row>
    <row r="768" spans="1:25">
      <c r="A768" s="876"/>
      <c r="B768" s="1202">
        <v>518</v>
      </c>
      <c r="C768" s="880">
        <v>0.99129045715375164</v>
      </c>
      <c r="D768" s="880">
        <v>0.98202307511248554</v>
      </c>
      <c r="E768" s="880">
        <v>0.97722899154909315</v>
      </c>
      <c r="F768" s="880">
        <v>1.0143114868106786</v>
      </c>
      <c r="G768" s="880">
        <v>1.0215746194065163</v>
      </c>
      <c r="H768" s="880">
        <v>1.0162313531051217</v>
      </c>
      <c r="I768" s="880">
        <v>0.97276497239389825</v>
      </c>
      <c r="K768">
        <v>1.0779455458264706</v>
      </c>
      <c r="L768">
        <v>0</v>
      </c>
      <c r="M768">
        <v>7.4933932493686378E-4</v>
      </c>
      <c r="N768">
        <v>6.9578086330349051E-2</v>
      </c>
      <c r="O768">
        <v>8.9509935679136145E-3</v>
      </c>
      <c r="P768">
        <v>1.2468465199703658E-2</v>
      </c>
      <c r="Q768">
        <v>2.9367248603914928E-3</v>
      </c>
      <c r="R768">
        <v>7.3689823900195597E-4</v>
      </c>
      <c r="S768">
        <v>8.521568095142279E-2</v>
      </c>
      <c r="T768">
        <v>0.81768397992980479</v>
      </c>
      <c r="U768">
        <v>1.7059206758135378E-2</v>
      </c>
      <c r="V768">
        <v>1.0413988922984401E-2</v>
      </c>
      <c r="W768">
        <v>4.224831088908497E-2</v>
      </c>
      <c r="X768">
        <v>9.3969554144906868E-3</v>
      </c>
      <c r="Y768">
        <v>2.0055940881241224E-3</v>
      </c>
    </row>
    <row r="769" spans="1:25">
      <c r="A769" s="876"/>
      <c r="B769" s="1202">
        <v>519</v>
      </c>
      <c r="C769" s="880">
        <v>0.96804890057962012</v>
      </c>
      <c r="D769" s="880">
        <v>1.0273339079703432</v>
      </c>
      <c r="E769" s="880">
        <v>0.99332826135217378</v>
      </c>
      <c r="F769" s="880">
        <v>0.99969845311226979</v>
      </c>
      <c r="G769" s="880">
        <v>0.96604903238095952</v>
      </c>
      <c r="H769" s="880">
        <v>0.97977319762283765</v>
      </c>
      <c r="I769" s="880">
        <v>0.98744136094749613</v>
      </c>
      <c r="K769">
        <v>1.0746225638226767</v>
      </c>
      <c r="L769">
        <v>0</v>
      </c>
      <c r="M769">
        <v>6.9824381325307716E-4</v>
      </c>
      <c r="N769">
        <v>6.8120686934727254E-2</v>
      </c>
      <c r="O769">
        <v>8.9481360471936281E-3</v>
      </c>
      <c r="P769">
        <v>1.2610304959619878E-2</v>
      </c>
      <c r="Q769">
        <v>2.99413019173656E-3</v>
      </c>
      <c r="R769">
        <v>6.8617986069870445E-4</v>
      </c>
      <c r="S769">
        <v>8.529944635959312E-2</v>
      </c>
      <c r="T769">
        <v>0.81637616005709535</v>
      </c>
      <c r="U769">
        <v>1.7468775447012155E-2</v>
      </c>
      <c r="V769">
        <v>1.0416343403997479E-2</v>
      </c>
      <c r="W769">
        <v>4.0905549346856106E-2</v>
      </c>
      <c r="X769">
        <v>9.6275396457076029E-3</v>
      </c>
      <c r="Y769">
        <v>1.8675553816915862E-3</v>
      </c>
    </row>
    <row r="770" spans="1:25">
      <c r="A770" s="876"/>
      <c r="B770" s="1202">
        <v>520</v>
      </c>
      <c r="C770" s="880">
        <v>0.97581975128365572</v>
      </c>
      <c r="D770" s="880">
        <v>1.0181657123766359</v>
      </c>
      <c r="E770" s="880">
        <v>0.98988233551261229</v>
      </c>
      <c r="F770" s="880">
        <v>0.9904258301950587</v>
      </c>
      <c r="G770" s="880">
        <v>0.97513974028822648</v>
      </c>
      <c r="H770" s="880">
        <v>0.98883276684407195</v>
      </c>
      <c r="I770" s="880">
        <v>0.97889064140326287</v>
      </c>
      <c r="K770">
        <v>1.0743021388052705</v>
      </c>
      <c r="L770">
        <v>0</v>
      </c>
      <c r="M770">
        <v>7.0753246335396856E-4</v>
      </c>
      <c r="N770">
        <v>6.8302146558061244E-2</v>
      </c>
      <c r="O770">
        <v>8.9193236599269428E-3</v>
      </c>
      <c r="P770">
        <v>1.2569833256634386E-2</v>
      </c>
      <c r="Q770">
        <v>2.9721501862141576E-3</v>
      </c>
      <c r="R770">
        <v>6.9542791719978962E-4</v>
      </c>
      <c r="S770">
        <v>8.4583483597859874E-2</v>
      </c>
      <c r="T770">
        <v>0.81665535018242785</v>
      </c>
      <c r="U770">
        <v>1.7329664462834491E-2</v>
      </c>
      <c r="V770">
        <v>1.0415543698893413E-2</v>
      </c>
      <c r="W770">
        <v>4.1111903859150679E-2</v>
      </c>
      <c r="X770">
        <v>9.5621183465553101E-3</v>
      </c>
      <c r="Y770">
        <v>1.8927255428665339E-3</v>
      </c>
    </row>
    <row r="771" spans="1:25">
      <c r="A771" s="876"/>
      <c r="B771" s="1202">
        <v>521</v>
      </c>
      <c r="C771" s="880">
        <v>0.98952921540952921</v>
      </c>
      <c r="D771" s="880">
        <v>1.0124482078402153</v>
      </c>
      <c r="E771" s="880">
        <v>0.97691737328598094</v>
      </c>
      <c r="F771" s="880">
        <v>1.0217647873025253</v>
      </c>
      <c r="G771" s="880">
        <v>0.98059183080608514</v>
      </c>
      <c r="H771" s="880">
        <v>0.98596228908562933</v>
      </c>
      <c r="I771" s="880">
        <v>0.99771540614019416</v>
      </c>
      <c r="K771">
        <v>1.0725559303242378</v>
      </c>
      <c r="L771">
        <v>0</v>
      </c>
      <c r="M771">
        <v>7.1705244176446564E-4</v>
      </c>
      <c r="N771">
        <v>6.6478464518965025E-2</v>
      </c>
      <c r="O771">
        <v>8.8221656468963003E-3</v>
      </c>
      <c r="P771">
        <v>1.24653880133196E-2</v>
      </c>
      <c r="Q771">
        <v>2.9001497073393198E-3</v>
      </c>
      <c r="R771">
        <v>7.0475436490652788E-4</v>
      </c>
      <c r="S771">
        <v>8.5151199355859145E-2</v>
      </c>
      <c r="T771">
        <v>0.81770938071519816</v>
      </c>
      <c r="U771">
        <v>1.7089570072929772E-2</v>
      </c>
      <c r="V771">
        <v>1.0414163472089623E-2</v>
      </c>
      <c r="W771">
        <v>4.0374945637707382E-2</v>
      </c>
      <c r="X771">
        <v>9.244692201729925E-3</v>
      </c>
      <c r="Y771">
        <v>1.9181090590616155E-3</v>
      </c>
    </row>
    <row r="772" spans="1:25">
      <c r="A772" s="876"/>
      <c r="B772" s="1202">
        <v>522</v>
      </c>
      <c r="C772" s="880">
        <v>0.99758611387286034</v>
      </c>
      <c r="D772" s="880">
        <v>1.0014292321694174</v>
      </c>
      <c r="E772" s="880">
        <v>1.0224493358050046</v>
      </c>
      <c r="F772" s="880">
        <v>1.014045187075322</v>
      </c>
      <c r="G772" s="880">
        <v>0.97945600059777815</v>
      </c>
      <c r="H772" s="880">
        <v>1.0351965964636836</v>
      </c>
      <c r="I772" s="880">
        <v>1.0123064521769534</v>
      </c>
      <c r="K772">
        <v>1.0820976498441011</v>
      </c>
      <c r="L772">
        <v>0</v>
      </c>
      <c r="M772">
        <v>6.8246107688625798E-4</v>
      </c>
      <c r="N772">
        <v>7.2961792350602114E-2</v>
      </c>
      <c r="O772">
        <v>8.8020969636072657E-3</v>
      </c>
      <c r="P772">
        <v>1.2882702481944402E-2</v>
      </c>
      <c r="Q772">
        <v>3.0266235574079457E-3</v>
      </c>
      <c r="R772">
        <v>6.7132188436176937E-4</v>
      </c>
      <c r="S772">
        <v>8.79515271966715E-2</v>
      </c>
      <c r="T772">
        <v>0.81403287691116111</v>
      </c>
      <c r="U772">
        <v>1.6951547972436577E-2</v>
      </c>
      <c r="V772">
        <v>1.0413370026633898E-2</v>
      </c>
      <c r="W772">
        <v>4.2952881514969024E-2</v>
      </c>
      <c r="X772">
        <v>1.0306253193158688E-2</v>
      </c>
      <c r="Y772">
        <v>1.8271168680330321E-3</v>
      </c>
    </row>
    <row r="773" spans="1:25">
      <c r="A773" s="876"/>
      <c r="B773" s="1202">
        <v>523</v>
      </c>
      <c r="C773" s="880">
        <v>0.9705520653823454</v>
      </c>
      <c r="D773" s="880">
        <v>1.0085431678080172</v>
      </c>
      <c r="E773" s="880">
        <v>0.9793075654476785</v>
      </c>
      <c r="F773" s="880">
        <v>0.98338958672609389</v>
      </c>
      <c r="G773" s="880">
        <v>1.0291308690985994</v>
      </c>
      <c r="H773" s="880">
        <v>1.014072790976398</v>
      </c>
      <c r="I773" s="880">
        <v>1.0073175496566293</v>
      </c>
      <c r="K773">
        <v>1.0827559853726305</v>
      </c>
      <c r="L773">
        <v>0</v>
      </c>
      <c r="M773">
        <v>7.4969217323432916E-4</v>
      </c>
      <c r="N773">
        <v>7.0058344578929524E-2</v>
      </c>
      <c r="O773">
        <v>9.013201838990792E-3</v>
      </c>
      <c r="P773">
        <v>1.2539825991107348E-2</v>
      </c>
      <c r="Q773">
        <v>2.9693110481193658E-3</v>
      </c>
      <c r="R773">
        <v>7.3719425280741957E-4</v>
      </c>
      <c r="S773">
        <v>8.8858739020536717E-2</v>
      </c>
      <c r="T773">
        <v>0.81751463416540171</v>
      </c>
      <c r="U773">
        <v>1.742372147679731E-2</v>
      </c>
      <c r="V773">
        <v>1.0416084402954872E-2</v>
      </c>
      <c r="W773">
        <v>4.2478541359332843E-2</v>
      </c>
      <c r="X773">
        <v>9.4896796707659332E-3</v>
      </c>
      <c r="Y773">
        <v>2.0063997401216704E-3</v>
      </c>
    </row>
    <row r="774" spans="1:25">
      <c r="A774" s="876"/>
      <c r="B774" s="1202">
        <v>524</v>
      </c>
      <c r="C774" s="880">
        <v>1.0351027285622481</v>
      </c>
      <c r="D774" s="880">
        <v>0.99778736301573334</v>
      </c>
      <c r="E774" s="880">
        <v>1.0193232247288671</v>
      </c>
      <c r="F774" s="880">
        <v>1.0171129427720429</v>
      </c>
      <c r="G774" s="880">
        <v>1.0106574087480693</v>
      </c>
      <c r="H774" s="880">
        <v>1.0244455421770007</v>
      </c>
      <c r="I774" s="880">
        <v>1.0278738372950447</v>
      </c>
      <c r="K774">
        <v>1.0733368749685133</v>
      </c>
      <c r="L774">
        <v>0</v>
      </c>
      <c r="M774">
        <v>6.5647911654366194E-4</v>
      </c>
      <c r="N774">
        <v>6.9494039120056014E-2</v>
      </c>
      <c r="O774">
        <v>8.4995687727870157E-3</v>
      </c>
      <c r="P774">
        <v>1.2818909834526271E-2</v>
      </c>
      <c r="Q774">
        <v>2.9127412569697636E-3</v>
      </c>
      <c r="R774">
        <v>6.456544508285177E-4</v>
      </c>
      <c r="S774">
        <v>8.584162653691188E-2</v>
      </c>
      <c r="T774">
        <v>0.81428304206905244</v>
      </c>
      <c r="U774">
        <v>1.6337150313033309E-2</v>
      </c>
      <c r="V774">
        <v>1.0409838048572984E-2</v>
      </c>
      <c r="W774">
        <v>4.0997739860093231E-2</v>
      </c>
      <c r="X774">
        <v>9.9957852470028714E-3</v>
      </c>
      <c r="Y774">
        <v>1.7572585752227117E-3</v>
      </c>
    </row>
    <row r="775" spans="1:25">
      <c r="A775" s="876"/>
      <c r="B775" s="1202">
        <v>525</v>
      </c>
      <c r="C775" s="880">
        <v>0.98297040107315703</v>
      </c>
      <c r="D775" s="880">
        <v>0.99615525437511754</v>
      </c>
      <c r="E775" s="880">
        <v>1.0330573020028888</v>
      </c>
      <c r="F775" s="880">
        <v>0.96804569095628468</v>
      </c>
      <c r="G775" s="880">
        <v>1.0023641945260977</v>
      </c>
      <c r="H775" s="880">
        <v>1.0149072992219339</v>
      </c>
      <c r="I775" s="880">
        <v>1.0051073503427199</v>
      </c>
      <c r="K775">
        <v>1.0828396325087313</v>
      </c>
      <c r="L775">
        <v>0</v>
      </c>
      <c r="M775">
        <v>6.6583809411259421E-4</v>
      </c>
      <c r="N775">
        <v>7.3544201680064564E-2</v>
      </c>
      <c r="O775">
        <v>8.9581669373225009E-3</v>
      </c>
      <c r="P775">
        <v>1.2976666813169647E-2</v>
      </c>
      <c r="Q775">
        <v>3.1115771073482682E-3</v>
      </c>
      <c r="R775">
        <v>6.5475726024503066E-4</v>
      </c>
      <c r="S775">
        <v>8.8114882618527207E-2</v>
      </c>
      <c r="T775">
        <v>0.81318646605618294</v>
      </c>
      <c r="U775">
        <v>1.7203599261473395E-2</v>
      </c>
      <c r="V775">
        <v>1.0414818989873722E-2</v>
      </c>
      <c r="W775">
        <v>4.2988591938258942E-2</v>
      </c>
      <c r="X775">
        <v>1.0569708518663222E-2</v>
      </c>
      <c r="Y775">
        <v>1.7820334217141418E-3</v>
      </c>
    </row>
    <row r="776" spans="1:25">
      <c r="A776" s="876"/>
      <c r="B776" s="1202">
        <v>526</v>
      </c>
      <c r="C776" s="880">
        <v>1.0044900731790942</v>
      </c>
      <c r="D776" s="880">
        <v>1.0159541305530748</v>
      </c>
      <c r="E776" s="880">
        <v>1.0044267344289495</v>
      </c>
      <c r="F776" s="880">
        <v>1.0130106624839088</v>
      </c>
      <c r="G776" s="880">
        <v>0.99501801726515027</v>
      </c>
      <c r="H776" s="880">
        <v>0.99877752404696452</v>
      </c>
      <c r="I776" s="880">
        <v>1.0175415738412343</v>
      </c>
      <c r="K776">
        <v>1.0731112212384157</v>
      </c>
      <c r="L776">
        <v>0</v>
      </c>
      <c r="M776">
        <v>6.7409562091457474E-4</v>
      </c>
      <c r="N776">
        <v>6.8099131710819036E-2</v>
      </c>
      <c r="O776">
        <v>8.6747839722129527E-3</v>
      </c>
      <c r="P776">
        <v>1.2702097811496465E-2</v>
      </c>
      <c r="Q776">
        <v>2.9328292482478009E-3</v>
      </c>
      <c r="R776">
        <v>6.6267975398134383E-4</v>
      </c>
      <c r="S776">
        <v>8.5863221192584618E-2</v>
      </c>
      <c r="T776">
        <v>0.815479697932607</v>
      </c>
      <c r="U776">
        <v>1.6835038311958806E-2</v>
      </c>
      <c r="V776">
        <v>1.0412700249400221E-2</v>
      </c>
      <c r="W776">
        <v>4.0582999440147177E-2</v>
      </c>
      <c r="X776">
        <v>9.7365413978597742E-3</v>
      </c>
      <c r="Y776">
        <v>1.8035958380150283E-3</v>
      </c>
    </row>
    <row r="777" spans="1:25">
      <c r="A777" s="876"/>
      <c r="B777" s="1202">
        <v>527</v>
      </c>
      <c r="C777" s="880">
        <v>0.96566457119806426</v>
      </c>
      <c r="D777" s="880">
        <v>0.97672184651242533</v>
      </c>
      <c r="E777" s="880">
        <v>0.96400274928041629</v>
      </c>
      <c r="F777" s="880">
        <v>0.99853998949911937</v>
      </c>
      <c r="G777" s="880">
        <v>1.0023725556234111</v>
      </c>
      <c r="H777" s="880">
        <v>0.9870933369526016</v>
      </c>
      <c r="I777" s="880">
        <v>0.99166212987630431</v>
      </c>
      <c r="K777">
        <v>1.0815539231859599</v>
      </c>
      <c r="L777">
        <v>0</v>
      </c>
      <c r="M777">
        <v>7.7039323725599585E-4</v>
      </c>
      <c r="N777">
        <v>6.8609378410729144E-2</v>
      </c>
      <c r="O777">
        <v>9.2151406983082256E-3</v>
      </c>
      <c r="P777">
        <v>1.2404422417476626E-2</v>
      </c>
      <c r="Q777">
        <v>2.9815899669585091E-3</v>
      </c>
      <c r="R777">
        <v>7.572303119929276E-4</v>
      </c>
      <c r="S777">
        <v>8.833449118721666E-2</v>
      </c>
      <c r="T777">
        <v>0.81876496853276948</v>
      </c>
      <c r="U777">
        <v>1.7511907726895263E-2</v>
      </c>
      <c r="V777">
        <v>1.0416591357849406E-2</v>
      </c>
      <c r="W777">
        <v>4.2046758525695178E-2</v>
      </c>
      <c r="X777">
        <v>9.2209059989847852E-3</v>
      </c>
      <c r="Y777">
        <v>2.0609312883394879E-3</v>
      </c>
    </row>
    <row r="778" spans="1:25">
      <c r="A778" s="876"/>
      <c r="B778" s="1202">
        <v>528</v>
      </c>
      <c r="C778" s="880">
        <v>0.99689705065526113</v>
      </c>
      <c r="D778" s="880">
        <v>0.99240427268224185</v>
      </c>
      <c r="E778" s="880">
        <v>1.00674985305261</v>
      </c>
      <c r="F778" s="880">
        <v>1.0147777287076587</v>
      </c>
      <c r="G778" s="880">
        <v>1.0164304233887809</v>
      </c>
      <c r="H778" s="880">
        <v>0.97232073422650422</v>
      </c>
      <c r="I778" s="880">
        <v>1.0066327585925812</v>
      </c>
      <c r="K778">
        <v>1.0725391462520555</v>
      </c>
      <c r="L778">
        <v>0</v>
      </c>
      <c r="M778">
        <v>6.6626609659851661E-4</v>
      </c>
      <c r="N778">
        <v>6.7766479676135832E-2</v>
      </c>
      <c r="O778">
        <v>8.8508191521996515E-3</v>
      </c>
      <c r="P778">
        <v>1.2720130601734644E-2</v>
      </c>
      <c r="Q778">
        <v>2.9940784823393901E-3</v>
      </c>
      <c r="R778">
        <v>6.546957133808461E-4</v>
      </c>
      <c r="S778">
        <v>8.563585389347482E-2</v>
      </c>
      <c r="T778">
        <v>0.81529258144028383</v>
      </c>
      <c r="U778">
        <v>1.6963265018024681E-2</v>
      </c>
      <c r="V778">
        <v>1.0413437384227677E-2</v>
      </c>
      <c r="W778">
        <v>4.0320864651247575E-2</v>
      </c>
      <c r="X778">
        <v>9.8113404241665786E-3</v>
      </c>
      <c r="Y778">
        <v>1.7818659114387503E-3</v>
      </c>
    </row>
    <row r="779" spans="1:25">
      <c r="A779" s="876"/>
      <c r="B779" s="1202">
        <v>529</v>
      </c>
      <c r="C779" s="880">
        <v>1.0122381450990898</v>
      </c>
      <c r="D779" s="880">
        <v>1.0020878545909102</v>
      </c>
      <c r="E779" s="880">
        <v>1.0007207478291442</v>
      </c>
      <c r="F779" s="880">
        <v>1.0081787331779646</v>
      </c>
      <c r="G779" s="880">
        <v>0.99787997021840558</v>
      </c>
      <c r="H779" s="880">
        <v>0.98813285735779866</v>
      </c>
      <c r="I779" s="880">
        <v>1.0377027730619306</v>
      </c>
      <c r="K779">
        <v>1.0728619220050766</v>
      </c>
      <c r="L779">
        <v>0</v>
      </c>
      <c r="M779">
        <v>6.7188405883448967E-4</v>
      </c>
      <c r="N779">
        <v>6.7086487859247174E-2</v>
      </c>
      <c r="O779">
        <v>8.6716472692390783E-3</v>
      </c>
      <c r="P779">
        <v>1.2686277153315502E-2</v>
      </c>
      <c r="Q779">
        <v>2.9178982249010361E-3</v>
      </c>
      <c r="R779">
        <v>6.6039462561298483E-4</v>
      </c>
      <c r="S779">
        <v>8.7100728101860259E-2</v>
      </c>
      <c r="T779">
        <v>0.81577857793231423</v>
      </c>
      <c r="U779">
        <v>1.6706176256869851E-2</v>
      </c>
      <c r="V779">
        <v>1.0411959462151966E-2</v>
      </c>
      <c r="W779">
        <v>4.008085027184722E-2</v>
      </c>
      <c r="X779">
        <v>9.6354324346611606E-3</v>
      </c>
      <c r="Y779">
        <v>1.7973764718887191E-3</v>
      </c>
    </row>
    <row r="780" spans="1:25">
      <c r="A780" s="876"/>
      <c r="B780" s="1202">
        <v>530</v>
      </c>
      <c r="C780" s="880">
        <v>0.99964122184933035</v>
      </c>
      <c r="D780" s="880">
        <v>0.97530979850928401</v>
      </c>
      <c r="E780" s="880">
        <v>1.0023616629661132</v>
      </c>
      <c r="F780" s="880">
        <v>0.99387097352202336</v>
      </c>
      <c r="G780" s="880">
        <v>0.98931813479049446</v>
      </c>
      <c r="H780" s="880">
        <v>1.0159848637715827</v>
      </c>
      <c r="I780" s="880">
        <v>1.0208220308061813</v>
      </c>
      <c r="K780">
        <v>1.0817601172572717</v>
      </c>
      <c r="L780">
        <v>0</v>
      </c>
      <c r="M780">
        <v>7.0724281641870853E-4</v>
      </c>
      <c r="N780">
        <v>7.1014635784655861E-2</v>
      </c>
      <c r="O780">
        <v>8.9088151799937548E-3</v>
      </c>
      <c r="P780">
        <v>1.2728506898332662E-2</v>
      </c>
      <c r="Q780">
        <v>2.9965480235944475E-3</v>
      </c>
      <c r="R780">
        <v>6.9550376898807156E-4</v>
      </c>
      <c r="S780">
        <v>8.897380010909188E-2</v>
      </c>
      <c r="T780">
        <v>0.8156461839942144</v>
      </c>
      <c r="U780">
        <v>1.6916698207650776E-2</v>
      </c>
      <c r="V780">
        <v>1.0413169686344908E-2</v>
      </c>
      <c r="W780">
        <v>4.2380164737234931E-2</v>
      </c>
      <c r="X780">
        <v>9.9004016971578519E-3</v>
      </c>
      <c r="Y780">
        <v>1.8929319864297021E-3</v>
      </c>
    </row>
    <row r="781" spans="1:25">
      <c r="A781" s="876"/>
      <c r="B781" s="1202">
        <v>531</v>
      </c>
      <c r="C781" s="880">
        <v>0.95501065194352908</v>
      </c>
      <c r="D781" s="880">
        <v>1.016758434221545</v>
      </c>
      <c r="E781" s="880">
        <v>0.99459648812174084</v>
      </c>
      <c r="F781" s="880">
        <v>0.99983650879922659</v>
      </c>
      <c r="G781" s="880">
        <v>0.9801628041915158</v>
      </c>
      <c r="H781" s="880">
        <v>0.99538294740305922</v>
      </c>
      <c r="I781" s="880">
        <v>0.99684239812994213</v>
      </c>
      <c r="K781">
        <v>1.0823161345234322</v>
      </c>
      <c r="L781">
        <v>0</v>
      </c>
      <c r="M781">
        <v>7.2108725135058935E-4</v>
      </c>
      <c r="N781">
        <v>7.0647928705986601E-2</v>
      </c>
      <c r="O781">
        <v>9.120383702840686E-3</v>
      </c>
      <c r="P781">
        <v>1.2665166713022376E-2</v>
      </c>
      <c r="Q781">
        <v>3.0533332662715188E-3</v>
      </c>
      <c r="R781">
        <v>7.0883322435334381E-4</v>
      </c>
      <c r="S781">
        <v>8.8314294011287486E-2</v>
      </c>
      <c r="T781">
        <v>0.81627350929643505</v>
      </c>
      <c r="U781">
        <v>1.7707267276587769E-2</v>
      </c>
      <c r="V781">
        <v>1.0417714418188182E-2</v>
      </c>
      <c r="W781">
        <v>4.2386170598746144E-2</v>
      </c>
      <c r="X781">
        <v>9.8134101911822764E-3</v>
      </c>
      <c r="Y781">
        <v>1.9292103698801935E-3</v>
      </c>
    </row>
    <row r="782" spans="1:25">
      <c r="A782" s="876"/>
      <c r="B782" s="1202">
        <v>532</v>
      </c>
      <c r="C782" s="880">
        <v>1.0248595033162573</v>
      </c>
      <c r="D782" s="880">
        <v>1.0240432321034911</v>
      </c>
      <c r="E782" s="880">
        <v>1.0305386187422385</v>
      </c>
      <c r="F782" s="880">
        <v>0.9730065144338752</v>
      </c>
      <c r="G782" s="880">
        <v>0.9584667030719527</v>
      </c>
      <c r="H782" s="880">
        <v>1.0362348779466315</v>
      </c>
      <c r="I782" s="880">
        <v>1.0000477075670153</v>
      </c>
      <c r="K782">
        <v>1.0724947881388356</v>
      </c>
      <c r="L782">
        <v>0</v>
      </c>
      <c r="M782">
        <v>6.4597816485612025E-4</v>
      </c>
      <c r="N782">
        <v>7.0817281239422908E-2</v>
      </c>
      <c r="O782">
        <v>8.4665556709847753E-3</v>
      </c>
      <c r="P782">
        <v>1.2883913224521995E-2</v>
      </c>
      <c r="Q782">
        <v>2.9395412139860814E-3</v>
      </c>
      <c r="R782">
        <v>6.3542782323207977E-4</v>
      </c>
      <c r="S782">
        <v>8.3674912832564508E-2</v>
      </c>
      <c r="T782">
        <v>0.81338708435314555</v>
      </c>
      <c r="U782">
        <v>1.6500436217093833E-2</v>
      </c>
      <c r="V782">
        <v>1.0410776727654808E-2</v>
      </c>
      <c r="W782">
        <v>4.1464470754481737E-2</v>
      </c>
      <c r="X782">
        <v>1.0230941180491337E-2</v>
      </c>
      <c r="Y782">
        <v>1.7294250661120886E-3</v>
      </c>
    </row>
    <row r="783" spans="1:25">
      <c r="A783" s="876"/>
      <c r="B783" s="1202">
        <v>533</v>
      </c>
      <c r="C783" s="880">
        <v>0.99779432847083838</v>
      </c>
      <c r="D783" s="880">
        <v>0.97429809713021753</v>
      </c>
      <c r="E783" s="880">
        <v>1.0323528190330027</v>
      </c>
      <c r="F783" s="880">
        <v>1.0413241120416628</v>
      </c>
      <c r="G783" s="880">
        <v>0.98844901887833603</v>
      </c>
      <c r="H783" s="880">
        <v>0.99862611574772064</v>
      </c>
      <c r="I783" s="880">
        <v>1.0160036313144025</v>
      </c>
      <c r="K783">
        <v>1.0801506717640597</v>
      </c>
      <c r="L783">
        <v>0</v>
      </c>
      <c r="M783">
        <v>6.5407166832100541E-4</v>
      </c>
      <c r="N783">
        <v>7.2068914313870594E-2</v>
      </c>
      <c r="O783">
        <v>8.9302583428646446E-3</v>
      </c>
      <c r="P783">
        <v>1.2967340071360261E-2</v>
      </c>
      <c r="Q783">
        <v>3.0945611892942305E-3</v>
      </c>
      <c r="R783">
        <v>6.4302730959915426E-4</v>
      </c>
      <c r="S783">
        <v>8.8122973254720155E-2</v>
      </c>
      <c r="T783">
        <v>0.8132425577497282</v>
      </c>
      <c r="U783">
        <v>1.6948010610431736E-2</v>
      </c>
      <c r="V783">
        <v>1.041334969145717E-2</v>
      </c>
      <c r="W783">
        <v>4.2146100882078499E-2</v>
      </c>
      <c r="X783">
        <v>1.0477541654142509E-2</v>
      </c>
      <c r="Y783">
        <v>1.7501083628332578E-3</v>
      </c>
    </row>
    <row r="784" spans="1:25">
      <c r="A784" s="876"/>
      <c r="B784" s="1202">
        <v>534</v>
      </c>
      <c r="C784" s="880">
        <v>1.0207390630211097</v>
      </c>
      <c r="D784" s="880">
        <v>1.0156830747362231</v>
      </c>
      <c r="E784" s="880">
        <v>0.98878322175263789</v>
      </c>
      <c r="F784" s="880">
        <v>1.0140024854882799</v>
      </c>
      <c r="G784" s="880">
        <v>1.0239192741884184</v>
      </c>
      <c r="H784" s="880">
        <v>1.0411455787136188</v>
      </c>
      <c r="I784" s="880">
        <v>0.97632750217113928</v>
      </c>
      <c r="K784">
        <v>1.0717692748394363</v>
      </c>
      <c r="L784">
        <v>0</v>
      </c>
      <c r="M784">
        <v>7.1475398926970407E-4</v>
      </c>
      <c r="N784">
        <v>6.8823898636423561E-2</v>
      </c>
      <c r="O784">
        <v>8.5379044003877445E-3</v>
      </c>
      <c r="P784">
        <v>1.2522341188686847E-2</v>
      </c>
      <c r="Q784">
        <v>2.8413768721568386E-3</v>
      </c>
      <c r="R784">
        <v>7.0314236886281803E-4</v>
      </c>
      <c r="S784">
        <v>8.2521719547591632E-2</v>
      </c>
      <c r="T784">
        <v>0.81674448547423206</v>
      </c>
      <c r="U784">
        <v>1.6567043898468546E-2</v>
      </c>
      <c r="V784">
        <v>1.0411159634174225E-2</v>
      </c>
      <c r="W784">
        <v>4.1457352772964813E-2</v>
      </c>
      <c r="X784">
        <v>9.439882297531935E-3</v>
      </c>
      <c r="Y784">
        <v>1.9137217372249904E-3</v>
      </c>
    </row>
    <row r="785" spans="1:25">
      <c r="A785" s="876"/>
      <c r="B785" s="1202">
        <v>535</v>
      </c>
      <c r="C785" s="880">
        <v>0.99787161012949221</v>
      </c>
      <c r="D785" s="880">
        <v>1.0043992749949984</v>
      </c>
      <c r="E785" s="880">
        <v>0.99709751918257927</v>
      </c>
      <c r="F785" s="880">
        <v>0.96293943429536577</v>
      </c>
      <c r="G785" s="880">
        <v>1.0058572645346924</v>
      </c>
      <c r="H785" s="880">
        <v>1.0072894548274984</v>
      </c>
      <c r="I785" s="880">
        <v>1.0030214531170802</v>
      </c>
      <c r="K785">
        <v>1.0757572554075709</v>
      </c>
      <c r="L785">
        <v>0</v>
      </c>
      <c r="M785">
        <v>6.9923375292521963E-4</v>
      </c>
      <c r="N785">
        <v>6.9057307913698102E-2</v>
      </c>
      <c r="O785">
        <v>8.7856969315168471E-3</v>
      </c>
      <c r="P785">
        <v>1.2644122132801163E-2</v>
      </c>
      <c r="Q785">
        <v>2.9460270488389927E-3</v>
      </c>
      <c r="R785">
        <v>6.8750204953137834E-4</v>
      </c>
      <c r="S785">
        <v>8.5990781672373839E-2</v>
      </c>
      <c r="T785">
        <v>0.81607123487907529</v>
      </c>
      <c r="U785">
        <v>1.6946698046412904E-2</v>
      </c>
      <c r="V785">
        <v>1.0413342145941241E-2</v>
      </c>
      <c r="W785">
        <v>4.1360808648641223E-2</v>
      </c>
      <c r="X785">
        <v>9.6818137478304599E-3</v>
      </c>
      <c r="Y785">
        <v>1.8711539438346935E-3</v>
      </c>
    </row>
    <row r="786" spans="1:25">
      <c r="A786" s="876"/>
      <c r="B786" s="1202">
        <v>536</v>
      </c>
      <c r="C786" s="880">
        <v>1.0035379362642141</v>
      </c>
      <c r="D786" s="880">
        <v>0.99039766141918495</v>
      </c>
      <c r="E786" s="880">
        <v>0.97597566856372464</v>
      </c>
      <c r="F786" s="880">
        <v>1.0184121128520449</v>
      </c>
      <c r="G786" s="880">
        <v>1.0321449077288414</v>
      </c>
      <c r="H786" s="880">
        <v>0.96251711569856546</v>
      </c>
      <c r="I786" s="880">
        <v>0.99676603352578041</v>
      </c>
      <c r="K786">
        <v>1.068107310216905</v>
      </c>
      <c r="L786">
        <v>0</v>
      </c>
      <c r="M786">
        <v>6.9974373469744769E-4</v>
      </c>
      <c r="N786">
        <v>6.4658017441457549E-2</v>
      </c>
      <c r="O786">
        <v>8.8017518891898659E-3</v>
      </c>
      <c r="P786">
        <v>1.2438420790173505E-2</v>
      </c>
      <c r="Q786">
        <v>2.8859178416199387E-3</v>
      </c>
      <c r="R786">
        <v>6.8747003915232714E-4</v>
      </c>
      <c r="S786">
        <v>8.3970373641809995E-2</v>
      </c>
      <c r="T786">
        <v>0.81778616137706339</v>
      </c>
      <c r="U786">
        <v>1.6851011062824519E-2</v>
      </c>
      <c r="V786">
        <v>1.0412792071699293E-2</v>
      </c>
      <c r="W786">
        <v>3.9295050329720083E-2</v>
      </c>
      <c r="X786">
        <v>9.1490206447573646E-3</v>
      </c>
      <c r="Y786">
        <v>1.8710668221351341E-3</v>
      </c>
    </row>
    <row r="787" spans="1:25">
      <c r="A787" s="876"/>
      <c r="B787" s="1202">
        <v>537</v>
      </c>
      <c r="C787" s="880">
        <v>0.96156817203151723</v>
      </c>
      <c r="D787" s="880">
        <v>1.0124231342349379</v>
      </c>
      <c r="E787" s="880">
        <v>0.97476848020440199</v>
      </c>
      <c r="F787" s="880">
        <v>1.0348769744525255</v>
      </c>
      <c r="G787" s="880">
        <v>0.98067748883265593</v>
      </c>
      <c r="H787" s="880">
        <v>0.97430487048167524</v>
      </c>
      <c r="I787" s="880">
        <v>0.98454456448196581</v>
      </c>
      <c r="K787">
        <v>1.0761899262872447</v>
      </c>
      <c r="L787">
        <v>0</v>
      </c>
      <c r="M787">
        <v>7.3248316548481696E-4</v>
      </c>
      <c r="N787">
        <v>6.7441680048339656E-2</v>
      </c>
      <c r="O787">
        <v>9.0788215142003029E-3</v>
      </c>
      <c r="P787">
        <v>1.2465997640295972E-2</v>
      </c>
      <c r="Q787">
        <v>2.9779893097391028E-3</v>
      </c>
      <c r="R787">
        <v>7.1977014996953202E-4</v>
      </c>
      <c r="S787">
        <v>8.6047604050785792E-2</v>
      </c>
      <c r="T787">
        <v>0.81788463174065873</v>
      </c>
      <c r="U787">
        <v>1.7586510616532863E-2</v>
      </c>
      <c r="V787">
        <v>1.0417020226295514E-2</v>
      </c>
      <c r="W787">
        <v>4.1021243389432291E-2</v>
      </c>
      <c r="X787">
        <v>9.3221636904284467E-3</v>
      </c>
      <c r="Y787">
        <v>1.9589770760508967E-3</v>
      </c>
    </row>
    <row r="788" spans="1:25">
      <c r="A788" s="876"/>
      <c r="B788" s="1202">
        <v>538</v>
      </c>
      <c r="C788" s="880">
        <v>0.96745842660207559</v>
      </c>
      <c r="D788" s="880">
        <v>0.9776978770395145</v>
      </c>
      <c r="E788" s="880">
        <v>1.0173421439414312</v>
      </c>
      <c r="F788" s="880">
        <v>0.98829774918858548</v>
      </c>
      <c r="G788" s="880">
        <v>1.0260598407667487</v>
      </c>
      <c r="H788" s="880">
        <v>1.0093603621442397</v>
      </c>
      <c r="I788" s="880">
        <v>1.0101397327476305</v>
      </c>
      <c r="K788">
        <v>1.0879619796490629</v>
      </c>
      <c r="L788">
        <v>0</v>
      </c>
      <c r="M788">
        <v>7.0250802815737684E-4</v>
      </c>
      <c r="N788">
        <v>7.3893647583167549E-2</v>
      </c>
      <c r="O788">
        <v>9.1931454503892101E-3</v>
      </c>
      <c r="P788">
        <v>1.2884258455036499E-2</v>
      </c>
      <c r="Q788">
        <v>3.139422164732837E-3</v>
      </c>
      <c r="R788">
        <v>6.9076891225355603E-4</v>
      </c>
      <c r="S788">
        <v>9.0610118842096937E-2</v>
      </c>
      <c r="T788">
        <v>0.81444174933063551</v>
      </c>
      <c r="U788">
        <v>1.7479437256385448E-2</v>
      </c>
      <c r="V788">
        <v>1.041640469537158E-2</v>
      </c>
      <c r="W788">
        <v>4.3651653510196807E-2</v>
      </c>
      <c r="X788">
        <v>1.0383836209710987E-2</v>
      </c>
      <c r="Y788">
        <v>1.8800452672434538E-3</v>
      </c>
    </row>
    <row r="789" spans="1:25">
      <c r="A789" s="876"/>
      <c r="B789" s="1202">
        <v>539</v>
      </c>
      <c r="C789" s="880">
        <v>0.99348178168230139</v>
      </c>
      <c r="D789" s="880">
        <v>1.02786447512936</v>
      </c>
      <c r="E789" s="880">
        <v>0.99099244371871342</v>
      </c>
      <c r="F789" s="880">
        <v>1.0388768002331781</v>
      </c>
      <c r="G789" s="880">
        <v>1.0088655039460497</v>
      </c>
      <c r="H789" s="880">
        <v>0.96823757969357904</v>
      </c>
      <c r="I789" s="880">
        <v>0.99774127304148119</v>
      </c>
      <c r="K789">
        <v>1.0676904784254482</v>
      </c>
      <c r="L789">
        <v>0</v>
      </c>
      <c r="M789">
        <v>6.7548482831216025E-4</v>
      </c>
      <c r="N789">
        <v>6.5409135076548081E-2</v>
      </c>
      <c r="O789">
        <v>8.7166719140555019E-3</v>
      </c>
      <c r="P789">
        <v>1.2560961027180373E-2</v>
      </c>
      <c r="Q789">
        <v>2.9099211979257667E-3</v>
      </c>
      <c r="R789">
        <v>6.6367460757256252E-4</v>
      </c>
      <c r="S789">
        <v>8.3553048005897662E-2</v>
      </c>
      <c r="T789">
        <v>0.81656536484864906</v>
      </c>
      <c r="U789">
        <v>1.7021579235521504E-2</v>
      </c>
      <c r="V789">
        <v>1.0413772614243103E-2</v>
      </c>
      <c r="W789">
        <v>3.9340470330310046E-2</v>
      </c>
      <c r="X789">
        <v>9.4050608943193892E-3</v>
      </c>
      <c r="Y789">
        <v>1.8063035015369276E-3</v>
      </c>
    </row>
    <row r="790" spans="1:25">
      <c r="A790" s="876"/>
      <c r="B790" s="1202">
        <v>540</v>
      </c>
      <c r="C790" s="880">
        <v>0.98052431195870204</v>
      </c>
      <c r="D790" s="880">
        <v>0.96703917832129338</v>
      </c>
      <c r="E790" s="880">
        <v>0.99591824684783936</v>
      </c>
      <c r="F790" s="880">
        <v>0.9646741572648313</v>
      </c>
      <c r="G790" s="880">
        <v>1.0076989577021744</v>
      </c>
      <c r="H790" s="880">
        <v>0.99583416770533362</v>
      </c>
      <c r="I790" s="880">
        <v>0.99224498531685812</v>
      </c>
      <c r="K790">
        <v>1.0814571323676736</v>
      </c>
      <c r="L790">
        <v>0</v>
      </c>
      <c r="M790">
        <v>7.1964705374822366E-4</v>
      </c>
      <c r="N790">
        <v>7.0802526110504416E-2</v>
      </c>
      <c r="O790">
        <v>9.1239639386451396E-3</v>
      </c>
      <c r="P790">
        <v>1.2663015486631997E-2</v>
      </c>
      <c r="Q790">
        <v>3.047129582082286E-3</v>
      </c>
      <c r="R790">
        <v>7.0746812638662951E-4</v>
      </c>
      <c r="S790">
        <v>8.7803188771495053E-2</v>
      </c>
      <c r="T790">
        <v>0.81616658373476569</v>
      </c>
      <c r="U790">
        <v>1.7246516643908191E-2</v>
      </c>
      <c r="V790">
        <v>1.0415065708348095E-2</v>
      </c>
      <c r="W790">
        <v>4.2440395344048969E-2</v>
      </c>
      <c r="X790">
        <v>9.8354309513854921E-3</v>
      </c>
      <c r="Y790">
        <v>1.9254950232192205E-3</v>
      </c>
    </row>
    <row r="791" spans="1:25">
      <c r="A791" s="876"/>
      <c r="B791" s="1202">
        <v>541</v>
      </c>
      <c r="C791" s="880">
        <v>1.007130081141399</v>
      </c>
      <c r="D791" s="880">
        <v>1.0220426175679727</v>
      </c>
      <c r="E791" s="880">
        <v>1.0233944761691907</v>
      </c>
      <c r="F791" s="880">
        <v>1.0317863460966477</v>
      </c>
      <c r="G791" s="880">
        <v>1.0011794043079247</v>
      </c>
      <c r="H791" s="880">
        <v>0.99764471599940441</v>
      </c>
      <c r="I791" s="880">
        <v>1.0342442204748958</v>
      </c>
      <c r="K791">
        <v>1.073634529555324</v>
      </c>
      <c r="L791">
        <v>0</v>
      </c>
      <c r="M791">
        <v>6.4317023440680038E-4</v>
      </c>
      <c r="N791">
        <v>6.8918516169026126E-2</v>
      </c>
      <c r="O791">
        <v>8.6245699453310915E-3</v>
      </c>
      <c r="P791">
        <v>1.2871565418230202E-2</v>
      </c>
      <c r="Q791">
        <v>2.9728618066811601E-3</v>
      </c>
      <c r="R791">
        <v>6.3226097741124389E-4</v>
      </c>
      <c r="S791">
        <v>8.6744642047566517E-2</v>
      </c>
      <c r="T791">
        <v>0.81395730823179202</v>
      </c>
      <c r="U791">
        <v>1.6790908327142078E-2</v>
      </c>
      <c r="V791">
        <v>1.0412446560057815E-2</v>
      </c>
      <c r="W791">
        <v>4.0546774682946062E-2</v>
      </c>
      <c r="X791">
        <v>1.0085039667806821E-2</v>
      </c>
      <c r="Y791">
        <v>1.7208059557382177E-3</v>
      </c>
    </row>
    <row r="792" spans="1:25">
      <c r="A792" s="876"/>
      <c r="B792" s="1202">
        <v>542</v>
      </c>
      <c r="C792" s="880">
        <v>0.99858257880678369</v>
      </c>
      <c r="D792" s="880">
        <v>1.0246751398154619</v>
      </c>
      <c r="E792" s="880">
        <v>1.0371370140892386</v>
      </c>
      <c r="F792" s="880">
        <v>1.0329559284355749</v>
      </c>
      <c r="G792" s="880">
        <v>1.021445614023309</v>
      </c>
      <c r="H792" s="880">
        <v>0.99738832188312843</v>
      </c>
      <c r="I792" s="880">
        <v>1.0022686383144341</v>
      </c>
      <c r="K792">
        <v>1.0729734187929167</v>
      </c>
      <c r="L792">
        <v>0</v>
      </c>
      <c r="M792">
        <v>6.2906611470542285E-4</v>
      </c>
      <c r="N792">
        <v>7.0344392350089588E-2</v>
      </c>
      <c r="O792">
        <v>8.6864950433162107E-3</v>
      </c>
      <c r="P792">
        <v>1.2958325937350336E-2</v>
      </c>
      <c r="Q792">
        <v>3.0357391865827349E-3</v>
      </c>
      <c r="R792">
        <v>6.1839134853473583E-4</v>
      </c>
      <c r="S792">
        <v>8.4664958861715905E-2</v>
      </c>
      <c r="T792">
        <v>0.81286196833585533</v>
      </c>
      <c r="U792">
        <v>1.6934632372776884E-2</v>
      </c>
      <c r="V792">
        <v>1.0413272784194962E-2</v>
      </c>
      <c r="W792">
        <v>4.1006352009952743E-2</v>
      </c>
      <c r="X792">
        <v>1.0394899279193636E-2</v>
      </c>
      <c r="Y792">
        <v>1.6830573980582929E-3</v>
      </c>
    </row>
    <row r="793" spans="1:25">
      <c r="A793" s="876"/>
      <c r="B793" s="1202">
        <v>543</v>
      </c>
      <c r="C793" s="880">
        <v>0.99249565168622145</v>
      </c>
      <c r="D793" s="880">
        <v>0.97232097629105529</v>
      </c>
      <c r="E793" s="880">
        <v>0.98215575889463358</v>
      </c>
      <c r="F793" s="880">
        <v>0.9976486881979173</v>
      </c>
      <c r="G793" s="880">
        <v>0.97090872904992154</v>
      </c>
      <c r="H793" s="880">
        <v>0.9985386512690162</v>
      </c>
      <c r="I793" s="880">
        <v>0.97276564206075655</v>
      </c>
      <c r="K793">
        <v>1.0762184854929462</v>
      </c>
      <c r="L793">
        <v>0</v>
      </c>
      <c r="M793">
        <v>7.3169576990436214E-4</v>
      </c>
      <c r="N793">
        <v>6.897104897549651E-2</v>
      </c>
      <c r="O793">
        <v>8.9876904582707248E-3</v>
      </c>
      <c r="P793">
        <v>1.2505435974195726E-2</v>
      </c>
      <c r="Q793">
        <v>2.9613514434315841E-3</v>
      </c>
      <c r="R793">
        <v>7.1934146805517792E-4</v>
      </c>
      <c r="S793">
        <v>8.4906195566702244E-2</v>
      </c>
      <c r="T793">
        <v>0.81728282324310297</v>
      </c>
      <c r="U793">
        <v>1.7038491641975181E-2</v>
      </c>
      <c r="V793">
        <v>1.041386983832532E-2</v>
      </c>
      <c r="W793">
        <v>4.1736755505024398E-2</v>
      </c>
      <c r="X793">
        <v>9.4693668030752069E-3</v>
      </c>
      <c r="Y793">
        <v>1.9578103451949797E-3</v>
      </c>
    </row>
    <row r="794" spans="1:25">
      <c r="A794" s="876"/>
      <c r="B794" s="1202">
        <v>544</v>
      </c>
      <c r="C794" s="880">
        <v>0.99424266186141352</v>
      </c>
      <c r="D794" s="880">
        <v>1.015870936126231</v>
      </c>
      <c r="E794" s="880">
        <v>0.99594541872243236</v>
      </c>
      <c r="F794" s="880">
        <v>0.98338237869110989</v>
      </c>
      <c r="G794" s="880">
        <v>0.98233146282666706</v>
      </c>
      <c r="H794" s="880">
        <v>0.98300866761100036</v>
      </c>
      <c r="I794" s="880">
        <v>0.99984150043333131</v>
      </c>
      <c r="K794">
        <v>1.0713339577438754</v>
      </c>
      <c r="L794">
        <v>0</v>
      </c>
      <c r="M794">
        <v>6.824006378170134E-4</v>
      </c>
      <c r="N794">
        <v>6.7124371724054777E-2</v>
      </c>
      <c r="O794">
        <v>8.7645749738891211E-3</v>
      </c>
      <c r="P794">
        <v>1.2617496701454732E-2</v>
      </c>
      <c r="Q794">
        <v>2.9380165853411999E-3</v>
      </c>
      <c r="R794">
        <v>6.7065881193785948E-4</v>
      </c>
      <c r="S794">
        <v>8.4680431482678745E-2</v>
      </c>
      <c r="T794">
        <v>0.81616438624926013</v>
      </c>
      <c r="U794">
        <v>1.700855285599235E-2</v>
      </c>
      <c r="V794">
        <v>1.0413697729702118E-2</v>
      </c>
      <c r="W794">
        <v>4.0234888703933137E-2</v>
      </c>
      <c r="X794">
        <v>9.5739703599706048E-3</v>
      </c>
      <c r="Y794">
        <v>1.8253122034769158E-3</v>
      </c>
    </row>
    <row r="795" spans="1:25">
      <c r="A795" s="876"/>
      <c r="B795" s="1202">
        <v>545</v>
      </c>
      <c r="C795" s="880">
        <v>0.9874591220955018</v>
      </c>
      <c r="D795" s="880">
        <v>1.0029600071447013</v>
      </c>
      <c r="E795" s="880">
        <v>1.0031262403810945</v>
      </c>
      <c r="F795" s="880">
        <v>1.0069829967480965</v>
      </c>
      <c r="G795" s="880">
        <v>1.011528732017609</v>
      </c>
      <c r="H795" s="880">
        <v>0.99758864411717174</v>
      </c>
      <c r="I795" s="880">
        <v>0.99318924803818021</v>
      </c>
      <c r="K795">
        <v>1.0762081583098551</v>
      </c>
      <c r="L795">
        <v>0</v>
      </c>
      <c r="M795">
        <v>6.915003573107004E-4</v>
      </c>
      <c r="N795">
        <v>6.9575118278063536E-2</v>
      </c>
      <c r="O795">
        <v>8.8851292094001989E-3</v>
      </c>
      <c r="P795">
        <v>1.2693808603928363E-2</v>
      </c>
      <c r="Q795">
        <v>2.9971567574061673E-3</v>
      </c>
      <c r="R795">
        <v>6.7978681546984696E-4</v>
      </c>
      <c r="S795">
        <v>8.5758871690160318E-2</v>
      </c>
      <c r="T795">
        <v>0.81558452686026572</v>
      </c>
      <c r="U795">
        <v>1.7125396370906067E-2</v>
      </c>
      <c r="V795">
        <v>1.0414369426159491E-2</v>
      </c>
      <c r="W795">
        <v>4.1499413707856606E-2</v>
      </c>
      <c r="X795">
        <v>9.8359253275024199E-3</v>
      </c>
      <c r="Y795">
        <v>1.8501556200454302E-3</v>
      </c>
    </row>
    <row r="796" spans="1:25">
      <c r="A796" s="876"/>
      <c r="B796" s="1202">
        <v>546</v>
      </c>
      <c r="C796" s="880">
        <v>0.99661166848025107</v>
      </c>
      <c r="D796" s="880">
        <v>1.0304825712509378</v>
      </c>
      <c r="E796" s="880">
        <v>1.0102147718496248</v>
      </c>
      <c r="F796" s="880">
        <v>0.97310845879780083</v>
      </c>
      <c r="G796" s="880">
        <v>0.99970669316389704</v>
      </c>
      <c r="H796" s="880">
        <v>1.0467452300046389</v>
      </c>
      <c r="I796" s="880">
        <v>0.98763240634497917</v>
      </c>
      <c r="K796">
        <v>1.0782224617941689</v>
      </c>
      <c r="L796">
        <v>0</v>
      </c>
      <c r="M796">
        <v>6.9813628204642183E-4</v>
      </c>
      <c r="N796">
        <v>7.1864071852771827E-2</v>
      </c>
      <c r="O796">
        <v>8.6775494794836643E-3</v>
      </c>
      <c r="P796">
        <v>1.2741439703317575E-2</v>
      </c>
      <c r="Q796">
        <v>2.9539134542645971E-3</v>
      </c>
      <c r="R796">
        <v>6.868434287863296E-4</v>
      </c>
      <c r="S796">
        <v>8.5080466627804788E-2</v>
      </c>
      <c r="T796">
        <v>0.81501383936096528</v>
      </c>
      <c r="U796">
        <v>1.6968122490216963E-2</v>
      </c>
      <c r="V796">
        <v>1.0413465308300892E-2</v>
      </c>
      <c r="W796">
        <v>4.265826250571491E-2</v>
      </c>
      <c r="X796">
        <v>9.9932624693063569E-3</v>
      </c>
      <c r="Y796">
        <v>1.8693613952809409E-3</v>
      </c>
    </row>
    <row r="797" spans="1:25">
      <c r="A797" s="876"/>
      <c r="B797" s="1202">
        <v>547</v>
      </c>
      <c r="C797" s="880">
        <v>0.97925826145456107</v>
      </c>
      <c r="D797" s="880">
        <v>1.007833408243737</v>
      </c>
      <c r="E797" s="880">
        <v>1.0227999504802183</v>
      </c>
      <c r="F797" s="880">
        <v>0.99304914013486889</v>
      </c>
      <c r="G797" s="880">
        <v>0.97254647624448931</v>
      </c>
      <c r="H797" s="880">
        <v>1.0376326326398304</v>
      </c>
      <c r="I797" s="880">
        <v>0.97861075481469828</v>
      </c>
      <c r="K797">
        <v>1.083244860027136</v>
      </c>
      <c r="L797">
        <v>0</v>
      </c>
      <c r="M797">
        <v>6.9399739723301603E-4</v>
      </c>
      <c r="N797">
        <v>7.4278297954940509E-2</v>
      </c>
      <c r="O797">
        <v>8.9364206975521328E-3</v>
      </c>
      <c r="P797">
        <v>1.2868892786653466E-2</v>
      </c>
      <c r="Q797">
        <v>3.0753418066812848E-3</v>
      </c>
      <c r="R797">
        <v>6.8269122081152827E-4</v>
      </c>
      <c r="S797">
        <v>8.6427239033778774E-2</v>
      </c>
      <c r="T797">
        <v>0.81400483996683293</v>
      </c>
      <c r="U797">
        <v>1.7268814092856188E-2</v>
      </c>
      <c r="V797">
        <v>1.041519388933853E-2</v>
      </c>
      <c r="W797">
        <v>4.3717587902334314E-2</v>
      </c>
      <c r="X797">
        <v>1.0405477618640092E-2</v>
      </c>
      <c r="Y797">
        <v>1.8580604539485228E-3</v>
      </c>
    </row>
    <row r="798" spans="1:25">
      <c r="A798" s="876"/>
      <c r="B798" s="1202">
        <v>548</v>
      </c>
      <c r="C798" s="880">
        <v>1.0023546193541879</v>
      </c>
      <c r="D798" s="880">
        <v>1.0180473554356089</v>
      </c>
      <c r="E798" s="880">
        <v>0.98962108722658815</v>
      </c>
      <c r="F798" s="880">
        <v>0.98515264419082793</v>
      </c>
      <c r="G798" s="880">
        <v>0.97860468579280813</v>
      </c>
      <c r="H798" s="880">
        <v>1.0136833317079894</v>
      </c>
      <c r="I798" s="880">
        <v>0.99853063694393707</v>
      </c>
      <c r="K798">
        <v>1.0735701431133702</v>
      </c>
      <c r="L798">
        <v>0</v>
      </c>
      <c r="M798">
        <v>7.0654431189560107E-4</v>
      </c>
      <c r="N798">
        <v>6.8180389004868475E-2</v>
      </c>
      <c r="O798">
        <v>8.6837439483406914E-3</v>
      </c>
      <c r="P798">
        <v>1.2565385732885117E-2</v>
      </c>
      <c r="Q798">
        <v>2.8928598830921782E-3</v>
      </c>
      <c r="R798">
        <v>6.9475310094066413E-4</v>
      </c>
      <c r="S798">
        <v>8.4878061965961454E-2</v>
      </c>
      <c r="T798">
        <v>0.81667653303406529</v>
      </c>
      <c r="U798">
        <v>1.6870904308145761E-2</v>
      </c>
      <c r="V798">
        <v>1.0412906431682543E-2</v>
      </c>
      <c r="W798">
        <v>4.1046005841743761E-2</v>
      </c>
      <c r="X798">
        <v>9.4842552580781479E-3</v>
      </c>
      <c r="Y798">
        <v>1.8908889154623148E-3</v>
      </c>
    </row>
    <row r="799" spans="1:25">
      <c r="A799" s="876"/>
      <c r="B799" s="1202">
        <v>549</v>
      </c>
      <c r="C799" s="880">
        <v>0.98493609267162474</v>
      </c>
      <c r="D799" s="880">
        <v>0.98378279932978108</v>
      </c>
      <c r="E799" s="880">
        <v>1.0014650801591725</v>
      </c>
      <c r="F799" s="880">
        <v>0.99640602664485234</v>
      </c>
      <c r="G799" s="880">
        <v>1.0353330808314094</v>
      </c>
      <c r="H799" s="880">
        <v>0.9841152303783115</v>
      </c>
      <c r="I799" s="880">
        <v>0.97511717168531864</v>
      </c>
      <c r="K799">
        <v>1.0752433639430479</v>
      </c>
      <c r="L799">
        <v>0</v>
      </c>
      <c r="M799">
        <v>6.9339569541185036E-4</v>
      </c>
      <c r="N799">
        <v>6.9391603452184286E-2</v>
      </c>
      <c r="O799">
        <v>9.0001304108294315E-3</v>
      </c>
      <c r="P799">
        <v>1.2666739998720681E-2</v>
      </c>
      <c r="Q799">
        <v>3.0265106981972774E-3</v>
      </c>
      <c r="R799">
        <v>6.815061550834242E-4</v>
      </c>
      <c r="S799">
        <v>8.4749239677157931E-2</v>
      </c>
      <c r="T799">
        <v>0.81571851163439157</v>
      </c>
      <c r="U799">
        <v>1.7169265084075191E-2</v>
      </c>
      <c r="V799">
        <v>1.0414621613533724E-2</v>
      </c>
      <c r="W799">
        <v>4.1436949329244278E-2</v>
      </c>
      <c r="X799">
        <v>9.8268464893490805E-3</v>
      </c>
      <c r="Y799">
        <v>1.8548350956934356E-3</v>
      </c>
    </row>
    <row r="800" spans="1:25">
      <c r="A800" s="876"/>
      <c r="B800" s="1202">
        <v>550</v>
      </c>
      <c r="C800" s="880">
        <v>1.0420251295596528</v>
      </c>
      <c r="D800" s="880">
        <v>0.97008054226130602</v>
      </c>
      <c r="E800" s="880">
        <v>0.99861818249527845</v>
      </c>
      <c r="F800" s="880">
        <v>1.0310963948829746</v>
      </c>
      <c r="G800" s="880">
        <v>1.0100865070754794</v>
      </c>
      <c r="H800" s="880">
        <v>1.01531854570108</v>
      </c>
      <c r="I800" s="880">
        <v>0.96561963598135736</v>
      </c>
      <c r="K800">
        <v>1.067655199562433</v>
      </c>
      <c r="L800">
        <v>0</v>
      </c>
      <c r="M800">
        <v>6.8536040109101542E-4</v>
      </c>
      <c r="N800">
        <v>6.8020319849420946E-2</v>
      </c>
      <c r="O800">
        <v>8.5710549734815678E-3</v>
      </c>
      <c r="P800">
        <v>1.2578053872964264E-2</v>
      </c>
      <c r="Q800">
        <v>2.8709480858755349E-3</v>
      </c>
      <c r="R800">
        <v>6.7398164649414721E-4</v>
      </c>
      <c r="S800">
        <v>8.0933991763914706E-2</v>
      </c>
      <c r="T800">
        <v>0.81594835291798051</v>
      </c>
      <c r="U800">
        <v>1.6228619047890535E-2</v>
      </c>
      <c r="V800">
        <v>1.040921413661379E-2</v>
      </c>
      <c r="W800">
        <v>4.0697289607759257E-2</v>
      </c>
      <c r="X800">
        <v>9.5743781973610768E-3</v>
      </c>
      <c r="Y800">
        <v>1.8343558637670132E-3</v>
      </c>
    </row>
    <row r="801" spans="1:25">
      <c r="A801" s="876"/>
      <c r="B801" s="1202">
        <v>551</v>
      </c>
      <c r="C801" s="880">
        <v>0.99935102027900813</v>
      </c>
      <c r="D801" s="880">
        <v>1.0067570611132273</v>
      </c>
      <c r="E801" s="880">
        <v>1.0005246344492447</v>
      </c>
      <c r="F801" s="880">
        <v>1.0122836281462839</v>
      </c>
      <c r="G801" s="880">
        <v>0.98043447986624055</v>
      </c>
      <c r="H801" s="880">
        <v>0.97783421522000058</v>
      </c>
      <c r="I801" s="880">
        <v>0.99048116930377228</v>
      </c>
      <c r="K801">
        <v>1.0696756208313529</v>
      </c>
      <c r="L801">
        <v>0</v>
      </c>
      <c r="M801">
        <v>6.7207019643055073E-4</v>
      </c>
      <c r="N801">
        <v>6.7051454604077201E-2</v>
      </c>
      <c r="O801">
        <v>8.7617345144123948E-3</v>
      </c>
      <c r="P801">
        <v>1.2640494143479045E-2</v>
      </c>
      <c r="Q801">
        <v>2.9486521815148803E-3</v>
      </c>
      <c r="R801">
        <v>6.6045258152979043E-4</v>
      </c>
      <c r="S801">
        <v>8.3650975414689202E-2</v>
      </c>
      <c r="T801">
        <v>0.81579440706779416</v>
      </c>
      <c r="U801">
        <v>1.6921610648109493E-2</v>
      </c>
      <c r="V801">
        <v>1.041319792641328E-2</v>
      </c>
      <c r="W801">
        <v>4.0065293255409293E-2</v>
      </c>
      <c r="X801">
        <v>9.6418844815665782E-3</v>
      </c>
      <c r="Y801">
        <v>1.7975342087891007E-3</v>
      </c>
    </row>
    <row r="802" spans="1:25">
      <c r="A802" s="876"/>
      <c r="B802" s="1202">
        <v>552</v>
      </c>
      <c r="C802" s="880">
        <v>0.9849814417243119</v>
      </c>
      <c r="D802" s="880">
        <v>0.98751932557848632</v>
      </c>
      <c r="E802" s="880">
        <v>0.96393429487538662</v>
      </c>
      <c r="F802" s="880">
        <v>0.98297985197616289</v>
      </c>
      <c r="G802" s="880">
        <v>0.98717845306347873</v>
      </c>
      <c r="H802" s="880">
        <v>0.99637441156597206</v>
      </c>
      <c r="I802" s="880">
        <v>1.029083531215004</v>
      </c>
      <c r="K802">
        <v>1.0804028436962096</v>
      </c>
      <c r="L802">
        <v>0</v>
      </c>
      <c r="M802">
        <v>7.5804115776993068E-4</v>
      </c>
      <c r="N802">
        <v>6.7504900095121639E-2</v>
      </c>
      <c r="O802">
        <v>8.9815157284483024E-3</v>
      </c>
      <c r="P802">
        <v>1.2417754272969133E-2</v>
      </c>
      <c r="Q802">
        <v>2.908201616652156E-3</v>
      </c>
      <c r="R802">
        <v>7.4519948061057628E-4</v>
      </c>
      <c r="S802">
        <v>8.9727529051693761E-2</v>
      </c>
      <c r="T802">
        <v>0.81877057870312664</v>
      </c>
      <c r="U802">
        <v>1.7168474602271253E-2</v>
      </c>
      <c r="V802">
        <v>1.0414617069303541E-2</v>
      </c>
      <c r="W802">
        <v>4.1371874426584521E-2</v>
      </c>
      <c r="X802">
        <v>9.1220524759187422E-3</v>
      </c>
      <c r="Y802">
        <v>2.0281873312792266E-3</v>
      </c>
    </row>
    <row r="803" spans="1:25">
      <c r="A803" s="876"/>
      <c r="B803" s="1202">
        <v>553</v>
      </c>
      <c r="C803" s="880">
        <v>0.96894111312124409</v>
      </c>
      <c r="D803" s="880">
        <v>0.96729840491568353</v>
      </c>
      <c r="E803" s="880">
        <v>1.0205298786815937</v>
      </c>
      <c r="F803" s="880">
        <v>0.97453109058481757</v>
      </c>
      <c r="G803" s="880">
        <v>0.99874532000541805</v>
      </c>
      <c r="H803" s="880">
        <v>1.0094798077989822</v>
      </c>
      <c r="I803" s="880">
        <v>0.9939480575909071</v>
      </c>
      <c r="K803">
        <v>1.0875130249760043</v>
      </c>
      <c r="L803">
        <v>0</v>
      </c>
      <c r="M803">
        <v>7.0079497563468114E-4</v>
      </c>
      <c r="N803">
        <v>7.4448262533460707E-2</v>
      </c>
      <c r="O803">
        <v>9.231712496168604E-3</v>
      </c>
      <c r="P803">
        <v>1.2895203315443398E-2</v>
      </c>
      <c r="Q803">
        <v>3.1600495598923103E-3</v>
      </c>
      <c r="R803">
        <v>6.8909517324925102E-4</v>
      </c>
      <c r="S803">
        <v>8.9502837427484105E-2</v>
      </c>
      <c r="T803">
        <v>0.81418644082651181</v>
      </c>
      <c r="U803">
        <v>1.7452689990084421E-2</v>
      </c>
      <c r="V803">
        <v>1.0416250933786874E-2</v>
      </c>
      <c r="W803">
        <v>4.3884716466416951E-2</v>
      </c>
      <c r="X803">
        <v>1.0471071327718061E-2</v>
      </c>
      <c r="Y803">
        <v>1.8754899014216512E-3</v>
      </c>
    </row>
    <row r="804" spans="1:25">
      <c r="A804" s="876"/>
      <c r="B804" s="1202">
        <v>554</v>
      </c>
      <c r="C804" s="880">
        <v>1.016229788757218</v>
      </c>
      <c r="D804" s="880">
        <v>0.96377134945064158</v>
      </c>
      <c r="E804" s="880">
        <v>0.99398242392689296</v>
      </c>
      <c r="F804" s="880">
        <v>1.0373369423417651</v>
      </c>
      <c r="G804" s="880">
        <v>1.0176870410161971</v>
      </c>
      <c r="H804" s="880">
        <v>0.9618196303255403</v>
      </c>
      <c r="I804" s="880">
        <v>0.99040691746982012</v>
      </c>
      <c r="K804">
        <v>1.0680050745568046</v>
      </c>
      <c r="L804">
        <v>0</v>
      </c>
      <c r="M804">
        <v>6.7460011920842907E-4</v>
      </c>
      <c r="N804">
        <v>6.5932045203337314E-2</v>
      </c>
      <c r="O804">
        <v>8.8193500771115325E-3</v>
      </c>
      <c r="P804">
        <v>1.2579959616815991E-2</v>
      </c>
      <c r="Q804">
        <v>2.9389014757434757E-3</v>
      </c>
      <c r="R804">
        <v>6.6278278039902448E-4</v>
      </c>
      <c r="S804">
        <v>8.3495721067956927E-2</v>
      </c>
      <c r="T804">
        <v>0.81632320507148604</v>
      </c>
      <c r="U804">
        <v>1.6640556154758037E-2</v>
      </c>
      <c r="V804">
        <v>1.0411582232913746E-2</v>
      </c>
      <c r="W804">
        <v>3.9573503639217016E-2</v>
      </c>
      <c r="X804">
        <v>9.4981911143121617E-3</v>
      </c>
      <c r="Y804">
        <v>1.8038762419613056E-3</v>
      </c>
    </row>
    <row r="805" spans="1:25">
      <c r="A805" s="876"/>
      <c r="B805" s="1202">
        <v>555</v>
      </c>
      <c r="C805" s="880">
        <v>0.98310400283944921</v>
      </c>
      <c r="D805" s="880">
        <v>1.0034750242774026</v>
      </c>
      <c r="E805" s="880">
        <v>0.98812881169663125</v>
      </c>
      <c r="F805" s="880">
        <v>0.99107203387885667</v>
      </c>
      <c r="G805" s="880">
        <v>0.98777514377835962</v>
      </c>
      <c r="H805" s="880">
        <v>1.0058003659423573</v>
      </c>
      <c r="I805" s="880">
        <v>1.0363673552748542</v>
      </c>
      <c r="K805">
        <v>1.0818303157302382</v>
      </c>
      <c r="L805">
        <v>0</v>
      </c>
      <c r="M805">
        <v>7.2253854771272186E-4</v>
      </c>
      <c r="N805">
        <v>6.9392608160985067E-2</v>
      </c>
      <c r="O805">
        <v>8.9220479524144813E-3</v>
      </c>
      <c r="P805">
        <v>1.2628957466974998E-2</v>
      </c>
      <c r="Q805">
        <v>2.964585347388091E-3</v>
      </c>
      <c r="R805">
        <v>7.1039870941836487E-4</v>
      </c>
      <c r="S805">
        <v>9.0169563791494101E-2</v>
      </c>
      <c r="T805">
        <v>0.81679757589349211</v>
      </c>
      <c r="U805">
        <v>1.7201261328516917E-2</v>
      </c>
      <c r="V805">
        <v>1.0414805549835699E-2</v>
      </c>
      <c r="W805">
        <v>4.1818798420070032E-2</v>
      </c>
      <c r="X805">
        <v>9.5987805531946302E-3</v>
      </c>
      <c r="Y805">
        <v>1.9334711041651676E-3</v>
      </c>
    </row>
    <row r="806" spans="1:25">
      <c r="A806" s="876"/>
      <c r="B806" s="1202">
        <v>556</v>
      </c>
      <c r="C806" s="880">
        <v>0.99940751316712262</v>
      </c>
      <c r="D806" s="880">
        <v>0.97505447611985052</v>
      </c>
      <c r="E806" s="880">
        <v>0.97357656880718668</v>
      </c>
      <c r="F806" s="880">
        <v>1.0202275069798412</v>
      </c>
      <c r="G806" s="880">
        <v>1.0205450680505623</v>
      </c>
      <c r="H806" s="880">
        <v>1.000865088423228</v>
      </c>
      <c r="I806" s="880">
        <v>0.96212170992365809</v>
      </c>
      <c r="K806">
        <v>1.07346083632109</v>
      </c>
      <c r="L806">
        <v>0</v>
      </c>
      <c r="M806">
        <v>7.4045068925252401E-4</v>
      </c>
      <c r="N806">
        <v>6.7957517248979513E-2</v>
      </c>
      <c r="O806">
        <v>8.912145700407435E-3</v>
      </c>
      <c r="P806">
        <v>1.2411035953051491E-2</v>
      </c>
      <c r="Q806">
        <v>2.9115532927288545E-3</v>
      </c>
      <c r="R806">
        <v>7.2797502407711363E-4</v>
      </c>
      <c r="S806">
        <v>8.3360648922264149E-2</v>
      </c>
      <c r="T806">
        <v>0.81798190427531003</v>
      </c>
      <c r="U806">
        <v>1.6920654130728508E-2</v>
      </c>
      <c r="V806">
        <v>1.0413192427697022E-2</v>
      </c>
      <c r="W806">
        <v>4.1369341033830179E-2</v>
      </c>
      <c r="X806">
        <v>9.2540109626319967E-3</v>
      </c>
      <c r="Y806">
        <v>1.9813080386357116E-3</v>
      </c>
    </row>
    <row r="807" spans="1:25">
      <c r="A807" s="876"/>
      <c r="B807" s="1202">
        <v>557</v>
      </c>
      <c r="C807" s="880">
        <v>1.0002437863654752</v>
      </c>
      <c r="D807" s="880">
        <v>0.96199723165521567</v>
      </c>
      <c r="E807" s="880">
        <v>0.97725275537221312</v>
      </c>
      <c r="F807" s="880">
        <v>1.0216716443237344</v>
      </c>
      <c r="G807" s="880">
        <v>1.0235567189039847</v>
      </c>
      <c r="H807" s="880">
        <v>0.96625265131750104</v>
      </c>
      <c r="I807" s="880">
        <v>0.99257142027518352</v>
      </c>
      <c r="K807">
        <v>1.0722576427755126</v>
      </c>
      <c r="L807">
        <v>0</v>
      </c>
      <c r="M807">
        <v>7.1387673229128784E-4</v>
      </c>
      <c r="N807">
        <v>6.6234114975492184E-2</v>
      </c>
      <c r="O807">
        <v>8.9691420389350265E-3</v>
      </c>
      <c r="P807">
        <v>1.2467124561051524E-2</v>
      </c>
      <c r="Q807">
        <v>2.9381694894277449E-3</v>
      </c>
      <c r="R807">
        <v>7.0143044812252223E-4</v>
      </c>
      <c r="S807">
        <v>8.5254428923627668E-2</v>
      </c>
      <c r="T807">
        <v>0.81768204301577596</v>
      </c>
      <c r="U807">
        <v>1.6906507289987296E-2</v>
      </c>
      <c r="V807">
        <v>1.0413111101978487E-2</v>
      </c>
      <c r="W807">
        <v>4.021716315029681E-2</v>
      </c>
      <c r="X807">
        <v>9.2792220598033621E-3</v>
      </c>
      <c r="Y807">
        <v>1.9090624533044252E-3</v>
      </c>
    </row>
    <row r="808" spans="1:25">
      <c r="A808" s="876"/>
      <c r="B808" s="1202">
        <v>558</v>
      </c>
      <c r="C808" s="880">
        <v>1.0329239007307616</v>
      </c>
      <c r="D808" s="880">
        <v>1.0070719509617063</v>
      </c>
      <c r="E808" s="880">
        <v>1.0270463786398496</v>
      </c>
      <c r="F808" s="880">
        <v>0.99355330469345227</v>
      </c>
      <c r="G808" s="880">
        <v>0.96538196347688954</v>
      </c>
      <c r="H808" s="880">
        <v>1.005067738898141</v>
      </c>
      <c r="I808" s="880">
        <v>1.0230915745054605</v>
      </c>
      <c r="K808">
        <v>1.0696938361639912</v>
      </c>
      <c r="L808">
        <v>0</v>
      </c>
      <c r="M808">
        <v>6.318507172484478E-4</v>
      </c>
      <c r="N808">
        <v>6.8487739578030865E-2</v>
      </c>
      <c r="O808">
        <v>8.4755413031075751E-3</v>
      </c>
      <c r="P808">
        <v>1.2865377896894398E-2</v>
      </c>
      <c r="Q808">
        <v>2.9288776879723977E-3</v>
      </c>
      <c r="R808">
        <v>6.2122406026974782E-4</v>
      </c>
      <c r="S808">
        <v>8.4544513737628682E-2</v>
      </c>
      <c r="T808">
        <v>0.8136656067937138</v>
      </c>
      <c r="U808">
        <v>1.63716115523986E-2</v>
      </c>
      <c r="V808">
        <v>1.0410036155352085E-2</v>
      </c>
      <c r="W808">
        <v>4.0194524750903411E-2</v>
      </c>
      <c r="X808">
        <v>1.0069866259370111E-2</v>
      </c>
      <c r="Y808">
        <v>1.6907671055978232E-3</v>
      </c>
    </row>
    <row r="809" spans="1:25">
      <c r="A809" s="876"/>
      <c r="B809" s="1202">
        <v>559</v>
      </c>
      <c r="C809" s="880">
        <v>0.99065237499749215</v>
      </c>
      <c r="D809" s="880">
        <v>0.98675239624654154</v>
      </c>
      <c r="E809" s="880">
        <v>0.99550715521743438</v>
      </c>
      <c r="F809" s="880">
        <v>1.0060677560932394</v>
      </c>
      <c r="G809" s="880">
        <v>1.0033611517113878</v>
      </c>
      <c r="H809" s="880">
        <v>0.96410774625487161</v>
      </c>
      <c r="I809" s="880">
        <v>0.99926927680233157</v>
      </c>
      <c r="K809">
        <v>1.072405818590376</v>
      </c>
      <c r="L809">
        <v>0</v>
      </c>
      <c r="M809">
        <v>6.828070193488152E-4</v>
      </c>
      <c r="N809">
        <v>6.7052332322999161E-2</v>
      </c>
      <c r="O809">
        <v>8.9338067080811257E-3</v>
      </c>
      <c r="P809">
        <v>1.262569939298195E-2</v>
      </c>
      <c r="Q809">
        <v>2.9869316280495633E-3</v>
      </c>
      <c r="R809">
        <v>6.7085341116152194E-4</v>
      </c>
      <c r="S809">
        <v>8.5490797261461499E-2</v>
      </c>
      <c r="T809">
        <v>0.81619983322571199</v>
      </c>
      <c r="U809">
        <v>1.7070194644206248E-2</v>
      </c>
      <c r="V809">
        <v>1.0414052088870447E-2</v>
      </c>
      <c r="W809">
        <v>4.0203798169380432E-2</v>
      </c>
      <c r="X809">
        <v>9.6144849184056323E-3</v>
      </c>
      <c r="Y809">
        <v>1.8258418384141076E-3</v>
      </c>
    </row>
    <row r="810" spans="1:25">
      <c r="A810" s="876"/>
      <c r="B810" s="1202">
        <v>560</v>
      </c>
      <c r="C810" s="880">
        <v>1.0113201944670203</v>
      </c>
      <c r="D810" s="880">
        <v>0.99811808986181616</v>
      </c>
      <c r="E810" s="880">
        <v>0.97716458159703512</v>
      </c>
      <c r="F810" s="880">
        <v>1.0034315783777479</v>
      </c>
      <c r="G810" s="880">
        <v>1.0000186758391685</v>
      </c>
      <c r="H810" s="880">
        <v>0.98198050040579554</v>
      </c>
      <c r="I810" s="880">
        <v>1.0329761945400999</v>
      </c>
      <c r="K810">
        <v>1.0715710056216714</v>
      </c>
      <c r="L810">
        <v>0</v>
      </c>
      <c r="M810">
        <v>7.0372032142432348E-4</v>
      </c>
      <c r="N810">
        <v>6.5289290180090304E-2</v>
      </c>
      <c r="O810">
        <v>8.697909794766168E-3</v>
      </c>
      <c r="P810">
        <v>1.2483672771002517E-2</v>
      </c>
      <c r="Q810">
        <v>2.8569856385878105E-3</v>
      </c>
      <c r="R810">
        <v>6.9161461154648284E-4</v>
      </c>
      <c r="S810">
        <v>8.6729484151452374E-2</v>
      </c>
      <c r="T810">
        <v>0.81768922987720449</v>
      </c>
      <c r="U810">
        <v>1.6721340044895009E-2</v>
      </c>
      <c r="V810">
        <v>1.04120466339792E-2</v>
      </c>
      <c r="W810">
        <v>3.9645898603587547E-2</v>
      </c>
      <c r="X810">
        <v>9.1749066540488741E-3</v>
      </c>
      <c r="Y810">
        <v>1.8823469819341044E-3</v>
      </c>
    </row>
    <row r="811" spans="1:25">
      <c r="A811" s="876"/>
      <c r="B811" s="1202">
        <v>561</v>
      </c>
      <c r="C811" s="880">
        <v>1.0343194841740073</v>
      </c>
      <c r="D811" s="880">
        <v>1.0191858182929414</v>
      </c>
      <c r="E811" s="880">
        <v>0.98929616188265734</v>
      </c>
      <c r="F811" s="880">
        <v>1.0169900494653659</v>
      </c>
      <c r="G811" s="880">
        <v>0.99880867168836818</v>
      </c>
      <c r="H811" s="880">
        <v>0.98347781146522428</v>
      </c>
      <c r="I811" s="880">
        <v>1.0015936175293825</v>
      </c>
      <c r="K811">
        <v>1.0621524562925826</v>
      </c>
      <c r="L811">
        <v>0</v>
      </c>
      <c r="M811">
        <v>6.643657901854688E-4</v>
      </c>
      <c r="N811">
        <v>6.401192885964764E-2</v>
      </c>
      <c r="O811">
        <v>8.4103740258688591E-3</v>
      </c>
      <c r="P811">
        <v>1.2508829287397107E-2</v>
      </c>
      <c r="Q811">
        <v>2.8011024298521528E-3</v>
      </c>
      <c r="R811">
        <v>6.5293702360436014E-4</v>
      </c>
      <c r="S811">
        <v>8.1426149595247049E-2</v>
      </c>
      <c r="T811">
        <v>0.8167028822553557</v>
      </c>
      <c r="U811">
        <v>1.6349521714228332E-2</v>
      </c>
      <c r="V811">
        <v>1.0409909167850444E-2</v>
      </c>
      <c r="W811">
        <v>3.8545138597098058E-2</v>
      </c>
      <c r="X811">
        <v>9.2209697889989346E-3</v>
      </c>
      <c r="Y811">
        <v>1.7770793376190842E-3</v>
      </c>
    </row>
    <row r="812" spans="1:25">
      <c r="A812" s="876"/>
      <c r="B812" s="1202">
        <v>562</v>
      </c>
      <c r="C812" s="880">
        <v>1.0174434863229533</v>
      </c>
      <c r="D812" s="880">
        <v>1.0003431957220019</v>
      </c>
      <c r="E812" s="880">
        <v>1.0127566132800057</v>
      </c>
      <c r="F812" s="880">
        <v>0.99785701434644447</v>
      </c>
      <c r="G812" s="880">
        <v>1.0152397148350536</v>
      </c>
      <c r="H812" s="880">
        <v>0.99421527178147928</v>
      </c>
      <c r="I812" s="880">
        <v>0.99675114378677276</v>
      </c>
      <c r="K812">
        <v>1.0696270550287583</v>
      </c>
      <c r="L812">
        <v>0</v>
      </c>
      <c r="M812">
        <v>6.5631909484306487E-4</v>
      </c>
      <c r="N812">
        <v>6.8038847537737562E-2</v>
      </c>
      <c r="O812">
        <v>8.6353018815897541E-3</v>
      </c>
      <c r="P812">
        <v>1.2736286785598953E-2</v>
      </c>
      <c r="Q812">
        <v>2.9405205651371661E-3</v>
      </c>
      <c r="R812">
        <v>6.451659156719642E-4</v>
      </c>
      <c r="S812">
        <v>8.352063179478493E-2</v>
      </c>
      <c r="T812">
        <v>0.81480961587036183</v>
      </c>
      <c r="U812">
        <v>1.6620705811452481E-2</v>
      </c>
      <c r="V812">
        <v>1.0411468119560634E-2</v>
      </c>
      <c r="W812">
        <v>4.0317999511507135E-2</v>
      </c>
      <c r="X812">
        <v>9.8509013866258655E-3</v>
      </c>
      <c r="Y812">
        <v>1.7559289435721446E-3</v>
      </c>
    </row>
    <row r="813" spans="1:25">
      <c r="A813" s="876"/>
      <c r="B813" s="1202">
        <v>563</v>
      </c>
      <c r="C813" s="880">
        <v>1.0021079555377872</v>
      </c>
      <c r="D813" s="880">
        <v>0.97800377372558833</v>
      </c>
      <c r="E813" s="880">
        <v>1.0210034947884523</v>
      </c>
      <c r="F813" s="880">
        <v>1.0207722134105242</v>
      </c>
      <c r="G813" s="880">
        <v>0.96365976427927558</v>
      </c>
      <c r="H813" s="880">
        <v>1.0001032390741451</v>
      </c>
      <c r="I813" s="880">
        <v>1.0108199334323476</v>
      </c>
      <c r="K813">
        <v>1.0780836192295371</v>
      </c>
      <c r="L813">
        <v>0</v>
      </c>
      <c r="M813">
        <v>6.6670972108575451E-4</v>
      </c>
      <c r="N813">
        <v>7.0919241692920812E-2</v>
      </c>
      <c r="O813">
        <v>8.8737937260027211E-3</v>
      </c>
      <c r="P813">
        <v>1.2858969416797572E-2</v>
      </c>
      <c r="Q813">
        <v>3.0414919897385137E-3</v>
      </c>
      <c r="R813">
        <v>6.5546542244783121E-4</v>
      </c>
      <c r="S813">
        <v>8.7184515626256454E-2</v>
      </c>
      <c r="T813">
        <v>0.81414853805028198</v>
      </c>
      <c r="U813">
        <v>1.6875056996106978E-2</v>
      </c>
      <c r="V813">
        <v>1.041293030417385E-2</v>
      </c>
      <c r="W813">
        <v>4.1791127936400767E-2</v>
      </c>
      <c r="X813">
        <v>1.0205236983709296E-2</v>
      </c>
      <c r="Y813">
        <v>1.7839608057845582E-3</v>
      </c>
    </row>
    <row r="814" spans="1:25">
      <c r="A814" s="876"/>
      <c r="B814" s="1202">
        <v>564</v>
      </c>
      <c r="C814" s="880">
        <v>1.0154640207909658</v>
      </c>
      <c r="D814" s="880">
        <v>1.0155304619229715</v>
      </c>
      <c r="E814" s="880">
        <v>0.97330204499184336</v>
      </c>
      <c r="F814" s="880">
        <v>1.0186652437181587</v>
      </c>
      <c r="G814" s="880">
        <v>1.0281136263670292</v>
      </c>
      <c r="H814" s="880">
        <v>0.98826348723373869</v>
      </c>
      <c r="I814" s="880">
        <v>1.0017077940339227</v>
      </c>
      <c r="K814">
        <v>1.066959287083999</v>
      </c>
      <c r="L814">
        <v>0</v>
      </c>
      <c r="M814">
        <v>7.0456272510477412E-4</v>
      </c>
      <c r="N814">
        <v>6.4590978075105998E-2</v>
      </c>
      <c r="O814">
        <v>8.5829430814192403E-3</v>
      </c>
      <c r="P814">
        <v>1.2403826200826492E-2</v>
      </c>
      <c r="Q814">
        <v>2.8117663990022547E-3</v>
      </c>
      <c r="R814">
        <v>6.9250432043349228E-4</v>
      </c>
      <c r="S814">
        <v>8.3263188288235063E-2</v>
      </c>
      <c r="T814">
        <v>0.81800431511271898</v>
      </c>
      <c r="U814">
        <v>1.6653104905460219E-2</v>
      </c>
      <c r="V814">
        <v>1.0411654371717502E-2</v>
      </c>
      <c r="W814">
        <v>3.932747565071671E-2</v>
      </c>
      <c r="X814">
        <v>9.0373249272342852E-3</v>
      </c>
      <c r="Y814">
        <v>1.8847684762320878E-3</v>
      </c>
    </row>
    <row r="815" spans="1:25">
      <c r="A815" s="876"/>
      <c r="B815" s="1202">
        <v>565</v>
      </c>
      <c r="C815" s="880">
        <v>1.0093581746011719</v>
      </c>
      <c r="D815" s="880">
        <v>1.0200531805655759</v>
      </c>
      <c r="E815" s="880">
        <v>1.009726717157065</v>
      </c>
      <c r="F815" s="880">
        <v>1.0400880073170937</v>
      </c>
      <c r="G815" s="880">
        <v>1.0011450319694097</v>
      </c>
      <c r="H815" s="880">
        <v>1.0127473719625097</v>
      </c>
      <c r="I815" s="880">
        <v>1.0205803608353303</v>
      </c>
      <c r="K815">
        <v>1.0740700754160348</v>
      </c>
      <c r="L815">
        <v>0</v>
      </c>
      <c r="M815">
        <v>6.7123228947209388E-4</v>
      </c>
      <c r="N815">
        <v>6.8952686298100835E-2</v>
      </c>
      <c r="O815">
        <v>8.6144601030199875E-3</v>
      </c>
      <c r="P815">
        <v>1.2747503376305267E-2</v>
      </c>
      <c r="Q815">
        <v>2.9288047584898032E-3</v>
      </c>
      <c r="R815">
        <v>6.6001842553621039E-4</v>
      </c>
      <c r="S815">
        <v>8.6032653943975468E-2</v>
      </c>
      <c r="T815">
        <v>0.81505307714051822</v>
      </c>
      <c r="U815">
        <v>1.6753843473486765E-2</v>
      </c>
      <c r="V815">
        <v>1.0412233485922602E-2</v>
      </c>
      <c r="W815">
        <v>4.0943650217617589E-2</v>
      </c>
      <c r="X815">
        <v>9.8460239032404986E-3</v>
      </c>
      <c r="Y815">
        <v>1.7963525792940613E-3</v>
      </c>
    </row>
    <row r="816" spans="1:25">
      <c r="A816" s="876"/>
      <c r="B816" s="1202">
        <v>566</v>
      </c>
      <c r="C816" s="880">
        <v>0.99649539992224212</v>
      </c>
      <c r="D816" s="880">
        <v>0.96661486107515826</v>
      </c>
      <c r="E816" s="880">
        <v>1.0076924892073766</v>
      </c>
      <c r="F816" s="880">
        <v>0.99866144808097468</v>
      </c>
      <c r="G816" s="880">
        <v>1.0377834633652869</v>
      </c>
      <c r="H816" s="880">
        <v>0.99109401655349416</v>
      </c>
      <c r="I816" s="880">
        <v>0.971888179746908</v>
      </c>
      <c r="K816">
        <v>1.0754831395378031</v>
      </c>
      <c r="L816">
        <v>0</v>
      </c>
      <c r="M816">
        <v>6.8763904175913096E-4</v>
      </c>
      <c r="N816">
        <v>7.0171493374076591E-2</v>
      </c>
      <c r="O816">
        <v>8.979839989368096E-3</v>
      </c>
      <c r="P816">
        <v>1.271213309102682E-2</v>
      </c>
      <c r="Q816">
        <v>3.0345644815545263E-3</v>
      </c>
      <c r="R816">
        <v>6.7594652550166581E-4</v>
      </c>
      <c r="S816">
        <v>8.4473710551020348E-2</v>
      </c>
      <c r="T816">
        <v>0.81521670880332298</v>
      </c>
      <c r="U816">
        <v>1.6970102287749554E-2</v>
      </c>
      <c r="V816">
        <v>1.0413476689531484E-2</v>
      </c>
      <c r="W816">
        <v>4.1725055403090509E-2</v>
      </c>
      <c r="X816">
        <v>9.9580437666169277E-3</v>
      </c>
      <c r="Y816">
        <v>1.8397036167032883E-3</v>
      </c>
    </row>
    <row r="817" spans="1:25">
      <c r="A817" s="876"/>
      <c r="B817" s="1202">
        <v>567</v>
      </c>
      <c r="C817" s="880">
        <v>0.98584563588514107</v>
      </c>
      <c r="D817" s="880">
        <v>1.0135771734073302</v>
      </c>
      <c r="E817" s="880">
        <v>1.0108445931233772</v>
      </c>
      <c r="F817" s="880">
        <v>0.98795445605605647</v>
      </c>
      <c r="G817" s="880">
        <v>0.99863702452477254</v>
      </c>
      <c r="H817" s="880">
        <v>0.97439115876801941</v>
      </c>
      <c r="I817" s="880">
        <v>0.99255297351758287</v>
      </c>
      <c r="K817">
        <v>1.0719967228600318</v>
      </c>
      <c r="L817">
        <v>0</v>
      </c>
      <c r="M817">
        <v>6.618912209216994E-4</v>
      </c>
      <c r="N817">
        <v>6.8184746748845074E-2</v>
      </c>
      <c r="O817">
        <v>8.8498747482939205E-3</v>
      </c>
      <c r="P817">
        <v>1.2742174703621873E-2</v>
      </c>
      <c r="Q817">
        <v>3.0107840715304975E-3</v>
      </c>
      <c r="R817">
        <v>6.5040346458548968E-4</v>
      </c>
      <c r="S817">
        <v>8.4566468472287257E-2</v>
      </c>
      <c r="T817">
        <v>0.81496321605938515</v>
      </c>
      <c r="U817">
        <v>1.7153424684757248E-2</v>
      </c>
      <c r="V817">
        <v>1.041453055208191E-2</v>
      </c>
      <c r="W817">
        <v>4.0456916892132475E-2</v>
      </c>
      <c r="X817">
        <v>9.895889858274054E-3</v>
      </c>
      <c r="Y817">
        <v>1.7701838251572249E-3</v>
      </c>
    </row>
    <row r="818" spans="1:25">
      <c r="A818" s="876"/>
      <c r="B818" s="1202">
        <v>568</v>
      </c>
      <c r="C818" s="880">
        <v>1.0009213504097556</v>
      </c>
      <c r="D818" s="880">
        <v>1.0377181676815928</v>
      </c>
      <c r="E818" s="880">
        <v>1.0233452537817656</v>
      </c>
      <c r="F818" s="880">
        <v>0.96728880445757004</v>
      </c>
      <c r="G818" s="880">
        <v>0.99882126203065891</v>
      </c>
      <c r="H818" s="880">
        <v>1.0252521078816741</v>
      </c>
      <c r="I818" s="880">
        <v>1.0132382121774095</v>
      </c>
      <c r="K818">
        <v>1.0757942539685126</v>
      </c>
      <c r="L818">
        <v>0</v>
      </c>
      <c r="M818">
        <v>6.5978810458953974E-4</v>
      </c>
      <c r="N818">
        <v>7.0719919432577327E-2</v>
      </c>
      <c r="O818">
        <v>8.6081097622890956E-3</v>
      </c>
      <c r="P818">
        <v>1.2860134419370133E-2</v>
      </c>
      <c r="Q818">
        <v>2.9703753949335207E-3</v>
      </c>
      <c r="R818">
        <v>6.4888630531776434E-4</v>
      </c>
      <c r="S818">
        <v>8.5846063778266438E-2</v>
      </c>
      <c r="T818">
        <v>0.81396124305474682</v>
      </c>
      <c r="U818">
        <v>1.689506259310938E-2</v>
      </c>
      <c r="V818">
        <v>1.0413045310031416E-2</v>
      </c>
      <c r="W818">
        <v>4.1607971526937702E-2</v>
      </c>
      <c r="X818">
        <v>1.0157175877759246E-2</v>
      </c>
      <c r="Y818">
        <v>1.7660546177618946E-3</v>
      </c>
    </row>
    <row r="819" spans="1:25">
      <c r="A819" s="876"/>
      <c r="B819" s="1202">
        <v>569</v>
      </c>
      <c r="C819" s="880">
        <v>0.96857130099247235</v>
      </c>
      <c r="D819" s="880">
        <v>0.97899128552120096</v>
      </c>
      <c r="E819" s="880">
        <v>1.0228522255977539</v>
      </c>
      <c r="F819" s="880">
        <v>1.0257163819839674</v>
      </c>
      <c r="G819" s="880">
        <v>1.0238786085497988</v>
      </c>
      <c r="H819" s="880">
        <v>0.97452759365095498</v>
      </c>
      <c r="I819" s="880">
        <v>1.0383600157639117</v>
      </c>
      <c r="K819">
        <v>1.0846023422699482</v>
      </c>
      <c r="L819">
        <v>0</v>
      </c>
      <c r="M819">
        <v>6.691736873950762E-4</v>
      </c>
      <c r="N819">
        <v>7.1558932296958144E-2</v>
      </c>
      <c r="O819">
        <v>9.1760976832485647E-3</v>
      </c>
      <c r="P819">
        <v>1.2944099732224134E-2</v>
      </c>
      <c r="Q819">
        <v>3.1511259829533939E-3</v>
      </c>
      <c r="R819">
        <v>6.5759077902337489E-4</v>
      </c>
      <c r="S819">
        <v>9.1622724674830208E-2</v>
      </c>
      <c r="T819">
        <v>0.81400066013998096</v>
      </c>
      <c r="U819">
        <v>1.7459353636252124E-2</v>
      </c>
      <c r="V819">
        <v>1.0416289240983687E-2</v>
      </c>
      <c r="W819">
        <v>4.2115582427836092E-2</v>
      </c>
      <c r="X819">
        <v>1.0379314037292933E-2</v>
      </c>
      <c r="Y819">
        <v>1.7897453257595807E-3</v>
      </c>
    </row>
    <row r="820" spans="1:25">
      <c r="A820" s="876"/>
      <c r="B820" s="1202">
        <v>570</v>
      </c>
      <c r="C820" s="880">
        <v>0.98303752555641299</v>
      </c>
      <c r="D820" s="880">
        <v>1.0289975669121294</v>
      </c>
      <c r="E820" s="880">
        <v>1.0137460323038012</v>
      </c>
      <c r="F820" s="880">
        <v>0.96550636739051887</v>
      </c>
      <c r="G820" s="880">
        <v>0.96986765734296565</v>
      </c>
      <c r="H820" s="880">
        <v>0.97120391695006802</v>
      </c>
      <c r="I820" s="880">
        <v>0.99276644529211699</v>
      </c>
      <c r="K820">
        <v>1.0705996140984413</v>
      </c>
      <c r="L820">
        <v>0</v>
      </c>
      <c r="M820">
        <v>6.5232222794937064E-4</v>
      </c>
      <c r="N820">
        <v>6.7802519579255455E-2</v>
      </c>
      <c r="O820">
        <v>8.8041214887464615E-3</v>
      </c>
      <c r="P820">
        <v>1.2760265875464215E-2</v>
      </c>
      <c r="Q820">
        <v>3.0072662849486868E-3</v>
      </c>
      <c r="R820">
        <v>6.4095090975544063E-4</v>
      </c>
      <c r="S820">
        <v>8.4079311772891019E-2</v>
      </c>
      <c r="T820">
        <v>0.8147301807799856</v>
      </c>
      <c r="U820">
        <v>1.7202424552796945E-2</v>
      </c>
      <c r="V820">
        <v>1.0414812236844624E-2</v>
      </c>
      <c r="W820">
        <v>4.0151016468092111E-2</v>
      </c>
      <c r="X820">
        <v>9.9146092906655034E-3</v>
      </c>
      <c r="Y820">
        <v>1.7444570869436936E-3</v>
      </c>
    </row>
    <row r="821" spans="1:25">
      <c r="A821" s="876"/>
      <c r="B821" s="1202">
        <v>571</v>
      </c>
      <c r="C821" s="880">
        <v>0.99286603685637598</v>
      </c>
      <c r="D821" s="880">
        <v>1.0100706716887233</v>
      </c>
      <c r="E821" s="880">
        <v>1.0177646544918617</v>
      </c>
      <c r="F821" s="880">
        <v>1.0078976519873373</v>
      </c>
      <c r="G821" s="880">
        <v>1.011395303180757</v>
      </c>
      <c r="H821" s="880">
        <v>1.0019060841612772</v>
      </c>
      <c r="I821" s="880">
        <v>0.99012436578082874</v>
      </c>
      <c r="K821">
        <v>1.0749769020464528</v>
      </c>
      <c r="L821">
        <v>0</v>
      </c>
      <c r="M821">
        <v>6.6719909047079648E-4</v>
      </c>
      <c r="N821">
        <v>7.0260075976155995E-2</v>
      </c>
      <c r="O821">
        <v>8.8035348689555135E-3</v>
      </c>
      <c r="P821">
        <v>1.2802380677989941E-2</v>
      </c>
      <c r="Q821">
        <v>3.0149829975846488E-3</v>
      </c>
      <c r="R821">
        <v>6.5594007518150017E-4</v>
      </c>
      <c r="S821">
        <v>8.4883318797242577E-2</v>
      </c>
      <c r="T821">
        <v>0.8144078901741717</v>
      </c>
      <c r="U821">
        <v>1.7032135492815324E-2</v>
      </c>
      <c r="V821">
        <v>1.0413833298831648E-2</v>
      </c>
      <c r="W821">
        <v>4.1493319585609631E-2</v>
      </c>
      <c r="X821">
        <v>1.0091436538328473E-2</v>
      </c>
      <c r="Y821">
        <v>1.7852526540563731E-3</v>
      </c>
    </row>
    <row r="822" spans="1:25">
      <c r="A822" s="876"/>
      <c r="B822" s="1202">
        <v>572</v>
      </c>
      <c r="C822" s="880">
        <v>1.0004880152730498</v>
      </c>
      <c r="D822" s="880">
        <v>1.0200292847200632</v>
      </c>
      <c r="E822" s="880">
        <v>1.0085544840059122</v>
      </c>
      <c r="F822" s="880">
        <v>0.99954827183439976</v>
      </c>
      <c r="G822" s="880">
        <v>0.98531463419287357</v>
      </c>
      <c r="H822" s="880">
        <v>1.002741485529564</v>
      </c>
      <c r="I822" s="880">
        <v>1.0032771033367831</v>
      </c>
      <c r="K822">
        <v>1.0730861543308616</v>
      </c>
      <c r="L822">
        <v>0</v>
      </c>
      <c r="M822">
        <v>6.7216073649379432E-4</v>
      </c>
      <c r="N822">
        <v>6.8785213586132557E-2</v>
      </c>
      <c r="O822">
        <v>8.6909428308704264E-3</v>
      </c>
      <c r="P822">
        <v>1.2725187271465859E-2</v>
      </c>
      <c r="Q822">
        <v>2.9513406887093064E-3</v>
      </c>
      <c r="R822">
        <v>6.6081932824824205E-4</v>
      </c>
      <c r="S822">
        <v>8.4969852348285455E-2</v>
      </c>
      <c r="T822">
        <v>0.81514735344065758</v>
      </c>
      <c r="U822">
        <v>1.6902380246241303E-2</v>
      </c>
      <c r="V822">
        <v>1.041308737690767E-2</v>
      </c>
      <c r="W822">
        <v>4.0876771564936298E-2</v>
      </c>
      <c r="X822">
        <v>9.8368340124420986E-3</v>
      </c>
      <c r="Y822">
        <v>1.7985323724587032E-3</v>
      </c>
    </row>
    <row r="823" spans="1:25">
      <c r="A823" s="876"/>
      <c r="B823" s="1202">
        <v>573</v>
      </c>
      <c r="C823" s="880">
        <v>1.0212766118862591</v>
      </c>
      <c r="D823" s="880">
        <v>0.97948398578022866</v>
      </c>
      <c r="E823" s="880">
        <v>1.0119030616180482</v>
      </c>
      <c r="F823" s="880">
        <v>0.99245044402609228</v>
      </c>
      <c r="G823" s="880">
        <v>1.0032217138296589</v>
      </c>
      <c r="H823" s="880">
        <v>0.95965914164065269</v>
      </c>
      <c r="I823" s="880">
        <v>0.97406132675793888</v>
      </c>
      <c r="K823">
        <v>1.0638771536408351</v>
      </c>
      <c r="L823">
        <v>0</v>
      </c>
      <c r="M823">
        <v>6.3940217467225134E-4</v>
      </c>
      <c r="N823">
        <v>6.6070175524056904E-2</v>
      </c>
      <c r="O823">
        <v>8.7002048521022564E-3</v>
      </c>
      <c r="P823">
        <v>1.2693362781739524E-2</v>
      </c>
      <c r="Q823">
        <v>2.9554221890824637E-3</v>
      </c>
      <c r="R823">
        <v>6.2816269511720005E-4</v>
      </c>
      <c r="S823">
        <v>8.0980419179910473E-2</v>
      </c>
      <c r="T823">
        <v>0.81487816969164084</v>
      </c>
      <c r="U823">
        <v>1.6558323836202503E-2</v>
      </c>
      <c r="V823">
        <v>1.0411109505290854E-2</v>
      </c>
      <c r="W823">
        <v>3.9174093864734277E-2</v>
      </c>
      <c r="X823">
        <v>9.7574599132980461E-3</v>
      </c>
      <c r="Y823">
        <v>1.7096517823322259E-3</v>
      </c>
    </row>
    <row r="824" spans="1:25">
      <c r="A824" s="876"/>
      <c r="B824" s="1202">
        <v>574</v>
      </c>
      <c r="C824" s="880">
        <v>0.98480919548236701</v>
      </c>
      <c r="D824" s="880">
        <v>0.97589700137706004</v>
      </c>
      <c r="E824" s="880">
        <v>1.005732198526831</v>
      </c>
      <c r="F824" s="880">
        <v>1.0426105406635111</v>
      </c>
      <c r="G824" s="880">
        <v>0.96527072909418055</v>
      </c>
      <c r="H824" s="880">
        <v>1.0235167231575104</v>
      </c>
      <c r="I824" s="880">
        <v>1.0103793286045983</v>
      </c>
      <c r="K824">
        <v>1.0856784433321174</v>
      </c>
      <c r="L824">
        <v>0</v>
      </c>
      <c r="M824">
        <v>7.1786755029483603E-4</v>
      </c>
      <c r="N824">
        <v>7.2850066085755408E-2</v>
      </c>
      <c r="O824">
        <v>9.04008028710389E-3</v>
      </c>
      <c r="P824">
        <v>1.2769434911700709E-2</v>
      </c>
      <c r="Q824">
        <v>3.0511349039940147E-3</v>
      </c>
      <c r="R824">
        <v>7.0603930479177222E-4</v>
      </c>
      <c r="S824">
        <v>8.9642953066711897E-2</v>
      </c>
      <c r="T824">
        <v>0.81537452622653317</v>
      </c>
      <c r="U824">
        <v>1.7171477422760498E-2</v>
      </c>
      <c r="V824">
        <v>1.0414634331569981E-2</v>
      </c>
      <c r="W824">
        <v>4.337564598191003E-2</v>
      </c>
      <c r="X824">
        <v>1.0078712117730648E-2</v>
      </c>
      <c r="Y824">
        <v>1.9216062418489315E-3</v>
      </c>
    </row>
    <row r="825" spans="1:25">
      <c r="A825" s="876"/>
      <c r="B825" s="1202">
        <v>575</v>
      </c>
      <c r="C825" s="880">
        <v>1.0028607863481538</v>
      </c>
      <c r="D825" s="880">
        <v>0.97616708492515469</v>
      </c>
      <c r="E825" s="880">
        <v>1.0364083750417807</v>
      </c>
      <c r="F825" s="880">
        <v>0.9808977732873011</v>
      </c>
      <c r="G825" s="880">
        <v>1.0019938140255185</v>
      </c>
      <c r="H825" s="880">
        <v>1.0249137063953211</v>
      </c>
      <c r="I825" s="880">
        <v>0.96616734477785815</v>
      </c>
      <c r="K825">
        <v>1.0785876948030659</v>
      </c>
      <c r="L825">
        <v>0</v>
      </c>
      <c r="M825">
        <v>6.6151206686994465E-4</v>
      </c>
      <c r="N825">
        <v>7.3844193939694838E-2</v>
      </c>
      <c r="O825">
        <v>8.87604505395196E-3</v>
      </c>
      <c r="P825">
        <v>1.2944980693205091E-2</v>
      </c>
      <c r="Q825">
        <v>3.0885497836392723E-3</v>
      </c>
      <c r="R825">
        <v>6.5062701913913383E-4</v>
      </c>
      <c r="S825">
        <v>8.4214500144305607E-2</v>
      </c>
      <c r="T825">
        <v>0.8129198821155984</v>
      </c>
      <c r="U825">
        <v>1.6862389173208391E-2</v>
      </c>
      <c r="V825">
        <v>1.0412857480861643E-2</v>
      </c>
      <c r="W825">
        <v>4.3067441271543723E-2</v>
      </c>
      <c r="X825">
        <v>1.0596947927830443E-2</v>
      </c>
      <c r="Y825">
        <v>1.7707922669575064E-3</v>
      </c>
    </row>
    <row r="826" spans="1:25">
      <c r="A826" s="876"/>
      <c r="B826" s="1202">
        <v>576</v>
      </c>
      <c r="C826" s="880">
        <v>1.0340810275812635</v>
      </c>
      <c r="D826" s="880">
        <v>0.97853372985464238</v>
      </c>
      <c r="E826" s="880">
        <v>1.0028220152254201</v>
      </c>
      <c r="F826" s="880">
        <v>1.0318077666941734</v>
      </c>
      <c r="G826" s="880">
        <v>0.96977783673570916</v>
      </c>
      <c r="H826" s="880">
        <v>0.98169250471488867</v>
      </c>
      <c r="I826" s="880">
        <v>1.0297865735369658</v>
      </c>
      <c r="K826">
        <v>1.068984493396542</v>
      </c>
      <c r="L826">
        <v>0</v>
      </c>
      <c r="M826">
        <v>6.588112341592466E-4</v>
      </c>
      <c r="N826">
        <v>6.620704474976033E-2</v>
      </c>
      <c r="O826">
        <v>8.5969330336114584E-3</v>
      </c>
      <c r="P826">
        <v>1.2675571115835662E-2</v>
      </c>
      <c r="Q826">
        <v>2.893700935951649E-3</v>
      </c>
      <c r="R826">
        <v>6.4749131358449955E-4</v>
      </c>
      <c r="S826">
        <v>8.5387718064548146E-2</v>
      </c>
      <c r="T826">
        <v>0.81560905783741922</v>
      </c>
      <c r="U826">
        <v>1.6353291874532001E-2</v>
      </c>
      <c r="V826">
        <v>1.0409930841311067E-2</v>
      </c>
      <c r="W826">
        <v>3.9498665924810987E-2</v>
      </c>
      <c r="X826">
        <v>9.6016410292127079E-3</v>
      </c>
      <c r="Y826">
        <v>1.7622579101228492E-3</v>
      </c>
    </row>
    <row r="827" spans="1:25">
      <c r="A827" s="876"/>
      <c r="B827" s="1202">
        <v>577</v>
      </c>
      <c r="C827" s="880">
        <v>1.0238621155245098</v>
      </c>
      <c r="D827" s="880">
        <v>0.98534619255363787</v>
      </c>
      <c r="E827" s="880">
        <v>1.0056411168017809</v>
      </c>
      <c r="F827" s="880">
        <v>0.98707248016615312</v>
      </c>
      <c r="G827" s="880">
        <v>0.97981104330339086</v>
      </c>
      <c r="H827" s="880">
        <v>1.003842230763685</v>
      </c>
      <c r="I827" s="880">
        <v>0.99910808555568398</v>
      </c>
      <c r="K827">
        <v>1.0713041403720638</v>
      </c>
      <c r="L827">
        <v>0</v>
      </c>
      <c r="M827">
        <v>6.738734279075968E-4</v>
      </c>
      <c r="N827">
        <v>6.8342840992962853E-2</v>
      </c>
      <c r="O827">
        <v>8.650616989360909E-3</v>
      </c>
      <c r="P827">
        <v>1.2684505631948484E-2</v>
      </c>
      <c r="Q827">
        <v>2.9215397102795755E-3</v>
      </c>
      <c r="R827">
        <v>6.6254437184815713E-4</v>
      </c>
      <c r="S827">
        <v>8.4160565459131087E-2</v>
      </c>
      <c r="T827">
        <v>0.81538186213487307</v>
      </c>
      <c r="U827">
        <v>1.6516509996357578E-2</v>
      </c>
      <c r="V827">
        <v>1.0410869130734232E-2</v>
      </c>
      <c r="W827">
        <v>4.0694525860628772E-2</v>
      </c>
      <c r="X827">
        <v>9.748406149368824E-3</v>
      </c>
      <c r="Y827">
        <v>1.803227372477202E-3</v>
      </c>
    </row>
    <row r="828" spans="1:25">
      <c r="A828" s="876"/>
      <c r="B828" s="1202">
        <v>578</v>
      </c>
      <c r="C828" s="880">
        <v>1.041161239905523</v>
      </c>
      <c r="D828" s="880">
        <v>0.99740458095062201</v>
      </c>
      <c r="E828" s="880">
        <v>0.98533581685967953</v>
      </c>
      <c r="F828" s="880">
        <v>0.99710890267163665</v>
      </c>
      <c r="G828" s="880">
        <v>1.0273741976101585</v>
      </c>
      <c r="H828" s="880">
        <v>1.0073599622927938</v>
      </c>
      <c r="I828" s="880">
        <v>0.97330323558372789</v>
      </c>
      <c r="K828">
        <v>1.0639909965409013</v>
      </c>
      <c r="L828">
        <v>0</v>
      </c>
      <c r="M828">
        <v>6.8955108552071014E-4</v>
      </c>
      <c r="N828">
        <v>6.5653213880355235E-2</v>
      </c>
      <c r="O828">
        <v>8.4518394410122103E-3</v>
      </c>
      <c r="P828">
        <v>1.2458526632776594E-2</v>
      </c>
      <c r="Q828">
        <v>2.7991462359805703E-3</v>
      </c>
      <c r="R828">
        <v>6.7798857962928134E-4</v>
      </c>
      <c r="S828">
        <v>8.0254841360445514E-2</v>
      </c>
      <c r="T828">
        <v>0.817024326745876</v>
      </c>
      <c r="U828">
        <v>1.6242084528124451E-2</v>
      </c>
      <c r="V828">
        <v>1.0409291545406018E-2</v>
      </c>
      <c r="W828">
        <v>3.9641679055483665E-2</v>
      </c>
      <c r="X828">
        <v>9.2223482064570598E-3</v>
      </c>
      <c r="Y828">
        <v>1.8452614148756954E-3</v>
      </c>
    </row>
    <row r="829" spans="1:25">
      <c r="A829" s="876"/>
      <c r="B829" s="1202">
        <v>579</v>
      </c>
      <c r="C829" s="880">
        <v>0.9972464314944498</v>
      </c>
      <c r="D829" s="880">
        <v>1.0104180985327349</v>
      </c>
      <c r="E829" s="880">
        <v>1.0127472801582098</v>
      </c>
      <c r="F829" s="880">
        <v>0.97559097713252929</v>
      </c>
      <c r="G829" s="880">
        <v>0.96386457532808179</v>
      </c>
      <c r="H829" s="880">
        <v>0.99823895252461248</v>
      </c>
      <c r="I829" s="880">
        <v>1.0104804396815246</v>
      </c>
      <c r="K829">
        <v>1.074958675722083</v>
      </c>
      <c r="L829">
        <v>0</v>
      </c>
      <c r="M829">
        <v>6.6876158035742447E-4</v>
      </c>
      <c r="N829">
        <v>6.9330669822862082E-2</v>
      </c>
      <c r="O829">
        <v>8.7632597286149746E-3</v>
      </c>
      <c r="P829">
        <v>1.2776425123614583E-2</v>
      </c>
      <c r="Q829">
        <v>2.9862945534914497E-3</v>
      </c>
      <c r="R829">
        <v>6.5743445521694534E-4</v>
      </c>
      <c r="S829">
        <v>8.6101047368534175E-2</v>
      </c>
      <c r="T829">
        <v>0.8148103653348473</v>
      </c>
      <c r="U829">
        <v>1.695732201378803E-2</v>
      </c>
      <c r="V829">
        <v>1.0413403219773678E-2</v>
      </c>
      <c r="W829">
        <v>4.1083758855635803E-2</v>
      </c>
      <c r="X829">
        <v>9.9581369621692326E-3</v>
      </c>
      <c r="Y829">
        <v>1.7893198638906087E-3</v>
      </c>
    </row>
    <row r="830" spans="1:25">
      <c r="A830" s="876"/>
      <c r="B830" s="1202">
        <v>580</v>
      </c>
      <c r="C830" s="880">
        <v>1.0189583192714968</v>
      </c>
      <c r="D830" s="880">
        <v>1.0054775992110836</v>
      </c>
      <c r="E830" s="880">
        <v>0.96908704428382964</v>
      </c>
      <c r="F830" s="880">
        <v>1.0244934349031505</v>
      </c>
      <c r="G830" s="880">
        <v>1.000621978071653</v>
      </c>
      <c r="H830" s="880">
        <v>0.99745103071605168</v>
      </c>
      <c r="I830" s="880">
        <v>0.98306745763820502</v>
      </c>
      <c r="K830">
        <v>1.0669186170217186</v>
      </c>
      <c r="L830">
        <v>0</v>
      </c>
      <c r="M830">
        <v>7.1875423349447619E-4</v>
      </c>
      <c r="N830">
        <v>6.5042987817988784E-2</v>
      </c>
      <c r="O830">
        <v>8.5989628903594632E-3</v>
      </c>
      <c r="P830">
        <v>1.2352836578445485E-2</v>
      </c>
      <c r="Q830">
        <v>2.8028387340650819E-3</v>
      </c>
      <c r="R830">
        <v>7.0657511221194306E-4</v>
      </c>
      <c r="S830">
        <v>8.2153489108806654E-2</v>
      </c>
      <c r="T830">
        <v>0.81834872751031118</v>
      </c>
      <c r="U830">
        <v>1.6595996662594221E-2</v>
      </c>
      <c r="V830">
        <v>1.0411326074469252E-2</v>
      </c>
      <c r="W830">
        <v>3.9719409377174691E-2</v>
      </c>
      <c r="X830">
        <v>8.9811568557681028E-3</v>
      </c>
      <c r="Y830">
        <v>1.9230645330177683E-3</v>
      </c>
    </row>
    <row r="831" spans="1:25">
      <c r="A831" s="876"/>
      <c r="B831" s="1202">
        <v>581</v>
      </c>
      <c r="C831" s="880">
        <v>0.99344876240931557</v>
      </c>
      <c r="D831" s="880">
        <v>1.0031100307128689</v>
      </c>
      <c r="E831" s="880">
        <v>1.0151442527624632</v>
      </c>
      <c r="F831" s="880">
        <v>1.0210893238239866</v>
      </c>
      <c r="G831" s="880">
        <v>0.96641832131943406</v>
      </c>
      <c r="H831" s="880">
        <v>0.99184710721577474</v>
      </c>
      <c r="I831" s="880">
        <v>0.99353970173392181</v>
      </c>
      <c r="K831">
        <v>1.0742778845628054</v>
      </c>
      <c r="L831">
        <v>0</v>
      </c>
      <c r="M831">
        <v>6.662200623563354E-4</v>
      </c>
      <c r="N831">
        <v>6.9576546031565753E-2</v>
      </c>
      <c r="O831">
        <v>8.8308553547568735E-3</v>
      </c>
      <c r="P831">
        <v>1.2782920272013406E-2</v>
      </c>
      <c r="Q831">
        <v>3.0149027195529679E-3</v>
      </c>
      <c r="R831">
        <v>6.5486929923950479E-4</v>
      </c>
      <c r="S831">
        <v>8.5060583466871773E-2</v>
      </c>
      <c r="T831">
        <v>0.8146179820925481</v>
      </c>
      <c r="U831">
        <v>1.7022144982032739E-2</v>
      </c>
      <c r="V831">
        <v>1.041377586654107E-2</v>
      </c>
      <c r="W831">
        <v>4.116254707173065E-2</v>
      </c>
      <c r="X831">
        <v>1.0024639113385211E-2</v>
      </c>
      <c r="Y831">
        <v>1.7823383549234557E-3</v>
      </c>
    </row>
    <row r="832" spans="1:25">
      <c r="A832" s="876"/>
      <c r="B832" s="1202">
        <v>582</v>
      </c>
      <c r="C832" s="880">
        <v>1.022932130486123</v>
      </c>
      <c r="D832" s="880">
        <v>0.95666540390374077</v>
      </c>
      <c r="E832" s="880">
        <v>0.96979096424242628</v>
      </c>
      <c r="F832" s="880">
        <v>0.99275469047869369</v>
      </c>
      <c r="G832" s="880">
        <v>0.97274318796492265</v>
      </c>
      <c r="H832" s="880">
        <v>0.99932900351264797</v>
      </c>
      <c r="I832" s="880">
        <v>0.98731660850142733</v>
      </c>
      <c r="K832">
        <v>1.0720954490630576</v>
      </c>
      <c r="L832">
        <v>0</v>
      </c>
      <c r="M832">
        <v>7.3550449719548346E-4</v>
      </c>
      <c r="N832">
        <v>6.6711422257424283E-2</v>
      </c>
      <c r="O832">
        <v>8.7963447347556185E-3</v>
      </c>
      <c r="P832">
        <v>1.238680638694706E-2</v>
      </c>
      <c r="Q832">
        <v>2.8585051587594426E-3</v>
      </c>
      <c r="R832">
        <v>7.2311072316061007E-4</v>
      </c>
      <c r="S832">
        <v>8.4321645145117405E-2</v>
      </c>
      <c r="T832">
        <v>0.81829116771192023</v>
      </c>
      <c r="U832">
        <v>1.6531525760087342E-2</v>
      </c>
      <c r="V832">
        <v>1.0410955451616553E-2</v>
      </c>
      <c r="W832">
        <v>4.0718220477171475E-2</v>
      </c>
      <c r="X832">
        <v>9.1131807382351972E-3</v>
      </c>
      <c r="Y832">
        <v>1.9680690150573549E-3</v>
      </c>
    </row>
    <row r="833" spans="1:25">
      <c r="A833" s="876"/>
      <c r="B833" s="1202">
        <v>583</v>
      </c>
      <c r="C833" s="880">
        <v>0.96631941607040095</v>
      </c>
      <c r="D833" s="880">
        <v>1.0168637194836614</v>
      </c>
      <c r="E833" s="880">
        <v>0.97120701059714232</v>
      </c>
      <c r="F833" s="880">
        <v>0.98466475096576422</v>
      </c>
      <c r="G833" s="880">
        <v>0.96807779308158659</v>
      </c>
      <c r="H833" s="880">
        <v>1.0253062889966302</v>
      </c>
      <c r="I833" s="880">
        <v>1.0146942477031364</v>
      </c>
      <c r="K833">
        <v>1.0850109614051127</v>
      </c>
      <c r="L833">
        <v>0</v>
      </c>
      <c r="M833">
        <v>7.7099120686107369E-4</v>
      </c>
      <c r="N833">
        <v>7.0264755961416833E-2</v>
      </c>
      <c r="O833">
        <v>9.0131516291634389E-3</v>
      </c>
      <c r="P833">
        <v>1.2486933661686331E-2</v>
      </c>
      <c r="Q833">
        <v>2.9466812854161981E-3</v>
      </c>
      <c r="R833">
        <v>7.5827140654379508E-4</v>
      </c>
      <c r="S833">
        <v>8.9952746264502545E-2</v>
      </c>
      <c r="T833">
        <v>0.81817542773122298</v>
      </c>
      <c r="U833">
        <v>1.7500040446998894E-2</v>
      </c>
      <c r="V833">
        <v>1.0416523136606052E-2</v>
      </c>
      <c r="W833">
        <v>4.2844644422718792E-2</v>
      </c>
      <c r="X833">
        <v>9.3590118611880813E-3</v>
      </c>
      <c r="Y833">
        <v>2.0637648045102224E-3</v>
      </c>
    </row>
    <row r="834" spans="1:25">
      <c r="A834" s="876"/>
      <c r="B834" s="1202">
        <v>584</v>
      </c>
      <c r="C834" s="880">
        <v>1.0016963099035285</v>
      </c>
      <c r="D834" s="880">
        <v>1.0168073151689052</v>
      </c>
      <c r="E834" s="880">
        <v>1.0023183592739844</v>
      </c>
      <c r="F834" s="880">
        <v>1.0230082976207193</v>
      </c>
      <c r="G834" s="880">
        <v>0.98676126652233631</v>
      </c>
      <c r="H834" s="880">
        <v>1.0268685300224685</v>
      </c>
      <c r="I834" s="880">
        <v>1.0023240583529325</v>
      </c>
      <c r="K834">
        <v>1.076552559118207</v>
      </c>
      <c r="L834">
        <v>0</v>
      </c>
      <c r="M834">
        <v>6.9777085686010371E-4</v>
      </c>
      <c r="N834">
        <v>7.0063055145913072E-2</v>
      </c>
      <c r="O834">
        <v>8.695091079098393E-3</v>
      </c>
      <c r="P834">
        <v>1.268394469636192E-2</v>
      </c>
      <c r="Q834">
        <v>2.933665555057384E-3</v>
      </c>
      <c r="R834">
        <v>6.8627660481755659E-4</v>
      </c>
      <c r="S834">
        <v>8.5775761540758347E-2</v>
      </c>
      <c r="T834">
        <v>0.8156496766898238</v>
      </c>
      <c r="U834">
        <v>1.6881991776111268E-2</v>
      </c>
      <c r="V834">
        <v>1.0412970170033441E-2</v>
      </c>
      <c r="W834">
        <v>4.1813516669223484E-2</v>
      </c>
      <c r="X834">
        <v>9.7865613605764967E-3</v>
      </c>
      <c r="Y834">
        <v>1.8678186872914122E-3</v>
      </c>
    </row>
    <row r="835" spans="1:25">
      <c r="A835" s="876"/>
      <c r="B835" s="1202">
        <v>585</v>
      </c>
      <c r="C835" s="880">
        <v>1.0107252261105066</v>
      </c>
      <c r="D835" s="880">
        <v>0.99103119338389634</v>
      </c>
      <c r="E835" s="880">
        <v>1.0334908911809229</v>
      </c>
      <c r="F835" s="880">
        <v>1.0068751466663783</v>
      </c>
      <c r="G835" s="880">
        <v>0.96539496120469048</v>
      </c>
      <c r="H835" s="880">
        <v>1.0043550043681699</v>
      </c>
      <c r="I835" s="880">
        <v>1.0005404584528734</v>
      </c>
      <c r="K835">
        <v>1.0747109865380409</v>
      </c>
      <c r="L835">
        <v>0</v>
      </c>
      <c r="M835">
        <v>6.4199338281223514E-4</v>
      </c>
      <c r="N835">
        <v>7.0993786823620772E-2</v>
      </c>
      <c r="O835">
        <v>8.7361801609321839E-3</v>
      </c>
      <c r="P835">
        <v>1.2932150714215541E-2</v>
      </c>
      <c r="Q835">
        <v>3.0345974604844947E-3</v>
      </c>
      <c r="R835">
        <v>6.3120121803830894E-4</v>
      </c>
      <c r="S835">
        <v>8.5150237945362292E-2</v>
      </c>
      <c r="T835">
        <v>0.81315195164496734</v>
      </c>
      <c r="U835">
        <v>1.673118314364053E-2</v>
      </c>
      <c r="V835">
        <v>1.0412103218844533E-2</v>
      </c>
      <c r="W835">
        <v>4.1485776530383087E-2</v>
      </c>
      <c r="X835">
        <v>1.0375889420288723E-2</v>
      </c>
      <c r="Y835">
        <v>1.7179216400746722E-3</v>
      </c>
    </row>
    <row r="836" spans="1:25">
      <c r="A836" s="876"/>
      <c r="B836" s="1202">
        <v>586</v>
      </c>
      <c r="C836" s="880">
        <v>0.97823932591132734</v>
      </c>
      <c r="D836" s="880">
        <v>1.0075918829031996</v>
      </c>
      <c r="E836" s="880">
        <v>0.98774806219505673</v>
      </c>
      <c r="F836" s="880">
        <v>0.99162791834030861</v>
      </c>
      <c r="G836" s="880">
        <v>0.99788595337438191</v>
      </c>
      <c r="H836" s="880">
        <v>0.97991574982350427</v>
      </c>
      <c r="I836" s="880">
        <v>0.97448037093363726</v>
      </c>
      <c r="K836">
        <v>1.0730664806696333</v>
      </c>
      <c r="L836">
        <v>0</v>
      </c>
      <c r="M836">
        <v>7.0647115192813443E-4</v>
      </c>
      <c r="N836">
        <v>6.7738152061243895E-2</v>
      </c>
      <c r="O836">
        <v>8.9468714925685297E-3</v>
      </c>
      <c r="P836">
        <v>1.2545030658157005E-2</v>
      </c>
      <c r="Q836">
        <v>2.9725951514582823E-3</v>
      </c>
      <c r="R836">
        <v>6.9428407326060178E-4</v>
      </c>
      <c r="S836">
        <v>8.4114949104577216E-2</v>
      </c>
      <c r="T836">
        <v>0.81682847169317974</v>
      </c>
      <c r="U836">
        <v>1.7286801315412728E-2</v>
      </c>
      <c r="V836">
        <v>1.0415297292199002E-2</v>
      </c>
      <c r="W836">
        <v>4.0832482683750983E-2</v>
      </c>
      <c r="X836">
        <v>9.5084039190203012E-3</v>
      </c>
      <c r="Y836">
        <v>1.8896123767321183E-3</v>
      </c>
    </row>
    <row r="837" spans="1:25">
      <c r="A837" s="876"/>
      <c r="B837" s="1202">
        <v>587</v>
      </c>
      <c r="C837" s="880">
        <v>0.9959302974846439</v>
      </c>
      <c r="D837" s="880">
        <v>0.99901224214566131</v>
      </c>
      <c r="E837" s="880">
        <v>0.95870843484281398</v>
      </c>
      <c r="F837" s="880">
        <v>1.0015840394385409</v>
      </c>
      <c r="G837" s="880">
        <v>1.0377855472091251</v>
      </c>
      <c r="H837" s="880">
        <v>0.95473786698150176</v>
      </c>
      <c r="I837" s="880">
        <v>0.99239905231277759</v>
      </c>
      <c r="K837">
        <v>1.0669547895687523</v>
      </c>
      <c r="L837">
        <v>0</v>
      </c>
      <c r="M837">
        <v>7.2181936164528214E-4</v>
      </c>
      <c r="N837">
        <v>6.3191217792055415E-2</v>
      </c>
      <c r="O837">
        <v>8.828099659920062E-3</v>
      </c>
      <c r="P837">
        <v>1.2289778772209829E-2</v>
      </c>
      <c r="Q837">
        <v>2.8456900859812609E-3</v>
      </c>
      <c r="R837">
        <v>7.0904715357011873E-4</v>
      </c>
      <c r="S837">
        <v>8.3601349071991696E-2</v>
      </c>
      <c r="T837">
        <v>0.81919932919998562</v>
      </c>
      <c r="U837">
        <v>1.6979731321220416E-2</v>
      </c>
      <c r="V837">
        <v>1.0413532043803181E-2</v>
      </c>
      <c r="W837">
        <v>3.8870693979472841E-2</v>
      </c>
      <c r="X837">
        <v>8.8183472355003092E-3</v>
      </c>
      <c r="Y837">
        <v>1.9297926146865075E-3</v>
      </c>
    </row>
    <row r="838" spans="1:25">
      <c r="A838" s="876"/>
      <c r="B838" s="1202">
        <v>588</v>
      </c>
      <c r="C838" s="880">
        <v>1.0374921176274348</v>
      </c>
      <c r="D838" s="880">
        <v>0.98807301470807463</v>
      </c>
      <c r="E838" s="880">
        <v>1.0136069652048916</v>
      </c>
      <c r="F838" s="880">
        <v>1.0343782364980774</v>
      </c>
      <c r="G838" s="880">
        <v>0.97157789835190544</v>
      </c>
      <c r="H838" s="880">
        <v>1.014783924491609</v>
      </c>
      <c r="I838" s="880">
        <v>0.96353096000414651</v>
      </c>
      <c r="K838">
        <v>1.06680737105407</v>
      </c>
      <c r="L838">
        <v>0</v>
      </c>
      <c r="M838">
        <v>6.600965984608E-4</v>
      </c>
      <c r="N838">
        <v>6.8636645847576019E-2</v>
      </c>
      <c r="O838">
        <v>8.5243821054753963E-3</v>
      </c>
      <c r="P838">
        <v>1.2695215974380072E-2</v>
      </c>
      <c r="Q838">
        <v>2.9025304048428536E-3</v>
      </c>
      <c r="R838">
        <v>6.4911657132633849E-4</v>
      </c>
      <c r="S838">
        <v>8.0352704926307528E-2</v>
      </c>
      <c r="T838">
        <v>0.81474134370980777</v>
      </c>
      <c r="U838">
        <v>1.6299525151693757E-2</v>
      </c>
      <c r="V838">
        <v>1.0409621753405932E-2</v>
      </c>
      <c r="W838">
        <v>4.0648797002189936E-2</v>
      </c>
      <c r="X838">
        <v>9.840902879593898E-3</v>
      </c>
      <c r="Y838">
        <v>1.7666813259300646E-3</v>
      </c>
    </row>
    <row r="839" spans="1:25">
      <c r="A839" s="876"/>
      <c r="B839" s="1202">
        <v>589</v>
      </c>
      <c r="C839" s="880">
        <v>1.0053728376610591</v>
      </c>
      <c r="D839" s="880">
        <v>0.98843835978783723</v>
      </c>
      <c r="E839" s="880">
        <v>0.99907767217144139</v>
      </c>
      <c r="F839" s="880">
        <v>0.96146182790287094</v>
      </c>
      <c r="G839" s="880">
        <v>1.0395301543985611</v>
      </c>
      <c r="H839" s="880">
        <v>0.99503308292354864</v>
      </c>
      <c r="I839" s="880">
        <v>1.0147670522282906</v>
      </c>
      <c r="K839">
        <v>1.0750069982380941</v>
      </c>
      <c r="L839">
        <v>0</v>
      </c>
      <c r="M839">
        <v>6.8856502806984314E-4</v>
      </c>
      <c r="N839">
        <v>6.8410946936964062E-2</v>
      </c>
      <c r="O839">
        <v>8.7949799293699747E-3</v>
      </c>
      <c r="P839">
        <v>1.2667203417467897E-2</v>
      </c>
      <c r="Q839">
        <v>2.9514829806818969E-3</v>
      </c>
      <c r="R839">
        <v>6.7688379234684133E-4</v>
      </c>
      <c r="S839">
        <v>8.6595763202579348E-2</v>
      </c>
      <c r="T839">
        <v>0.81591123786780162</v>
      </c>
      <c r="U839">
        <v>1.6820256359117464E-2</v>
      </c>
      <c r="V839">
        <v>1.0412615272622846E-2</v>
      </c>
      <c r="W839">
        <v>4.0918128891457482E-2</v>
      </c>
      <c r="X839">
        <v>9.6938100676670705E-3</v>
      </c>
      <c r="Y839">
        <v>1.8422545480859234E-3</v>
      </c>
    </row>
    <row r="840" spans="1:25">
      <c r="A840" s="876"/>
      <c r="B840" s="1202">
        <v>590</v>
      </c>
      <c r="C840" s="880">
        <v>1.007961992821254</v>
      </c>
      <c r="D840" s="880">
        <v>1.0148758690692441</v>
      </c>
      <c r="E840" s="880">
        <v>0.98913581505777204</v>
      </c>
      <c r="F840" s="880">
        <v>1.0142162097622738</v>
      </c>
      <c r="G840" s="880">
        <v>1.0081623869064136</v>
      </c>
      <c r="H840" s="880">
        <v>0.96032453146613272</v>
      </c>
      <c r="I840" s="880">
        <v>1.0177851758436209</v>
      </c>
      <c r="K840">
        <v>1.0662635382799848</v>
      </c>
      <c r="L840">
        <v>0</v>
      </c>
      <c r="M840">
        <v>6.6741388549914705E-4</v>
      </c>
      <c r="N840">
        <v>6.4246749012728005E-2</v>
      </c>
      <c r="O840">
        <v>8.6497933525310697E-3</v>
      </c>
      <c r="P840">
        <v>1.2551618835580768E-2</v>
      </c>
      <c r="Q840">
        <v>2.8794698250665268E-3</v>
      </c>
      <c r="R840">
        <v>6.5565950545356643E-4</v>
      </c>
      <c r="S840">
        <v>8.4255753709205308E-2</v>
      </c>
      <c r="T840">
        <v>0.81671588660435668</v>
      </c>
      <c r="U840">
        <v>1.6777050113387752E-2</v>
      </c>
      <c r="V840">
        <v>1.0412366893564616E-2</v>
      </c>
      <c r="W840">
        <v>3.8690813750040479E-2</v>
      </c>
      <c r="X840">
        <v>9.3113015278226095E-3</v>
      </c>
      <c r="Y840">
        <v>1.7844890357467233E-3</v>
      </c>
    </row>
    <row r="841" spans="1:25">
      <c r="A841" s="876"/>
      <c r="B841" s="1202">
        <v>591</v>
      </c>
      <c r="C841" s="880">
        <v>1.0106842339821431</v>
      </c>
      <c r="D841" s="880">
        <v>1.0133528944132026</v>
      </c>
      <c r="E841" s="880">
        <v>1.0147016669930073</v>
      </c>
      <c r="F841" s="880">
        <v>1.029082382113949</v>
      </c>
      <c r="G841" s="880">
        <v>1.0006284178915563</v>
      </c>
      <c r="H841" s="880">
        <v>1.0196229276660169</v>
      </c>
      <c r="I841" s="880">
        <v>0.97206499332727492</v>
      </c>
      <c r="K841">
        <v>1.0715097619255924</v>
      </c>
      <c r="L841">
        <v>0</v>
      </c>
      <c r="M841">
        <v>6.7019749237076556E-4</v>
      </c>
      <c r="N841">
        <v>6.992785269066934E-2</v>
      </c>
      <c r="O841">
        <v>8.6333975147215476E-3</v>
      </c>
      <c r="P841">
        <v>1.2737660580264858E-2</v>
      </c>
      <c r="Q841">
        <v>2.9484178219935024E-3</v>
      </c>
      <c r="R841">
        <v>6.5908175905548053E-4</v>
      </c>
      <c r="S841">
        <v>8.2338850608438499E-2</v>
      </c>
      <c r="T841">
        <v>0.81465348970495011</v>
      </c>
      <c r="U841">
        <v>1.6731861740163605E-2</v>
      </c>
      <c r="V841">
        <v>1.0412107119881584E-2</v>
      </c>
      <c r="W841">
        <v>4.1382786127374602E-2</v>
      </c>
      <c r="X841">
        <v>9.9606504685440314E-3</v>
      </c>
      <c r="Y841">
        <v>1.7938032819055367E-3</v>
      </c>
    </row>
    <row r="842" spans="1:25">
      <c r="A842" s="876"/>
      <c r="B842" s="1202">
        <v>592</v>
      </c>
      <c r="C842" s="880">
        <v>0.9967164895226388</v>
      </c>
      <c r="D842" s="880">
        <v>0.99252831691468191</v>
      </c>
      <c r="E842" s="880">
        <v>0.99700281107934519</v>
      </c>
      <c r="F842" s="880">
        <v>0.99492202659358697</v>
      </c>
      <c r="G842" s="880">
        <v>0.97759340007877571</v>
      </c>
      <c r="H842" s="880">
        <v>0.95971055075140788</v>
      </c>
      <c r="I842" s="880">
        <v>0.99304449146350515</v>
      </c>
      <c r="K842">
        <v>1.0691887468612753</v>
      </c>
      <c r="L842">
        <v>0</v>
      </c>
      <c r="M842">
        <v>6.7134440915548341E-4</v>
      </c>
      <c r="N842">
        <v>6.6228341851139197E-2</v>
      </c>
      <c r="O842">
        <v>8.8518321031029086E-3</v>
      </c>
      <c r="P842">
        <v>1.261701925341727E-2</v>
      </c>
      <c r="Q842">
        <v>2.9652843510526135E-3</v>
      </c>
      <c r="R842">
        <v>6.5953253852229739E-4</v>
      </c>
      <c r="S842">
        <v>8.4038919035105394E-2</v>
      </c>
      <c r="T842">
        <v>0.81607889066178396</v>
      </c>
      <c r="U842">
        <v>1.6966338014585705E-2</v>
      </c>
      <c r="V842">
        <v>1.0413455049914162E-2</v>
      </c>
      <c r="W842">
        <v>3.966901898843983E-2</v>
      </c>
      <c r="X842">
        <v>9.5764292683533283E-3</v>
      </c>
      <c r="Y842">
        <v>1.7950301550148013E-3</v>
      </c>
    </row>
    <row r="843" spans="1:25">
      <c r="A843" s="876"/>
      <c r="B843" s="1202">
        <v>593</v>
      </c>
      <c r="C843" s="880">
        <v>0.99336689816405888</v>
      </c>
      <c r="D843" s="880">
        <v>1.015316550838552</v>
      </c>
      <c r="E843" s="880">
        <v>0.99793132195462531</v>
      </c>
      <c r="F843" s="880">
        <v>1.0084483778818787</v>
      </c>
      <c r="G843" s="880">
        <v>1.039438980315776</v>
      </c>
      <c r="H843" s="880">
        <v>0.98405413674684794</v>
      </c>
      <c r="I843" s="880">
        <v>1.024355871771123</v>
      </c>
      <c r="K843">
        <v>1.0739272105047699</v>
      </c>
      <c r="L843">
        <v>0</v>
      </c>
      <c r="M843">
        <v>6.8107397004586344E-4</v>
      </c>
      <c r="N843">
        <v>6.7410463181639013E-2</v>
      </c>
      <c r="O843">
        <v>8.774852118663877E-3</v>
      </c>
      <c r="P843">
        <v>1.2664472367384889E-2</v>
      </c>
      <c r="Q843">
        <v>2.9472298341198721E-3</v>
      </c>
      <c r="R843">
        <v>6.6936788813045408E-4</v>
      </c>
      <c r="S843">
        <v>8.689493024162423E-2</v>
      </c>
      <c r="T843">
        <v>0.81600384710946394</v>
      </c>
      <c r="U843">
        <v>1.7023547792066183E-2</v>
      </c>
      <c r="V843">
        <v>1.0413783930852835E-2</v>
      </c>
      <c r="W843">
        <v>4.035138846603014E-2</v>
      </c>
      <c r="X843">
        <v>9.6326028104130757E-3</v>
      </c>
      <c r="Y843">
        <v>1.8217987344260769E-3</v>
      </c>
    </row>
    <row r="844" spans="1:25">
      <c r="A844" s="876"/>
      <c r="B844" s="1202">
        <v>594</v>
      </c>
      <c r="C844" s="880">
        <v>0.99346808988679125</v>
      </c>
      <c r="D844" s="880">
        <v>1.0252246536910234</v>
      </c>
      <c r="E844" s="880">
        <v>1.0099166123712884</v>
      </c>
      <c r="F844" s="880">
        <v>0.972108778045085</v>
      </c>
      <c r="G844" s="880">
        <v>0.97769589049111472</v>
      </c>
      <c r="H844" s="880">
        <v>1.0160229844728108</v>
      </c>
      <c r="I844" s="880">
        <v>0.99577436175277212</v>
      </c>
      <c r="K844">
        <v>1.0755779720279079</v>
      </c>
      <c r="L844">
        <v>0</v>
      </c>
      <c r="M844">
        <v>6.8206655857347951E-4</v>
      </c>
      <c r="N844">
        <v>7.0110421560698369E-2</v>
      </c>
      <c r="O844">
        <v>8.7287240370530258E-3</v>
      </c>
      <c r="P844">
        <v>1.2741149867261993E-2</v>
      </c>
      <c r="Q844">
        <v>2.9693269779097957E-3</v>
      </c>
      <c r="R844">
        <v>6.707042521669549E-4</v>
      </c>
      <c r="S844">
        <v>8.5185927469426936E-2</v>
      </c>
      <c r="T844">
        <v>0.81503780930894387</v>
      </c>
      <c r="U844">
        <v>1.7021813823813299E-2</v>
      </c>
      <c r="V844">
        <v>1.0413773962817081E-2</v>
      </c>
      <c r="W844">
        <v>4.1625733745488877E-2</v>
      </c>
      <c r="X844">
        <v>9.9292177040999057E-3</v>
      </c>
      <c r="Y844">
        <v>1.8254358768011456E-3</v>
      </c>
    </row>
    <row r="845" spans="1:25">
      <c r="A845" s="876"/>
      <c r="B845" s="1202">
        <v>595</v>
      </c>
      <c r="C845" s="880">
        <v>0.97017885792234515</v>
      </c>
      <c r="D845" s="880">
        <v>1.0049546573384689</v>
      </c>
      <c r="E845" s="880">
        <v>1.010724039805587</v>
      </c>
      <c r="F845" s="880">
        <v>0.98921149930908459</v>
      </c>
      <c r="G845" s="880">
        <v>1.0002235687518588</v>
      </c>
      <c r="H845" s="880">
        <v>1.0051847274041021</v>
      </c>
      <c r="I845" s="880">
        <v>0.98814491763763124</v>
      </c>
      <c r="K845">
        <v>1.0811608452574268</v>
      </c>
      <c r="L845">
        <v>0</v>
      </c>
      <c r="M845">
        <v>6.9717037992902053E-4</v>
      </c>
      <c r="N845">
        <v>7.1831734509856346E-2</v>
      </c>
      <c r="O845">
        <v>9.0338132921487756E-3</v>
      </c>
      <c r="P845">
        <v>1.2778937063805618E-2</v>
      </c>
      <c r="Q845">
        <v>3.0710384701017699E-3</v>
      </c>
      <c r="R845">
        <v>6.8544832866047195E-4</v>
      </c>
      <c r="S845">
        <v>8.7033076596462547E-2</v>
      </c>
      <c r="T845">
        <v>0.81497290475849105</v>
      </c>
      <c r="U845">
        <v>1.7430424017038256E-2</v>
      </c>
      <c r="V845">
        <v>1.0416122933741463E-2</v>
      </c>
      <c r="W845">
        <v>4.262431969243622E-2</v>
      </c>
      <c r="X845">
        <v>1.0114631581979491E-2</v>
      </c>
      <c r="Y845">
        <v>1.8655643926329894E-3</v>
      </c>
    </row>
    <row r="846" spans="1:25">
      <c r="A846" s="876"/>
      <c r="B846" s="1202">
        <v>596</v>
      </c>
      <c r="C846" s="880">
        <v>1.0092384708466542</v>
      </c>
      <c r="D846" s="880">
        <v>0.97623285123228265</v>
      </c>
      <c r="E846" s="880">
        <v>0.98509900655553995</v>
      </c>
      <c r="F846" s="880">
        <v>1.0030122712849621</v>
      </c>
      <c r="G846" s="880">
        <v>1.0058698801816743</v>
      </c>
      <c r="H846" s="880">
        <v>1.0298115236393952</v>
      </c>
      <c r="I846" s="880">
        <v>0.96933344771731367</v>
      </c>
      <c r="K846">
        <v>1.0764007626790353</v>
      </c>
      <c r="L846">
        <v>0</v>
      </c>
      <c r="M846">
        <v>7.3594143153940875E-4</v>
      </c>
      <c r="N846">
        <v>7.0046331306964846E-2</v>
      </c>
      <c r="O846">
        <v>8.8196370383487478E-3</v>
      </c>
      <c r="P846">
        <v>1.2515746795268406E-2</v>
      </c>
      <c r="Q846">
        <v>2.9155524029356589E-3</v>
      </c>
      <c r="R846">
        <v>7.2388919782046869E-4</v>
      </c>
      <c r="S846">
        <v>8.4124082885175672E-2</v>
      </c>
      <c r="T846">
        <v>0.81704356447782411</v>
      </c>
      <c r="U846">
        <v>1.6755830613319742E-2</v>
      </c>
      <c r="V846">
        <v>1.041224490936179E-2</v>
      </c>
      <c r="W846">
        <v>4.2301186306569198E-2</v>
      </c>
      <c r="X846">
        <v>9.5084504105282432E-3</v>
      </c>
      <c r="Y846">
        <v>1.9701877664573871E-3</v>
      </c>
    </row>
    <row r="847" spans="1:25">
      <c r="A847" s="876"/>
      <c r="B847" s="1202">
        <v>597</v>
      </c>
      <c r="C847" s="880">
        <v>0.99604552779226552</v>
      </c>
      <c r="D847" s="880">
        <v>0.98635884337530078</v>
      </c>
      <c r="E847" s="880">
        <v>1.0451473395755793</v>
      </c>
      <c r="F847" s="880">
        <v>1.0336341656199084</v>
      </c>
      <c r="G847" s="880">
        <v>0.98865411978362117</v>
      </c>
      <c r="H847" s="880">
        <v>1.0028285653942108</v>
      </c>
      <c r="I847" s="880">
        <v>1.0293407921805817</v>
      </c>
      <c r="K847">
        <v>1.0814242389402178</v>
      </c>
      <c r="L847">
        <v>0</v>
      </c>
      <c r="M847">
        <v>6.361987949848228E-4</v>
      </c>
      <c r="N847">
        <v>7.294199900830102E-2</v>
      </c>
      <c r="O847">
        <v>8.8873268687054471E-3</v>
      </c>
      <c r="P847">
        <v>1.3086735923470519E-2</v>
      </c>
      <c r="Q847">
        <v>3.1215925990647577E-3</v>
      </c>
      <c r="R847">
        <v>6.2549149521898403E-4</v>
      </c>
      <c r="S847">
        <v>8.904531417297798E-2</v>
      </c>
      <c r="T847">
        <v>0.812226486969994</v>
      </c>
      <c r="U847">
        <v>1.6977766973598866E-2</v>
      </c>
      <c r="V847">
        <v>1.0413520751389233E-2</v>
      </c>
      <c r="W847">
        <v>4.229470224733399E-2</v>
      </c>
      <c r="X847">
        <v>1.0737119068376936E-2</v>
      </c>
      <c r="Y847">
        <v>1.7023816567700908E-3</v>
      </c>
    </row>
    <row r="848" spans="1:25">
      <c r="A848" s="876"/>
      <c r="B848" s="1202">
        <v>598</v>
      </c>
      <c r="C848" s="880">
        <v>1.0199363188098005</v>
      </c>
      <c r="D848" s="880">
        <v>1.0157209791003421</v>
      </c>
      <c r="E848" s="880">
        <v>1.0272115649477929</v>
      </c>
      <c r="F848" s="880">
        <v>0.96471783441664893</v>
      </c>
      <c r="G848" s="880">
        <v>1.0078381890962409</v>
      </c>
      <c r="H848" s="880">
        <v>0.99248194514066179</v>
      </c>
      <c r="I848" s="880">
        <v>0.97831692092646771</v>
      </c>
      <c r="K848">
        <v>1.0659823114664551</v>
      </c>
      <c r="L848">
        <v>0</v>
      </c>
      <c r="M848">
        <v>6.2879868124809425E-4</v>
      </c>
      <c r="N848">
        <v>6.8176357106803129E-2</v>
      </c>
      <c r="O848">
        <v>8.5444543959489472E-3</v>
      </c>
      <c r="P848">
        <v>1.282167767208729E-2</v>
      </c>
      <c r="Q848">
        <v>2.9550525333849123E-3</v>
      </c>
      <c r="R848">
        <v>6.180825532971653E-4</v>
      </c>
      <c r="S848">
        <v>8.1098265857693183E-2</v>
      </c>
      <c r="T848">
        <v>0.81365242303563257</v>
      </c>
      <c r="U848">
        <v>1.6580083044484561E-2</v>
      </c>
      <c r="V848">
        <v>1.0411234592105719E-2</v>
      </c>
      <c r="W848">
        <v>4.0007340973505348E-2</v>
      </c>
      <c r="X848">
        <v>1.0063921423544692E-2</v>
      </c>
      <c r="Y848">
        <v>1.6822169592159487E-3</v>
      </c>
    </row>
    <row r="849" spans="1:25">
      <c r="A849" s="876"/>
      <c r="B849" s="1202">
        <v>599</v>
      </c>
      <c r="C849" s="880">
        <v>1.034806551120754</v>
      </c>
      <c r="D849" s="880">
        <v>1.0098068996807419</v>
      </c>
      <c r="E849" s="880">
        <v>0.9924689784994124</v>
      </c>
      <c r="F849" s="880">
        <v>1.0215390300524807</v>
      </c>
      <c r="G849" s="880">
        <v>0.97391211176094217</v>
      </c>
      <c r="H849" s="880">
        <v>0.99563407719560759</v>
      </c>
      <c r="I849" s="880">
        <v>1.0005364929301286</v>
      </c>
      <c r="K849">
        <v>1.0647852255695023</v>
      </c>
      <c r="L849">
        <v>0</v>
      </c>
      <c r="M849">
        <v>6.7107858413697347E-4</v>
      </c>
      <c r="N849">
        <v>6.5315267570989127E-2</v>
      </c>
      <c r="O849">
        <v>8.4479046685395111E-3</v>
      </c>
      <c r="P849">
        <v>1.2544228728600917E-2</v>
      </c>
      <c r="Q849">
        <v>2.8206990349158622E-3</v>
      </c>
      <c r="R849">
        <v>6.5968298113366799E-4</v>
      </c>
      <c r="S849">
        <v>8.209446115451241E-2</v>
      </c>
      <c r="T849">
        <v>0.81644574175770157</v>
      </c>
      <c r="U849">
        <v>1.6341826255001198E-2</v>
      </c>
      <c r="V849">
        <v>1.0409864929086271E-2</v>
      </c>
      <c r="W849">
        <v>3.9244114831837519E-2</v>
      </c>
      <c r="X849">
        <v>9.337072631111382E-3</v>
      </c>
      <c r="Y849">
        <v>1.795439610209558E-3</v>
      </c>
    </row>
    <row r="850" spans="1:25">
      <c r="A850" s="876"/>
      <c r="B850" s="1202">
        <v>600</v>
      </c>
      <c r="C850" s="880">
        <v>1.0036774316662926</v>
      </c>
      <c r="D850" s="880">
        <v>1.017128108272173</v>
      </c>
      <c r="E850" s="880">
        <v>1.0210304599884568</v>
      </c>
      <c r="F850" s="880">
        <v>1.0056488218213129</v>
      </c>
      <c r="G850" s="880">
        <v>1.0244451423208911</v>
      </c>
      <c r="H850" s="880">
        <v>1.0399145265794589</v>
      </c>
      <c r="I850" s="880">
        <v>0.98723085071200933</v>
      </c>
      <c r="K850">
        <v>1.0773170618560228</v>
      </c>
      <c r="L850">
        <v>0</v>
      </c>
      <c r="M850">
        <v>6.7782901875402288E-4</v>
      </c>
      <c r="N850">
        <v>7.215198385806304E-2</v>
      </c>
      <c r="O850">
        <v>8.6764708685926686E-3</v>
      </c>
      <c r="P850">
        <v>1.2825202264843906E-2</v>
      </c>
      <c r="Q850">
        <v>2.9826748690496971E-3</v>
      </c>
      <c r="R850">
        <v>6.668030887159507E-4</v>
      </c>
      <c r="S850">
        <v>8.4758822445952786E-2</v>
      </c>
      <c r="T850">
        <v>0.81414638029648934</v>
      </c>
      <c r="U850">
        <v>1.6848669036901177E-2</v>
      </c>
      <c r="V850">
        <v>1.0412778608132087E-2</v>
      </c>
      <c r="W850">
        <v>4.2516782333164416E-2</v>
      </c>
      <c r="X850">
        <v>1.0193505008966196E-2</v>
      </c>
      <c r="Y850">
        <v>1.8148181959056981E-3</v>
      </c>
    </row>
    <row r="851" spans="1:25">
      <c r="A851" s="876"/>
      <c r="B851" s="1202">
        <v>601</v>
      </c>
      <c r="C851" s="880">
        <v>1.0264629209781078</v>
      </c>
      <c r="D851" s="880">
        <v>1.0085416689651756</v>
      </c>
      <c r="E851" s="880">
        <v>1.016146281896924</v>
      </c>
      <c r="F851" s="880">
        <v>0.99348782844336003</v>
      </c>
      <c r="G851" s="880">
        <v>0.97741081345870628</v>
      </c>
      <c r="H851" s="880">
        <v>1.0193171107648558</v>
      </c>
      <c r="I851" s="880">
        <v>1.0131755624584757</v>
      </c>
      <c r="K851">
        <v>1.0719723585852587</v>
      </c>
      <c r="L851">
        <v>0</v>
      </c>
      <c r="M851">
        <v>6.593542933790317E-4</v>
      </c>
      <c r="N851">
        <v>6.9106075412440307E-2</v>
      </c>
      <c r="O851">
        <v>8.5222645736965016E-3</v>
      </c>
      <c r="P851">
        <v>1.2778546083785088E-2</v>
      </c>
      <c r="Q851">
        <v>2.9136269209192704E-3</v>
      </c>
      <c r="R851">
        <v>6.4841892581823707E-4</v>
      </c>
      <c r="S851">
        <v>8.4691567234894211E-2</v>
      </c>
      <c r="T851">
        <v>0.81453761631615651</v>
      </c>
      <c r="U851">
        <v>1.6474661208257194E-2</v>
      </c>
      <c r="V851">
        <v>1.0410628555271126E-2</v>
      </c>
      <c r="W851">
        <v>4.0856491353016076E-2</v>
      </c>
      <c r="X851">
        <v>9.9270337295456652E-3</v>
      </c>
      <c r="Y851">
        <v>1.764782564835792E-3</v>
      </c>
    </row>
    <row r="852" spans="1:25">
      <c r="A852" s="876"/>
      <c r="B852" s="1202">
        <v>602</v>
      </c>
      <c r="C852" s="880">
        <v>0.99487248202700651</v>
      </c>
      <c r="D852" s="880">
        <v>0.95659967217755648</v>
      </c>
      <c r="E852" s="880">
        <v>0.96883910907106319</v>
      </c>
      <c r="F852" s="880">
        <v>0.99849909136342663</v>
      </c>
      <c r="G852" s="880">
        <v>0.99670288330039913</v>
      </c>
      <c r="H852" s="880">
        <v>0.9921197666181969</v>
      </c>
      <c r="I852" s="880">
        <v>1.0035861768564553</v>
      </c>
      <c r="K852">
        <v>1.0788647339962572</v>
      </c>
      <c r="L852">
        <v>0</v>
      </c>
      <c r="M852">
        <v>7.5232004230085011E-4</v>
      </c>
      <c r="N852">
        <v>6.8025920527985423E-2</v>
      </c>
      <c r="O852">
        <v>9.0447720021142423E-3</v>
      </c>
      <c r="P852">
        <v>1.2432281696107666E-2</v>
      </c>
      <c r="Q852">
        <v>2.9363608007162423E-3</v>
      </c>
      <c r="R852">
        <v>7.3955086170849997E-4</v>
      </c>
      <c r="S852">
        <v>8.7865354678996532E-2</v>
      </c>
      <c r="T852">
        <v>0.8183690052471958</v>
      </c>
      <c r="U852">
        <v>1.6997785315659528E-2</v>
      </c>
      <c r="V852">
        <v>1.0413635830514122E-2</v>
      </c>
      <c r="W852">
        <v>4.1548181925126063E-2</v>
      </c>
      <c r="X852">
        <v>9.2313914997382181E-3</v>
      </c>
      <c r="Y852">
        <v>2.0128136526944953E-3</v>
      </c>
    </row>
    <row r="853" spans="1:25">
      <c r="A853" s="876"/>
      <c r="B853" s="1202">
        <v>603</v>
      </c>
      <c r="C853" s="880">
        <v>0.9889042826623442</v>
      </c>
      <c r="D853" s="880">
        <v>1.0062543922780975</v>
      </c>
      <c r="E853" s="880">
        <v>1.0205785660435982</v>
      </c>
      <c r="F853" s="880">
        <v>0.99766178268690697</v>
      </c>
      <c r="G853" s="880">
        <v>0.99805795510763928</v>
      </c>
      <c r="H853" s="880">
        <v>0.99917462573055837</v>
      </c>
      <c r="I853" s="880">
        <v>1.0100185547444838</v>
      </c>
      <c r="K853">
        <v>1.077755820011524</v>
      </c>
      <c r="L853">
        <v>0</v>
      </c>
      <c r="M853">
        <v>6.6542486734374757E-4</v>
      </c>
      <c r="N853">
        <v>7.0685523642919468E-2</v>
      </c>
      <c r="O853">
        <v>8.8566500289525302E-3</v>
      </c>
      <c r="P853">
        <v>1.2856021788265868E-2</v>
      </c>
      <c r="Q853">
        <v>3.0408175894351399E-3</v>
      </c>
      <c r="R853">
        <v>6.5416821332459866E-4</v>
      </c>
      <c r="S853">
        <v>8.7000257298228287E-2</v>
      </c>
      <c r="T853">
        <v>0.8141825440983238</v>
      </c>
      <c r="U853">
        <v>1.7100369734900246E-2</v>
      </c>
      <c r="V853">
        <v>1.0414225555934783E-2</v>
      </c>
      <c r="W853">
        <v>4.1665341643693919E-2</v>
      </c>
      <c r="X853">
        <v>1.0184895054712496E-2</v>
      </c>
      <c r="Y853">
        <v>1.7804302301759915E-3</v>
      </c>
    </row>
    <row r="854" spans="1:25">
      <c r="A854" s="876"/>
      <c r="B854" s="1202">
        <v>604</v>
      </c>
      <c r="C854" s="880">
        <v>0.95187104474826179</v>
      </c>
      <c r="D854" s="880">
        <v>1.0115481419817525</v>
      </c>
      <c r="E854" s="880">
        <v>1.0154383578077673</v>
      </c>
      <c r="F854" s="880">
        <v>1.0021934876148297</v>
      </c>
      <c r="G854" s="880">
        <v>1.0220564077352197</v>
      </c>
      <c r="H854" s="880">
        <v>0.97628991745080784</v>
      </c>
      <c r="I854" s="880">
        <v>0.99428432697390667</v>
      </c>
      <c r="K854">
        <v>1.0810960972621986</v>
      </c>
      <c r="L854">
        <v>0</v>
      </c>
      <c r="M854">
        <v>6.8095032069216688E-4</v>
      </c>
      <c r="N854">
        <v>7.1159494466862039E-2</v>
      </c>
      <c r="O854">
        <v>9.1755363158853125E-3</v>
      </c>
      <c r="P854">
        <v>1.2834823812794743E-2</v>
      </c>
      <c r="Q854">
        <v>3.1354520753098178E-3</v>
      </c>
      <c r="R854">
        <v>6.6915648706921858E-4</v>
      </c>
      <c r="S854">
        <v>8.7895541264796775E-2</v>
      </c>
      <c r="T854">
        <v>0.81459439042898985</v>
      </c>
      <c r="U854">
        <v>1.776567210364579E-2</v>
      </c>
      <c r="V854">
        <v>1.0418050169089338E-2</v>
      </c>
      <c r="W854">
        <v>4.2090662199858485E-2</v>
      </c>
      <c r="X854">
        <v>1.021704488816331E-2</v>
      </c>
      <c r="Y854">
        <v>1.8212233704257344E-3</v>
      </c>
    </row>
    <row r="855" spans="1:25">
      <c r="A855" s="876"/>
      <c r="B855" s="1202">
        <v>605</v>
      </c>
      <c r="C855" s="880">
        <v>0.98243565375071595</v>
      </c>
      <c r="D855" s="880">
        <v>1.022641863626182</v>
      </c>
      <c r="E855" s="880">
        <v>1.0249930783702772</v>
      </c>
      <c r="F855" s="880">
        <v>1.0122714006916305</v>
      </c>
      <c r="G855" s="880">
        <v>0.98603702835170182</v>
      </c>
      <c r="H855" s="880">
        <v>0.96876842296292254</v>
      </c>
      <c r="I855" s="880">
        <v>0.95708960518704655</v>
      </c>
      <c r="K855">
        <v>1.0682778667738229</v>
      </c>
      <c r="L855">
        <v>0</v>
      </c>
      <c r="M855">
        <v>6.3789449082416177E-4</v>
      </c>
      <c r="N855">
        <v>6.865800108748614E-2</v>
      </c>
      <c r="O855">
        <v>8.8385991278735927E-3</v>
      </c>
      <c r="P855">
        <v>1.2814681298735245E-2</v>
      </c>
      <c r="Q855">
        <v>3.0516038220384941E-3</v>
      </c>
      <c r="R855">
        <v>6.2675173708210666E-4</v>
      </c>
      <c r="S855">
        <v>8.127336330206944E-2</v>
      </c>
      <c r="T855">
        <v>0.81382956137860318</v>
      </c>
      <c r="U855">
        <v>1.721296331356811E-2</v>
      </c>
      <c r="V855">
        <v>1.0414872820851177E-2</v>
      </c>
      <c r="W855">
        <v>4.0350083481680961E-2</v>
      </c>
      <c r="X855">
        <v>1.0139468274976426E-2</v>
      </c>
      <c r="Y855">
        <v>1.7058116196828927E-3</v>
      </c>
    </row>
    <row r="856" spans="1:25">
      <c r="A856" s="876"/>
      <c r="B856" s="1202">
        <v>606</v>
      </c>
      <c r="C856" s="880">
        <v>1.0038196707474452</v>
      </c>
      <c r="D856" s="880">
        <v>1.0380163211761544</v>
      </c>
      <c r="E856" s="880">
        <v>0.99057975098148854</v>
      </c>
      <c r="F856" s="880">
        <v>0.98775660026420364</v>
      </c>
      <c r="G856" s="880">
        <v>0.9667414887488941</v>
      </c>
      <c r="H856" s="880">
        <v>0.99346725881425357</v>
      </c>
      <c r="I856" s="880">
        <v>1.0269171877021914</v>
      </c>
      <c r="K856">
        <v>1.0705332577235909</v>
      </c>
      <c r="L856">
        <v>0</v>
      </c>
      <c r="M856">
        <v>6.8297452168620241E-4</v>
      </c>
      <c r="N856">
        <v>6.6078501663282177E-2</v>
      </c>
      <c r="O856">
        <v>8.5819454692199395E-3</v>
      </c>
      <c r="P856">
        <v>1.2582884177949043E-2</v>
      </c>
      <c r="Q856">
        <v>2.865824270974301E-3</v>
      </c>
      <c r="R856">
        <v>6.7132831940785683E-4</v>
      </c>
      <c r="S856">
        <v>8.5601647579323217E-2</v>
      </c>
      <c r="T856">
        <v>0.81659881282773494</v>
      </c>
      <c r="U856">
        <v>1.6846281616857275E-2</v>
      </c>
      <c r="V856">
        <v>1.0412764883608447E-2</v>
      </c>
      <c r="W856">
        <v>3.9754359188536467E-2</v>
      </c>
      <c r="X856">
        <v>9.3947478662739833E-3</v>
      </c>
      <c r="Y856">
        <v>1.8271343821071706E-3</v>
      </c>
    </row>
    <row r="857" spans="1:25">
      <c r="A857" s="876"/>
      <c r="B857" s="1202">
        <v>607</v>
      </c>
      <c r="C857" s="880">
        <v>0.99004138483727233</v>
      </c>
      <c r="D857" s="880">
        <v>1.0094919604828796</v>
      </c>
      <c r="E857" s="880">
        <v>0.98472885551068967</v>
      </c>
      <c r="F857" s="880">
        <v>0.9828888087105635</v>
      </c>
      <c r="G857" s="880">
        <v>0.98025843089165787</v>
      </c>
      <c r="H857" s="880">
        <v>0.97830928016214913</v>
      </c>
      <c r="I857" s="880">
        <v>0.99369009970883238</v>
      </c>
      <c r="K857">
        <v>1.0714519259823918</v>
      </c>
      <c r="L857">
        <v>0</v>
      </c>
      <c r="M857">
        <v>7.0063868785485864E-4</v>
      </c>
      <c r="N857">
        <v>6.6548140820187854E-2</v>
      </c>
      <c r="O857">
        <v>8.8313480315754481E-3</v>
      </c>
      <c r="P857">
        <v>1.2523662685976102E-2</v>
      </c>
      <c r="Q857">
        <v>2.9256632825158447E-3</v>
      </c>
      <c r="R857">
        <v>6.8853070717182091E-4</v>
      </c>
      <c r="S857">
        <v>8.4613873803003975E-2</v>
      </c>
      <c r="T857">
        <v>0.81707363820148737</v>
      </c>
      <c r="U857">
        <v>1.7080729275505874E-2</v>
      </c>
      <c r="V857">
        <v>1.0414112649137983E-2</v>
      </c>
      <c r="W857">
        <v>4.0198906745224597E-2</v>
      </c>
      <c r="X857">
        <v>9.3800048576238842E-3</v>
      </c>
      <c r="Y857">
        <v>1.8739536108350783E-3</v>
      </c>
    </row>
    <row r="858" spans="1:25">
      <c r="A858" s="876"/>
      <c r="B858" s="1202">
        <v>608</v>
      </c>
      <c r="C858" s="880">
        <v>0.99744319595961273</v>
      </c>
      <c r="D858" s="880">
        <v>1.0130851481888605</v>
      </c>
      <c r="E858" s="880">
        <v>0.99574190852107158</v>
      </c>
      <c r="F858" s="880">
        <v>1.0140297635489899</v>
      </c>
      <c r="G858" s="880">
        <v>1.0102991487105735</v>
      </c>
      <c r="H858" s="880">
        <v>0.97724162959370198</v>
      </c>
      <c r="I858" s="880">
        <v>1.0155246627318313</v>
      </c>
      <c r="K858">
        <v>1.0713633164974152</v>
      </c>
      <c r="L858">
        <v>0</v>
      </c>
      <c r="M858">
        <v>6.7749776660853121E-4</v>
      </c>
      <c r="N858">
        <v>6.6593260856417105E-2</v>
      </c>
      <c r="O858">
        <v>8.7492369828447835E-3</v>
      </c>
      <c r="P858">
        <v>1.2628121563635695E-2</v>
      </c>
      <c r="Q858">
        <v>2.9316761544696574E-3</v>
      </c>
      <c r="R858">
        <v>6.6577385750886192E-4</v>
      </c>
      <c r="S858">
        <v>8.564133125704812E-2</v>
      </c>
      <c r="T858">
        <v>0.81618084544749259</v>
      </c>
      <c r="U858">
        <v>1.6953976862495061E-2</v>
      </c>
      <c r="V858">
        <v>1.0413383989555604E-2</v>
      </c>
      <c r="W858">
        <v>3.9922111506581988E-2</v>
      </c>
      <c r="X858">
        <v>9.5490788181268691E-3</v>
      </c>
      <c r="Y858">
        <v>1.8120169678459788E-3</v>
      </c>
    </row>
    <row r="859" spans="1:25">
      <c r="A859" s="876"/>
      <c r="B859" s="1202">
        <v>609</v>
      </c>
      <c r="C859" s="880">
        <v>0.9809937518640407</v>
      </c>
      <c r="D859" s="880">
        <v>1.0195720744991104</v>
      </c>
      <c r="E859" s="880">
        <v>0.98679052464401096</v>
      </c>
      <c r="F859" s="880">
        <v>1.0091076069530633</v>
      </c>
      <c r="G859" s="880">
        <v>0.97860832647364027</v>
      </c>
      <c r="H859" s="880">
        <v>0.98449000947355092</v>
      </c>
      <c r="I859" s="880">
        <v>0.98003803814084589</v>
      </c>
      <c r="K859">
        <v>1.0722781886211303</v>
      </c>
      <c r="L859">
        <v>0</v>
      </c>
      <c r="M859">
        <v>7.0476195936793474E-4</v>
      </c>
      <c r="N859">
        <v>6.737755528398956E-2</v>
      </c>
      <c r="O859">
        <v>8.8657642857907452E-3</v>
      </c>
      <c r="P859">
        <v>1.2535129146582683E-2</v>
      </c>
      <c r="Q859">
        <v>2.9453774346188512E-3</v>
      </c>
      <c r="R859">
        <v>6.9265040754995445E-4</v>
      </c>
      <c r="S859">
        <v>8.4024704249495874E-2</v>
      </c>
      <c r="T859">
        <v>0.81690619249445795</v>
      </c>
      <c r="U859">
        <v>1.7238263581006039E-2</v>
      </c>
      <c r="V859">
        <v>1.0415018264096545E-2</v>
      </c>
      <c r="W859">
        <v>4.0641972718727368E-2</v>
      </c>
      <c r="X859">
        <v>9.4551566369772133E-3</v>
      </c>
      <c r="Y859">
        <v>1.8851660772054924E-3</v>
      </c>
    </row>
    <row r="860" spans="1:25">
      <c r="A860" s="876"/>
      <c r="B860" s="1202">
        <v>610</v>
      </c>
      <c r="C860" s="880">
        <v>1.0037133948081929</v>
      </c>
      <c r="D860" s="880">
        <v>0.98174778005372743</v>
      </c>
      <c r="E860" s="880">
        <v>0.97916511026837205</v>
      </c>
      <c r="F860" s="880">
        <v>0.9741073754002858</v>
      </c>
      <c r="G860" s="880">
        <v>1.0135875115505657</v>
      </c>
      <c r="H860" s="880">
        <v>1.0157504908115398</v>
      </c>
      <c r="I860" s="880">
        <v>1.0148436894667936</v>
      </c>
      <c r="K860">
        <v>1.0787583903737539</v>
      </c>
      <c r="L860">
        <v>0</v>
      </c>
      <c r="M860">
        <v>7.3682502762094425E-4</v>
      </c>
      <c r="N860">
        <v>6.8829592953347729E-2</v>
      </c>
      <c r="O860">
        <v>8.8415314709489809E-3</v>
      </c>
      <c r="P860">
        <v>1.2516568188774882E-2</v>
      </c>
      <c r="Q860">
        <v>2.9064699481103828E-3</v>
      </c>
      <c r="R860">
        <v>7.2458617595916579E-4</v>
      </c>
      <c r="S860">
        <v>8.7796243437036181E-2</v>
      </c>
      <c r="T860">
        <v>0.81752623562269311</v>
      </c>
      <c r="U860">
        <v>1.6848065347562644E-2</v>
      </c>
      <c r="V860">
        <v>1.0412775137712785E-2</v>
      </c>
      <c r="W860">
        <v>4.1737638942969717E-2</v>
      </c>
      <c r="X860">
        <v>9.3834234650671203E-3</v>
      </c>
      <c r="Y860">
        <v>1.9720847111921389E-3</v>
      </c>
    </row>
    <row r="861" spans="1:25">
      <c r="A861" s="876"/>
      <c r="B861" s="1202">
        <v>611</v>
      </c>
      <c r="C861" s="880">
        <v>1.0019817028771874</v>
      </c>
      <c r="D861" s="880">
        <v>1.0184878587471566</v>
      </c>
      <c r="E861" s="880">
        <v>1.0003008643658051</v>
      </c>
      <c r="F861" s="880">
        <v>1.0447441036570886</v>
      </c>
      <c r="G861" s="880">
        <v>0.99899102268994699</v>
      </c>
      <c r="H861" s="880">
        <v>1.0060689120626949</v>
      </c>
      <c r="I861" s="880">
        <v>0.99226314538113036</v>
      </c>
      <c r="K861">
        <v>1.0722243777976037</v>
      </c>
      <c r="L861">
        <v>0</v>
      </c>
      <c r="M861">
        <v>6.8575129710060384E-4</v>
      </c>
      <c r="N861">
        <v>6.8401548046925192E-2</v>
      </c>
      <c r="O861">
        <v>8.6849755224199954E-3</v>
      </c>
      <c r="P861">
        <v>1.2644033337846054E-2</v>
      </c>
      <c r="Q861">
        <v>2.9246785599516454E-3</v>
      </c>
      <c r="R861">
        <v>6.742201129945908E-4</v>
      </c>
      <c r="S861">
        <v>8.4091554135012153E-2</v>
      </c>
      <c r="T861">
        <v>0.81581247008846169</v>
      </c>
      <c r="U861">
        <v>1.6877183303241512E-2</v>
      </c>
      <c r="V861">
        <v>1.0412942527641867E-2</v>
      </c>
      <c r="W861">
        <v>4.0878272045473715E-2</v>
      </c>
      <c r="X861">
        <v>9.6732465237649012E-3</v>
      </c>
      <c r="Y861">
        <v>1.8350048909707606E-3</v>
      </c>
    </row>
    <row r="862" spans="1:25">
      <c r="A862" s="876"/>
      <c r="B862" s="1202">
        <v>612</v>
      </c>
      <c r="C862" s="880">
        <v>0.98412567082108815</v>
      </c>
      <c r="D862" s="880">
        <v>1.0030930062802645</v>
      </c>
      <c r="E862" s="880">
        <v>1.0011992972175112</v>
      </c>
      <c r="F862" s="880">
        <v>1.0363855197719956</v>
      </c>
      <c r="G862" s="880">
        <v>0.99543371922662105</v>
      </c>
      <c r="H862" s="880">
        <v>1.0054075279180446</v>
      </c>
      <c r="I862" s="880">
        <v>0.99328020246576376</v>
      </c>
      <c r="K862">
        <v>1.0781503916894999</v>
      </c>
      <c r="L862">
        <v>0</v>
      </c>
      <c r="M862">
        <v>7.0207570314661908E-4</v>
      </c>
      <c r="N862">
        <v>7.0226408652638211E-2</v>
      </c>
      <c r="O862">
        <v>8.9145949143747578E-3</v>
      </c>
      <c r="P862">
        <v>1.2686353634226124E-2</v>
      </c>
      <c r="Q862">
        <v>3.0013139719450052E-3</v>
      </c>
      <c r="R862">
        <v>6.9027539481981862E-4</v>
      </c>
      <c r="S862">
        <v>8.6333250193449826E-2</v>
      </c>
      <c r="T862">
        <v>0.81573995768480645</v>
      </c>
      <c r="U862">
        <v>1.7183403875486031E-2</v>
      </c>
      <c r="V862">
        <v>1.0414702892979228E-2</v>
      </c>
      <c r="W862">
        <v>4.1943070252922779E-2</v>
      </c>
      <c r="X862">
        <v>9.8404338495211817E-3</v>
      </c>
      <c r="Y862">
        <v>1.8787020754767987E-3</v>
      </c>
    </row>
    <row r="863" spans="1:25">
      <c r="A863" s="876"/>
      <c r="B863" s="1202">
        <v>613</v>
      </c>
      <c r="C863" s="880">
        <v>0.9903128125620777</v>
      </c>
      <c r="D863" s="880">
        <v>1.0145562430425263</v>
      </c>
      <c r="E863" s="880">
        <v>0.96974837150886606</v>
      </c>
      <c r="F863" s="880">
        <v>1.0198147896016072</v>
      </c>
      <c r="G863" s="880">
        <v>0.9666839719852266</v>
      </c>
      <c r="H863" s="880">
        <v>1.0188099070596475</v>
      </c>
      <c r="I863" s="880">
        <v>1.0210115130405315</v>
      </c>
      <c r="K863">
        <v>1.0789461426547426</v>
      </c>
      <c r="L863">
        <v>0</v>
      </c>
      <c r="M863">
        <v>7.5073945085694818E-4</v>
      </c>
      <c r="N863">
        <v>6.8101546118502401E-2</v>
      </c>
      <c r="O863">
        <v>8.8054253475759597E-3</v>
      </c>
      <c r="P863">
        <v>1.24452497794425E-2</v>
      </c>
      <c r="Q863">
        <v>2.8739971934418247E-3</v>
      </c>
      <c r="R863">
        <v>7.3827685215249468E-4</v>
      </c>
      <c r="S863">
        <v>8.8182073877046588E-2</v>
      </c>
      <c r="T863">
        <v>0.81829465006039692</v>
      </c>
      <c r="U863">
        <v>1.7076047741119517E-2</v>
      </c>
      <c r="V863">
        <v>1.0414085736475651E-2</v>
      </c>
      <c r="W863">
        <v>4.1567938788459352E-2</v>
      </c>
      <c r="X863">
        <v>9.188244392325259E-3</v>
      </c>
      <c r="Y863">
        <v>2.0093462186601854E-3</v>
      </c>
    </row>
    <row r="864" spans="1:25">
      <c r="A864" s="876"/>
      <c r="B864" s="1202">
        <v>614</v>
      </c>
      <c r="C864" s="880">
        <v>0.97350476459460289</v>
      </c>
      <c r="D864" s="880">
        <v>0.95544663953696263</v>
      </c>
      <c r="E864" s="880">
        <v>0.98782611417221466</v>
      </c>
      <c r="F864" s="880">
        <v>1.0070284012110216</v>
      </c>
      <c r="G864" s="880">
        <v>0.98648746750613159</v>
      </c>
      <c r="H864" s="880">
        <v>0.99814080669711425</v>
      </c>
      <c r="I864" s="880">
        <v>1.0178550601879284</v>
      </c>
      <c r="K864">
        <v>1.0870339374161428</v>
      </c>
      <c r="L864">
        <v>0</v>
      </c>
      <c r="M864">
        <v>7.4376068976836026E-4</v>
      </c>
      <c r="N864">
        <v>7.1358586153228112E-2</v>
      </c>
      <c r="O864">
        <v>9.2492705990557828E-3</v>
      </c>
      <c r="P864">
        <v>1.2644759161993169E-2</v>
      </c>
      <c r="Q864">
        <v>3.0610357228208302E-3</v>
      </c>
      <c r="R864">
        <v>7.3121407126686187E-4</v>
      </c>
      <c r="S864">
        <v>9.135623342054365E-2</v>
      </c>
      <c r="T864">
        <v>0.81682213778942125</v>
      </c>
      <c r="U864">
        <v>1.737087426890456E-2</v>
      </c>
      <c r="V864">
        <v>1.0415780601050686E-2</v>
      </c>
      <c r="W864">
        <v>4.3012559412420874E-2</v>
      </c>
      <c r="X864">
        <v>9.7651232478703238E-3</v>
      </c>
      <c r="Y864">
        <v>1.9901236573345877E-3</v>
      </c>
    </row>
    <row r="865" spans="1:25">
      <c r="A865" s="876"/>
      <c r="B865" s="1202">
        <v>615</v>
      </c>
      <c r="C865" s="880">
        <v>0.97609662712179579</v>
      </c>
      <c r="D865" s="880">
        <v>1.0264860565811063</v>
      </c>
      <c r="E865" s="880">
        <v>1.0032544932102843</v>
      </c>
      <c r="F865" s="880">
        <v>0.97979893302550602</v>
      </c>
      <c r="G865" s="880">
        <v>0.99807349802856038</v>
      </c>
      <c r="H865" s="880">
        <v>1.0163404879571731</v>
      </c>
      <c r="I865" s="880">
        <v>1.0217540395791882</v>
      </c>
      <c r="K865">
        <v>1.0817556109069066</v>
      </c>
      <c r="L865">
        <v>0</v>
      </c>
      <c r="M865">
        <v>7.0378412551339563E-4</v>
      </c>
      <c r="N865">
        <v>7.0859792102836827E-2</v>
      </c>
      <c r="O865">
        <v>8.8782586371307995E-3</v>
      </c>
      <c r="P865">
        <v>1.27408892260393E-2</v>
      </c>
      <c r="Q865">
        <v>3.000383461596888E-3</v>
      </c>
      <c r="R865">
        <v>6.9206264980902193E-4</v>
      </c>
      <c r="S865">
        <v>8.8921397931550614E-2</v>
      </c>
      <c r="T865">
        <v>0.8155741862282393</v>
      </c>
      <c r="U865">
        <v>1.7324748796455257E-2</v>
      </c>
      <c r="V865">
        <v>1.0415515440280227E-2</v>
      </c>
      <c r="W865">
        <v>4.2261981401422385E-2</v>
      </c>
      <c r="X865">
        <v>9.9066127626698409E-3</v>
      </c>
      <c r="Y865">
        <v>1.883566394388962E-3</v>
      </c>
    </row>
    <row r="866" spans="1:25">
      <c r="A866" s="876"/>
      <c r="B866" s="1202">
        <v>616</v>
      </c>
      <c r="C866" s="880">
        <v>0.9592795345247499</v>
      </c>
      <c r="D866" s="880">
        <v>1.0284338575460976</v>
      </c>
      <c r="E866" s="880">
        <v>0.96543246817932338</v>
      </c>
      <c r="F866" s="880">
        <v>0.99474088780146441</v>
      </c>
      <c r="G866" s="880">
        <v>1.0186572633405784</v>
      </c>
      <c r="H866" s="880">
        <v>0.9951429403175569</v>
      </c>
      <c r="I866" s="880">
        <v>1.0055144739495434</v>
      </c>
      <c r="K866">
        <v>1.0798199933821058</v>
      </c>
      <c r="L866">
        <v>0</v>
      </c>
      <c r="M866">
        <v>7.5840849613080746E-4</v>
      </c>
      <c r="N866">
        <v>6.7849037833266471E-2</v>
      </c>
      <c r="O866">
        <v>9.0247984302728231E-3</v>
      </c>
      <c r="P866">
        <v>1.2415998330320449E-2</v>
      </c>
      <c r="Q866">
        <v>2.9355659058689686E-3</v>
      </c>
      <c r="R866">
        <v>7.4550642231608092E-4</v>
      </c>
      <c r="S866">
        <v>8.8175691854462931E-2</v>
      </c>
      <c r="T866">
        <v>0.81864783223157389</v>
      </c>
      <c r="U866">
        <v>1.7628468300775628E-2</v>
      </c>
      <c r="V866">
        <v>1.0417261427768139E-2</v>
      </c>
      <c r="W866">
        <v>4.153911332655473E-2</v>
      </c>
      <c r="X866">
        <v>9.1701050896389885E-3</v>
      </c>
      <c r="Y866">
        <v>2.0290227254183041E-3</v>
      </c>
    </row>
    <row r="867" spans="1:25">
      <c r="A867" s="876"/>
      <c r="B867" s="1202">
        <v>617</v>
      </c>
      <c r="C867" s="880">
        <v>1.0050993304147489</v>
      </c>
      <c r="D867" s="880">
        <v>0.97569012448012959</v>
      </c>
      <c r="E867" s="880">
        <v>0.9776624612777296</v>
      </c>
      <c r="F867" s="880">
        <v>1.03724871268838</v>
      </c>
      <c r="G867" s="880">
        <v>0.99881835591266155</v>
      </c>
      <c r="H867" s="880">
        <v>0.97632366669254622</v>
      </c>
      <c r="I867" s="880">
        <v>0.97716932213284624</v>
      </c>
      <c r="K867">
        <v>1.0698090587958777</v>
      </c>
      <c r="L867">
        <v>0</v>
      </c>
      <c r="M867">
        <v>7.1182707590223431E-4</v>
      </c>
      <c r="N867">
        <v>6.6139204336177371E-2</v>
      </c>
      <c r="O867">
        <v>8.8585902540301714E-3</v>
      </c>
      <c r="P867">
        <v>1.2443148413192929E-2</v>
      </c>
      <c r="Q867">
        <v>2.9062731616826096E-3</v>
      </c>
      <c r="R867">
        <v>6.9953161526226928E-4</v>
      </c>
      <c r="S867">
        <v>8.3293228499168301E-2</v>
      </c>
      <c r="T867">
        <v>0.81764865218625593</v>
      </c>
      <c r="U867">
        <v>1.6824833480860321E-2</v>
      </c>
      <c r="V867">
        <v>1.0412641585049861E-2</v>
      </c>
      <c r="W867">
        <v>4.0148097916236594E-2</v>
      </c>
      <c r="X867">
        <v>9.2427899676538142E-3</v>
      </c>
      <c r="Y867">
        <v>1.9038944562089009E-3</v>
      </c>
    </row>
    <row r="868" spans="1:25">
      <c r="A868" s="876"/>
      <c r="B868" s="1202">
        <v>618</v>
      </c>
      <c r="C868" s="880">
        <v>1.0189567223769631</v>
      </c>
      <c r="D868" s="880">
        <v>1.0263672361509204</v>
      </c>
      <c r="E868" s="880">
        <v>0.99503773393172024</v>
      </c>
      <c r="F868" s="880">
        <v>1.0343750319005385</v>
      </c>
      <c r="G868" s="880">
        <v>1.0328471412548843</v>
      </c>
      <c r="H868" s="880">
        <v>1.0032897570473329</v>
      </c>
      <c r="I868" s="880">
        <v>0.97301008353421237</v>
      </c>
      <c r="K868">
        <v>1.0653695183913423</v>
      </c>
      <c r="L868">
        <v>0</v>
      </c>
      <c r="M868">
        <v>6.7718039716016618E-4</v>
      </c>
      <c r="N868">
        <v>6.6445637667137514E-2</v>
      </c>
      <c r="O868">
        <v>8.5053386266391671E-3</v>
      </c>
      <c r="P868">
        <v>1.2549908046057306E-2</v>
      </c>
      <c r="Q868">
        <v>2.8506781769139468E-3</v>
      </c>
      <c r="R868">
        <v>6.6575539209414261E-4</v>
      </c>
      <c r="S868">
        <v>8.0682665207649495E-2</v>
      </c>
      <c r="T868">
        <v>0.81623780749163199</v>
      </c>
      <c r="U868">
        <v>1.6596022671604975E-2</v>
      </c>
      <c r="V868">
        <v>1.0411326223986847E-2</v>
      </c>
      <c r="W868">
        <v>3.985287203125909E-2</v>
      </c>
      <c r="X868">
        <v>9.4367205424534494E-3</v>
      </c>
      <c r="Y868">
        <v>1.811966711074235E-3</v>
      </c>
    </row>
    <row r="869" spans="1:25">
      <c r="A869" s="876"/>
      <c r="B869" s="1202">
        <v>619</v>
      </c>
      <c r="C869" s="880">
        <v>1.0094609615208565</v>
      </c>
      <c r="D869" s="880">
        <v>1.0127730670496842</v>
      </c>
      <c r="E869" s="880">
        <v>0.96028904708801566</v>
      </c>
      <c r="F869" s="880">
        <v>1.0358631376328267</v>
      </c>
      <c r="G869" s="880">
        <v>1.0302280257548564</v>
      </c>
      <c r="H869" s="880">
        <v>0.98265131751426071</v>
      </c>
      <c r="I869" s="880">
        <v>0.98815529686572157</v>
      </c>
      <c r="K869">
        <v>1.0663012948945019</v>
      </c>
      <c r="L869">
        <v>0</v>
      </c>
      <c r="M869">
        <v>7.252501817238084E-4</v>
      </c>
      <c r="N869">
        <v>6.3837026087765314E-2</v>
      </c>
      <c r="O869">
        <v>8.6464949172469045E-3</v>
      </c>
      <c r="P869">
        <v>1.2286061438017562E-2</v>
      </c>
      <c r="Q869">
        <v>2.7945303901893096E-3</v>
      </c>
      <c r="R869">
        <v>7.1276930283556211E-4</v>
      </c>
      <c r="S869">
        <v>8.2541796578519219E-2</v>
      </c>
      <c r="T869">
        <v>0.81906955244059265</v>
      </c>
      <c r="U869">
        <v>1.6752137537319699E-2</v>
      </c>
      <c r="V869">
        <v>1.041222367903448E-2</v>
      </c>
      <c r="W869">
        <v>3.9224278984209736E-2</v>
      </c>
      <c r="X869">
        <v>8.8097506425143073E-3</v>
      </c>
      <c r="Y869">
        <v>1.9399230779808682E-3</v>
      </c>
    </row>
    <row r="870" spans="1:25">
      <c r="A870" s="876"/>
      <c r="B870" s="1202">
        <v>620</v>
      </c>
      <c r="C870" s="880">
        <v>1.0065328232047372</v>
      </c>
      <c r="D870" s="880">
        <v>0.97901555378464644</v>
      </c>
      <c r="E870" s="880">
        <v>1.0122894370419675</v>
      </c>
      <c r="F870" s="880">
        <v>1.0164548390578396</v>
      </c>
      <c r="G870" s="880">
        <v>0.9992190419053657</v>
      </c>
      <c r="H870" s="880">
        <v>1.0083060626751714</v>
      </c>
      <c r="I870" s="880">
        <v>0.97841894577858179</v>
      </c>
      <c r="K870">
        <v>1.0750782177132854</v>
      </c>
      <c r="L870">
        <v>0</v>
      </c>
      <c r="M870">
        <v>6.8127372147625768E-4</v>
      </c>
      <c r="N870">
        <v>7.0542293179329127E-2</v>
      </c>
      <c r="O870">
        <v>8.8299029518530657E-3</v>
      </c>
      <c r="P870">
        <v>1.2745141471396373E-2</v>
      </c>
      <c r="Q870">
        <v>3.0005292843736085E-3</v>
      </c>
      <c r="R870">
        <v>6.6987639569283128E-4</v>
      </c>
      <c r="S870">
        <v>8.4263860210970473E-2</v>
      </c>
      <c r="T870">
        <v>0.81484713450523538</v>
      </c>
      <c r="U870">
        <v>1.6800871741181771E-2</v>
      </c>
      <c r="V870">
        <v>1.0412503836577762E-2</v>
      </c>
      <c r="W870">
        <v>4.1814722649089614E-2</v>
      </c>
      <c r="X870">
        <v>1.0009472484679684E-2</v>
      </c>
      <c r="Y870">
        <v>1.8231827243813943E-3</v>
      </c>
    </row>
    <row r="871" spans="1:25">
      <c r="A871" s="876"/>
      <c r="B871" s="1202">
        <v>621</v>
      </c>
      <c r="C871" s="880">
        <v>1.0181184219388584</v>
      </c>
      <c r="D871" s="880">
        <v>0.99995568924649048</v>
      </c>
      <c r="E871" s="880">
        <v>0.97511719919082462</v>
      </c>
      <c r="F871" s="880">
        <v>0.97846148940345323</v>
      </c>
      <c r="G871" s="880">
        <v>1.0157663940224015</v>
      </c>
      <c r="H871" s="880">
        <v>0.96724184696413096</v>
      </c>
      <c r="I871" s="880">
        <v>0.97256505478888322</v>
      </c>
      <c r="K871">
        <v>1.0625076131326148</v>
      </c>
      <c r="L871">
        <v>0</v>
      </c>
      <c r="M871">
        <v>6.9081724965193675E-4</v>
      </c>
      <c r="N871">
        <v>6.3667374592868115E-2</v>
      </c>
      <c r="O871">
        <v>8.6313604760502576E-3</v>
      </c>
      <c r="P871">
        <v>1.2381933473251618E-2</v>
      </c>
      <c r="Q871">
        <v>2.8296088896136201E-3</v>
      </c>
      <c r="R871">
        <v>6.7875079152753502E-4</v>
      </c>
      <c r="S871">
        <v>8.0534416895509803E-2</v>
      </c>
      <c r="T871">
        <v>0.81785618167174534</v>
      </c>
      <c r="U871">
        <v>1.6609687538850882E-2</v>
      </c>
      <c r="V871">
        <v>1.041140477899203E-2</v>
      </c>
      <c r="W871">
        <v>3.8716128232463502E-2</v>
      </c>
      <c r="X871">
        <v>9.0342471369935038E-3</v>
      </c>
      <c r="Y871">
        <v>1.8473359043996572E-3</v>
      </c>
    </row>
    <row r="872" spans="1:25">
      <c r="A872" s="876"/>
      <c r="B872" s="1202">
        <v>622</v>
      </c>
      <c r="C872" s="880">
        <v>1.036824895759719</v>
      </c>
      <c r="D872" s="880">
        <v>1.0424825694374364</v>
      </c>
      <c r="E872" s="880">
        <v>0.95916894437952438</v>
      </c>
      <c r="F872" s="880">
        <v>0.96402637344208819</v>
      </c>
      <c r="G872" s="880">
        <v>0.99866922255824975</v>
      </c>
      <c r="H872" s="880">
        <v>1.0182473465066288</v>
      </c>
      <c r="I872" s="880">
        <v>1.0130394748097002</v>
      </c>
      <c r="K872">
        <v>1.0645128563913633</v>
      </c>
      <c r="L872">
        <v>0</v>
      </c>
      <c r="M872">
        <v>7.2223843795781557E-4</v>
      </c>
      <c r="N872">
        <v>6.3386652320094591E-2</v>
      </c>
      <c r="O872">
        <v>8.2898260599155258E-3</v>
      </c>
      <c r="P872">
        <v>1.2269251633553295E-2</v>
      </c>
      <c r="Q872">
        <v>2.6818902997519847E-3</v>
      </c>
      <c r="R872">
        <v>7.1021869215037367E-4</v>
      </c>
      <c r="S872">
        <v>8.2429609830669395E-2</v>
      </c>
      <c r="T872">
        <v>0.81916151021243533</v>
      </c>
      <c r="U872">
        <v>1.631001428988775E-2</v>
      </c>
      <c r="V872">
        <v>1.0409682052147975E-2</v>
      </c>
      <c r="W872">
        <v>3.897826788103198E-2</v>
      </c>
      <c r="X872">
        <v>8.675190401177299E-3</v>
      </c>
      <c r="Y872">
        <v>1.9329811565043714E-3</v>
      </c>
    </row>
    <row r="873" spans="1:25">
      <c r="A873" s="876"/>
      <c r="B873" s="1202">
        <v>623</v>
      </c>
      <c r="C873" s="880">
        <v>1.0071638807279455</v>
      </c>
      <c r="D873" s="880">
        <v>0.99217157112700127</v>
      </c>
      <c r="E873" s="880">
        <v>1.0019799404767844</v>
      </c>
      <c r="F873" s="880">
        <v>1.0272403008341524</v>
      </c>
      <c r="G873" s="880">
        <v>1.0295417616955842</v>
      </c>
      <c r="H873" s="880">
        <v>1.004681191254277</v>
      </c>
      <c r="I873" s="880">
        <v>1.0403319127736841</v>
      </c>
      <c r="K873">
        <v>1.0779526195578608</v>
      </c>
      <c r="L873">
        <v>0</v>
      </c>
      <c r="M873">
        <v>6.8839277621507748E-4</v>
      </c>
      <c r="N873">
        <v>6.9025261675925292E-2</v>
      </c>
      <c r="O873">
        <v>8.7616920946391313E-3</v>
      </c>
      <c r="P873">
        <v>1.272134262124581E-2</v>
      </c>
      <c r="Q873">
        <v>2.9497337176451264E-3</v>
      </c>
      <c r="R873">
        <v>6.7682339571433848E-4</v>
      </c>
      <c r="S873">
        <v>8.8810885378228926E-2</v>
      </c>
      <c r="T873">
        <v>0.81567697433729935</v>
      </c>
      <c r="U873">
        <v>1.6790344838150808E-2</v>
      </c>
      <c r="V873">
        <v>1.0412443320737605E-2</v>
      </c>
      <c r="W873">
        <v>4.1203688946426668E-2</v>
      </c>
      <c r="X873">
        <v>9.769731839699855E-3</v>
      </c>
      <c r="Y873">
        <v>1.8420901683619954E-3</v>
      </c>
    </row>
    <row r="874" spans="1:25">
      <c r="A874" s="876"/>
      <c r="B874" s="1202">
        <v>624</v>
      </c>
      <c r="C874" s="880">
        <v>1.0204692642981825</v>
      </c>
      <c r="D874" s="880">
        <v>1.0143624690337594</v>
      </c>
      <c r="E874" s="880">
        <v>0.98748469011568174</v>
      </c>
      <c r="F874" s="880">
        <v>0.9908069178939708</v>
      </c>
      <c r="G874" s="880">
        <v>1.0077718955238988</v>
      </c>
      <c r="H874" s="880">
        <v>0.98537409480750526</v>
      </c>
      <c r="I874" s="880">
        <v>0.98647021679748736</v>
      </c>
      <c r="K874">
        <v>1.0646089264101717</v>
      </c>
      <c r="L874">
        <v>0</v>
      </c>
      <c r="M874">
        <v>6.7896391080651624E-4</v>
      </c>
      <c r="N874">
        <v>6.505309138052684E-2</v>
      </c>
      <c r="O874">
        <v>8.5460806264940469E-3</v>
      </c>
      <c r="P874">
        <v>1.2498309126546561E-2</v>
      </c>
      <c r="Q874">
        <v>2.8400893312960003E-3</v>
      </c>
      <c r="R874">
        <v>6.6731052757864446E-4</v>
      </c>
      <c r="S874">
        <v>8.1542020349547578E-2</v>
      </c>
      <c r="T874">
        <v>0.81684984581335551</v>
      </c>
      <c r="U874">
        <v>1.6571424008132687E-2</v>
      </c>
      <c r="V874">
        <v>1.0411184814041062E-2</v>
      </c>
      <c r="W874">
        <v>3.9221059958495112E-2</v>
      </c>
      <c r="X874">
        <v>9.271275107749782E-3</v>
      </c>
      <c r="Y874">
        <v>1.8161992772127741E-3</v>
      </c>
    </row>
    <row r="875" spans="1:25">
      <c r="A875" s="876"/>
      <c r="B875" s="1202">
        <v>625</v>
      </c>
      <c r="C875" s="880">
        <v>0.98193151337494888</v>
      </c>
      <c r="D875" s="880">
        <v>1.0160275396649843</v>
      </c>
      <c r="E875" s="880">
        <v>0.98418440381807826</v>
      </c>
      <c r="F875" s="880">
        <v>1.0209453349591848</v>
      </c>
      <c r="G875" s="880">
        <v>0.98543287047316619</v>
      </c>
      <c r="H875" s="880">
        <v>0.98977167973365543</v>
      </c>
      <c r="I875" s="880">
        <v>0.98664487618147922</v>
      </c>
      <c r="K875">
        <v>1.0737515558681487</v>
      </c>
      <c r="L875">
        <v>0</v>
      </c>
      <c r="M875">
        <v>7.1307077720168073E-4</v>
      </c>
      <c r="N875">
        <v>6.7627425105343156E-2</v>
      </c>
      <c r="O875">
        <v>8.8737341014079735E-3</v>
      </c>
      <c r="P875">
        <v>1.2524124730985478E-2</v>
      </c>
      <c r="Q875">
        <v>2.9394914467182243E-3</v>
      </c>
      <c r="R875">
        <v>7.0088492078864827E-4</v>
      </c>
      <c r="S875">
        <v>8.4844882462273868E-2</v>
      </c>
      <c r="T875">
        <v>0.81711788179172207</v>
      </c>
      <c r="U875">
        <v>1.7221800742324381E-2</v>
      </c>
      <c r="V875">
        <v>1.0414923624437458E-2</v>
      </c>
      <c r="W875">
        <v>4.0866244309610215E-2</v>
      </c>
      <c r="X875">
        <v>9.4256557020027075E-3</v>
      </c>
      <c r="Y875">
        <v>1.9075777077346581E-3</v>
      </c>
    </row>
    <row r="876" spans="1:25">
      <c r="A876" s="876"/>
      <c r="B876" s="1202">
        <v>626</v>
      </c>
      <c r="C876" s="880">
        <v>0.99280227592582471</v>
      </c>
      <c r="D876" s="880">
        <v>1.0063645139132937</v>
      </c>
      <c r="E876" s="880">
        <v>0.9888487787646344</v>
      </c>
      <c r="F876" s="880">
        <v>1.0164058935302185</v>
      </c>
      <c r="G876" s="880">
        <v>0.99227370027418693</v>
      </c>
      <c r="H876" s="880">
        <v>1.0095571125001939</v>
      </c>
      <c r="I876" s="880">
        <v>1.0125914801599505</v>
      </c>
      <c r="K876">
        <v>1.0776747239214288</v>
      </c>
      <c r="L876">
        <v>0</v>
      </c>
      <c r="M876">
        <v>7.1597110904063484E-4</v>
      </c>
      <c r="N876">
        <v>6.8920330389480686E-2</v>
      </c>
      <c r="O876">
        <v>8.8213620905201844E-3</v>
      </c>
      <c r="P876">
        <v>1.2593256532834652E-2</v>
      </c>
      <c r="Q876">
        <v>2.9338941037348014E-3</v>
      </c>
      <c r="R876">
        <v>7.0398385323693026E-4</v>
      </c>
      <c r="S876">
        <v>8.7252036475670647E-2</v>
      </c>
      <c r="T876">
        <v>0.81673916782102551</v>
      </c>
      <c r="U876">
        <v>1.7033229350912376E-2</v>
      </c>
      <c r="V876">
        <v>1.0413839587076304E-2</v>
      </c>
      <c r="W876">
        <v>4.1513563399763469E-2</v>
      </c>
      <c r="X876">
        <v>9.5500194459172908E-3</v>
      </c>
      <c r="Y876">
        <v>1.9160119802960746E-3</v>
      </c>
    </row>
    <row r="877" spans="1:25">
      <c r="A877" s="876"/>
      <c r="B877" s="1202">
        <v>627</v>
      </c>
      <c r="C877" s="880">
        <v>1.0054389682242046</v>
      </c>
      <c r="D877" s="880">
        <v>0.95330919167961581</v>
      </c>
      <c r="E877" s="880">
        <v>1.0260548119320676</v>
      </c>
      <c r="F877" s="880">
        <v>0.98098306760195242</v>
      </c>
      <c r="G877" s="880">
        <v>1.0063085320839389</v>
      </c>
      <c r="H877" s="880">
        <v>0.99817219166373561</v>
      </c>
      <c r="I877" s="880">
        <v>0.99854367231206143</v>
      </c>
      <c r="K877">
        <v>1.079013344671492</v>
      </c>
      <c r="L877">
        <v>0</v>
      </c>
      <c r="M877">
        <v>6.6519394944152812E-4</v>
      </c>
      <c r="N877">
        <v>7.1876768777275474E-2</v>
      </c>
      <c r="O877">
        <v>8.9662503755868397E-3</v>
      </c>
      <c r="P877">
        <v>1.2895860090676545E-2</v>
      </c>
      <c r="Q877">
        <v>3.0826391427167163E-3</v>
      </c>
      <c r="R877">
        <v>6.5397492150972008E-4</v>
      </c>
      <c r="S877">
        <v>8.6874923845249682E-2</v>
      </c>
      <c r="T877">
        <v>0.8137447647374898</v>
      </c>
      <c r="U877">
        <v>1.6819150043308688E-2</v>
      </c>
      <c r="V877">
        <v>1.0412608912762725E-2</v>
      </c>
      <c r="W877">
        <v>4.2211605835443061E-2</v>
      </c>
      <c r="X877">
        <v>1.0360087785339854E-2</v>
      </c>
      <c r="Y877">
        <v>1.7799041535745208E-3</v>
      </c>
    </row>
    <row r="878" spans="1:25">
      <c r="A878" s="876"/>
      <c r="B878" s="1202">
        <v>628</v>
      </c>
      <c r="C878" s="880">
        <v>0.95853761610039745</v>
      </c>
      <c r="D878" s="880">
        <v>0.9830325303879498</v>
      </c>
      <c r="E878" s="880">
        <v>0.99801884993218337</v>
      </c>
      <c r="F878" s="880">
        <v>1.0054756862479055</v>
      </c>
      <c r="G878" s="880">
        <v>0.99867602572154557</v>
      </c>
      <c r="H878" s="880">
        <v>1.0249578605328808</v>
      </c>
      <c r="I878" s="880">
        <v>1.0029822654225733</v>
      </c>
      <c r="K878">
        <v>1.090769030135416</v>
      </c>
      <c r="L878">
        <v>0</v>
      </c>
      <c r="M878">
        <v>7.4777065804951877E-4</v>
      </c>
      <c r="N878">
        <v>7.4086657343609127E-2</v>
      </c>
      <c r="O878">
        <v>9.2517665731830841E-3</v>
      </c>
      <c r="P878">
        <v>1.2731641446715986E-2</v>
      </c>
      <c r="Q878">
        <v>3.1001913852746294E-3</v>
      </c>
      <c r="R878">
        <v>7.3546038236230237E-4</v>
      </c>
      <c r="S878">
        <v>9.1147856849678771E-2</v>
      </c>
      <c r="T878">
        <v>0.81599677448559005</v>
      </c>
      <c r="U878">
        <v>1.7642112924842353E-2</v>
      </c>
      <c r="V878">
        <v>1.0417339866401696E-2</v>
      </c>
      <c r="W878">
        <v>4.434504763368885E-2</v>
      </c>
      <c r="X878">
        <v>1.0060271185777092E-2</v>
      </c>
      <c r="Y878">
        <v>2.0016807163403005E-3</v>
      </c>
    </row>
    <row r="879" spans="1:25">
      <c r="A879" s="876"/>
      <c r="B879" s="1202">
        <v>629</v>
      </c>
      <c r="C879" s="880">
        <v>1.0464040118295808</v>
      </c>
      <c r="D879" s="880">
        <v>0.97945514966435521</v>
      </c>
      <c r="E879" s="880">
        <v>1.0027060190745873</v>
      </c>
      <c r="F879" s="880">
        <v>0.9800449766917263</v>
      </c>
      <c r="G879" s="880">
        <v>1.0343500102353289</v>
      </c>
      <c r="H879" s="880">
        <v>0.97952006454312213</v>
      </c>
      <c r="I879" s="880">
        <v>1.0227953992166958</v>
      </c>
      <c r="K879">
        <v>1.0652900987674561</v>
      </c>
      <c r="L879">
        <v>0</v>
      </c>
      <c r="M879">
        <v>6.4944483746543511E-4</v>
      </c>
      <c r="N879">
        <v>6.5239618120374238E-2</v>
      </c>
      <c r="O879">
        <v>8.491419574021988E-3</v>
      </c>
      <c r="P879">
        <v>1.2648780997335282E-2</v>
      </c>
      <c r="Q879">
        <v>2.8580554650073685E-3</v>
      </c>
      <c r="R879">
        <v>6.3826032436914578E-4</v>
      </c>
      <c r="S879">
        <v>8.3693160375545028E-2</v>
      </c>
      <c r="T879">
        <v>0.81561841193235673</v>
      </c>
      <c r="U879">
        <v>1.6160707217076756E-2</v>
      </c>
      <c r="V879">
        <v>1.0408823732951206E-2</v>
      </c>
      <c r="W879">
        <v>3.8924589216471843E-2</v>
      </c>
      <c r="X879">
        <v>9.5205824489382144E-3</v>
      </c>
      <c r="Y879">
        <v>1.7371342004734328E-3</v>
      </c>
    </row>
    <row r="880" spans="1:25">
      <c r="A880" s="876"/>
      <c r="B880" s="1202">
        <v>630</v>
      </c>
      <c r="C880" s="880">
        <v>0.99421589078509554</v>
      </c>
      <c r="D880" s="880">
        <v>0.98663900374611113</v>
      </c>
      <c r="E880" s="880">
        <v>1.019773534269119</v>
      </c>
      <c r="F880" s="880">
        <v>0.99339861545553476</v>
      </c>
      <c r="G880" s="880">
        <v>1.0311111377567734</v>
      </c>
      <c r="H880" s="880">
        <v>0.96009502187772511</v>
      </c>
      <c r="I880" s="880">
        <v>0.99672512323407669</v>
      </c>
      <c r="K880">
        <v>1.0714107428979087</v>
      </c>
      <c r="L880">
        <v>0</v>
      </c>
      <c r="M880">
        <v>6.4377468352360496E-4</v>
      </c>
      <c r="N880">
        <v>6.8168890732031279E-2</v>
      </c>
      <c r="O880">
        <v>8.9023319843281861E-3</v>
      </c>
      <c r="P880">
        <v>1.2817961741564531E-2</v>
      </c>
      <c r="Q880">
        <v>3.0495626955871209E-3</v>
      </c>
      <c r="R880">
        <v>6.3245738942866781E-4</v>
      </c>
      <c r="S880">
        <v>8.4827495320907206E-2</v>
      </c>
      <c r="T880">
        <v>0.81424698577760157</v>
      </c>
      <c r="U880">
        <v>1.7009010842301726E-2</v>
      </c>
      <c r="V880">
        <v>1.0413700362520721E-2</v>
      </c>
      <c r="W880">
        <v>4.0203751726255718E-2</v>
      </c>
      <c r="X880">
        <v>1.0061028484403205E-2</v>
      </c>
      <c r="Y880">
        <v>1.7213405245024413E-3</v>
      </c>
    </row>
    <row r="881" spans="1:25">
      <c r="A881" s="876"/>
      <c r="B881" s="1202">
        <v>631</v>
      </c>
      <c r="C881" s="880">
        <v>1.0470009833556579</v>
      </c>
      <c r="D881" s="880">
        <v>1.0282082535038419</v>
      </c>
      <c r="E881" s="880">
        <v>0.98000070462617783</v>
      </c>
      <c r="F881" s="880">
        <v>1.0302985753906015</v>
      </c>
      <c r="G881" s="880">
        <v>0.98177330181329725</v>
      </c>
      <c r="H881" s="880">
        <v>0.97288437227761793</v>
      </c>
      <c r="I881" s="880">
        <v>1.0006529478935706</v>
      </c>
      <c r="K881">
        <v>1.0568035835748293</v>
      </c>
      <c r="L881">
        <v>0</v>
      </c>
      <c r="M881">
        <v>6.5896272308826138E-4</v>
      </c>
      <c r="N881">
        <v>6.1667031914394307E-2</v>
      </c>
      <c r="O881">
        <v>8.2696337419555233E-3</v>
      </c>
      <c r="P881">
        <v>1.240476513295433E-2</v>
      </c>
      <c r="Q881">
        <v>2.7301743809228425E-3</v>
      </c>
      <c r="R881">
        <v>6.4749612718883966E-4</v>
      </c>
      <c r="S881">
        <v>7.9656729329991807E-2</v>
      </c>
      <c r="T881">
        <v>0.8174581951575316</v>
      </c>
      <c r="U881">
        <v>1.6151492820716862E-2</v>
      </c>
      <c r="V881">
        <v>1.0408770762297305E-2</v>
      </c>
      <c r="W881">
        <v>3.7372645397675673E-2</v>
      </c>
      <c r="X881">
        <v>8.9333405211197096E-3</v>
      </c>
      <c r="Y881">
        <v>1.7622710111670594E-3</v>
      </c>
    </row>
    <row r="882" spans="1:25">
      <c r="A882" s="876"/>
      <c r="B882" s="1202">
        <v>632</v>
      </c>
      <c r="C882" s="880">
        <v>0.99810597149825453</v>
      </c>
      <c r="D882" s="880">
        <v>1.0140507990166809</v>
      </c>
      <c r="E882" s="880">
        <v>0.97106611783520713</v>
      </c>
      <c r="F882" s="880">
        <v>1.0025099460458218</v>
      </c>
      <c r="G882" s="880">
        <v>0.98747116950834157</v>
      </c>
      <c r="H882" s="880">
        <v>1.0124214478345028</v>
      </c>
      <c r="I882" s="880">
        <v>0.96831983941511124</v>
      </c>
      <c r="K882">
        <v>1.0716556672523081</v>
      </c>
      <c r="L882">
        <v>0</v>
      </c>
      <c r="M882">
        <v>7.3836068166500317E-4</v>
      </c>
      <c r="N882">
        <v>6.7247271859722207E-2</v>
      </c>
      <c r="O882">
        <v>8.7389918656627704E-3</v>
      </c>
      <c r="P882">
        <v>1.2382460621865309E-2</v>
      </c>
      <c r="Q882">
        <v>2.8560516791028222E-3</v>
      </c>
      <c r="R882">
        <v>7.2602668110674225E-4</v>
      </c>
      <c r="S882">
        <v>8.27788614882842E-2</v>
      </c>
      <c r="T882">
        <v>0.8181869405122455</v>
      </c>
      <c r="U882">
        <v>1.6942718858367168E-2</v>
      </c>
      <c r="V882">
        <v>1.0413319270846164E-2</v>
      </c>
      <c r="W882">
        <v>4.1008737065838005E-2</v>
      </c>
      <c r="X882">
        <v>9.1366427395906842E-3</v>
      </c>
      <c r="Y882">
        <v>1.9760052913414482E-3</v>
      </c>
    </row>
    <row r="883" spans="1:25">
      <c r="A883" s="876"/>
      <c r="B883" s="1202">
        <v>633</v>
      </c>
      <c r="C883" s="880">
        <v>1.0471008050175756</v>
      </c>
      <c r="D883" s="880">
        <v>1.0163658987410331</v>
      </c>
      <c r="E883" s="880">
        <v>0.9835475624002864</v>
      </c>
      <c r="F883" s="880">
        <v>0.98609286642754501</v>
      </c>
      <c r="G883" s="880">
        <v>0.99169716770887528</v>
      </c>
      <c r="H883" s="880">
        <v>0.98772077993620921</v>
      </c>
      <c r="I883" s="880">
        <v>1.0073947313444096</v>
      </c>
      <c r="K883">
        <v>1.0607163842630076</v>
      </c>
      <c r="L883">
        <v>0</v>
      </c>
      <c r="M883">
        <v>6.6808032064726952E-4</v>
      </c>
      <c r="N883">
        <v>6.3232672805628859E-2</v>
      </c>
      <c r="O883">
        <v>8.3199768977300081E-3</v>
      </c>
      <c r="P883">
        <v>1.2454495743894406E-2</v>
      </c>
      <c r="Q883">
        <v>2.7543436684750811E-3</v>
      </c>
      <c r="R883">
        <v>6.5663933413073132E-4</v>
      </c>
      <c r="S883">
        <v>8.1154229962359214E-2</v>
      </c>
      <c r="T883">
        <v>0.81716964595482411</v>
      </c>
      <c r="U883">
        <v>1.614995307511825E-2</v>
      </c>
      <c r="V883">
        <v>1.0408761910786237E-2</v>
      </c>
      <c r="W883">
        <v>3.8227404182200483E-2</v>
      </c>
      <c r="X883">
        <v>9.0691852421008832E-3</v>
      </c>
      <c r="Y883">
        <v>1.7871558064055301E-3</v>
      </c>
    </row>
    <row r="884" spans="1:25">
      <c r="A884" s="876"/>
      <c r="B884" s="1202">
        <v>634</v>
      </c>
      <c r="C884" s="880">
        <v>0.99839089587190122</v>
      </c>
      <c r="D884" s="880">
        <v>1.0254248950674347</v>
      </c>
      <c r="E884" s="880">
        <v>0.98051731252871788</v>
      </c>
      <c r="F884" s="880">
        <v>1.0063598681526453</v>
      </c>
      <c r="G884" s="880">
        <v>1.0351819430561848</v>
      </c>
      <c r="H884" s="880">
        <v>0.99450665089254231</v>
      </c>
      <c r="I884" s="880">
        <v>0.9644950566666961</v>
      </c>
      <c r="K884">
        <v>1.0676502962440506</v>
      </c>
      <c r="L884">
        <v>0</v>
      </c>
      <c r="M884">
        <v>7.0665509098220944E-4</v>
      </c>
      <c r="N884">
        <v>6.6262433895088291E-2</v>
      </c>
      <c r="O884">
        <v>8.6847825968586739E-3</v>
      </c>
      <c r="P884">
        <v>1.2442644781286941E-2</v>
      </c>
      <c r="Q884">
        <v>2.868165079395908E-3</v>
      </c>
      <c r="R884">
        <v>6.946283146735655E-4</v>
      </c>
      <c r="S884">
        <v>8.1361927975607193E-2</v>
      </c>
      <c r="T884">
        <v>0.81741614081926073</v>
      </c>
      <c r="U884">
        <v>1.6937883684510362E-2</v>
      </c>
      <c r="V884">
        <v>1.0413291474959041E-2</v>
      </c>
      <c r="W884">
        <v>4.0143249557151421E-2</v>
      </c>
      <c r="X884">
        <v>9.2412538678623181E-3</v>
      </c>
      <c r="Y884">
        <v>1.890549288379054E-3</v>
      </c>
    </row>
    <row r="885" spans="1:25">
      <c r="A885" s="876"/>
      <c r="B885" s="1202">
        <v>635</v>
      </c>
      <c r="C885" s="880">
        <v>0.99297970929115553</v>
      </c>
      <c r="D885" s="880">
        <v>1.0030067318285945</v>
      </c>
      <c r="E885" s="880">
        <v>1.0051477422534694</v>
      </c>
      <c r="F885" s="880">
        <v>0.97363620913564186</v>
      </c>
      <c r="G885" s="880">
        <v>0.98484315441328207</v>
      </c>
      <c r="H885" s="880">
        <v>0.99068443865766032</v>
      </c>
      <c r="I885" s="880">
        <v>1.0325866348085075</v>
      </c>
      <c r="K885">
        <v>1.0773283378915641</v>
      </c>
      <c r="L885">
        <v>0</v>
      </c>
      <c r="M885">
        <v>6.7997697932809962E-4</v>
      </c>
      <c r="N885">
        <v>6.8838922613712647E-2</v>
      </c>
      <c r="O885">
        <v>8.8355118533379618E-3</v>
      </c>
      <c r="P885">
        <v>1.2745649684054644E-2</v>
      </c>
      <c r="Q885">
        <v>2.986478484250685E-3</v>
      </c>
      <c r="R885">
        <v>6.6837832318564639E-4</v>
      </c>
      <c r="S885">
        <v>8.8406669049364547E-2</v>
      </c>
      <c r="T885">
        <v>0.81542160443337275</v>
      </c>
      <c r="U885">
        <v>1.7030185720536155E-2</v>
      </c>
      <c r="V885">
        <v>1.0413822090206731E-2</v>
      </c>
      <c r="W885">
        <v>4.1003704072461594E-2</v>
      </c>
      <c r="X885">
        <v>9.838283081552766E-3</v>
      </c>
      <c r="Y885">
        <v>1.8191054648563066E-3</v>
      </c>
    </row>
    <row r="886" spans="1:25">
      <c r="A886" s="876"/>
      <c r="B886" s="1202">
        <v>636</v>
      </c>
      <c r="C886" s="880">
        <v>1.0013618511847486</v>
      </c>
      <c r="D886" s="880">
        <v>1.0352423469927792</v>
      </c>
      <c r="E886" s="880">
        <v>1.0295397855154496</v>
      </c>
      <c r="F886" s="880">
        <v>1.0453699082334422</v>
      </c>
      <c r="G886" s="880">
        <v>1.0043820236054743</v>
      </c>
      <c r="H886" s="880">
        <v>0.98258769432042792</v>
      </c>
      <c r="I886" s="880">
        <v>1.0057907533914032</v>
      </c>
      <c r="K886">
        <v>1.0689914710673853</v>
      </c>
      <c r="L886">
        <v>0</v>
      </c>
      <c r="M886">
        <v>6.2461988631801234E-4</v>
      </c>
      <c r="N886">
        <v>6.8201004937634577E-2</v>
      </c>
      <c r="O886">
        <v>8.615252932353587E-3</v>
      </c>
      <c r="P886">
        <v>1.2882487449740371E-2</v>
      </c>
      <c r="Q886">
        <v>2.9906137499488622E-3</v>
      </c>
      <c r="R886">
        <v>6.1385290746086949E-4</v>
      </c>
      <c r="S886">
        <v>8.3774411316812694E-2</v>
      </c>
      <c r="T886">
        <v>0.81346670345482719</v>
      </c>
      <c r="U886">
        <v>1.6887630426448509E-2</v>
      </c>
      <c r="V886">
        <v>1.0413002584853028E-2</v>
      </c>
      <c r="W886">
        <v>3.9959342250498152E-2</v>
      </c>
      <c r="X886">
        <v>1.0141083685573437E-2</v>
      </c>
      <c r="Y886">
        <v>1.6707052575519264E-3</v>
      </c>
    </row>
    <row r="887" spans="1:25">
      <c r="A887" s="876"/>
      <c r="B887" s="1202">
        <v>637</v>
      </c>
      <c r="C887" s="880">
        <v>1.002173929649224</v>
      </c>
      <c r="D887" s="880">
        <v>1.023211594147742</v>
      </c>
      <c r="E887" s="880">
        <v>0.99562168638662674</v>
      </c>
      <c r="F887" s="880">
        <v>1.0118110014201334</v>
      </c>
      <c r="G887" s="880">
        <v>1.0287108388359729</v>
      </c>
      <c r="H887" s="880">
        <v>1.0024288340956446</v>
      </c>
      <c r="I887" s="880">
        <v>1.0112030730612918</v>
      </c>
      <c r="K887">
        <v>1.0726206607077959</v>
      </c>
      <c r="L887">
        <v>0</v>
      </c>
      <c r="M887">
        <v>6.8820894831736349E-4</v>
      </c>
      <c r="N887">
        <v>6.7649867817978077E-2</v>
      </c>
      <c r="O887">
        <v>8.6619513435056122E-3</v>
      </c>
      <c r="P887">
        <v>1.2622107347496307E-2</v>
      </c>
      <c r="Q887">
        <v>2.9042170530038654E-3</v>
      </c>
      <c r="R887">
        <v>6.7659050328025571E-4</v>
      </c>
      <c r="S887">
        <v>8.5353664761798217E-2</v>
      </c>
      <c r="T887">
        <v>0.81619056925680267</v>
      </c>
      <c r="U887">
        <v>1.6873946094238718E-2</v>
      </c>
      <c r="V887">
        <v>1.0412923917949927E-2</v>
      </c>
      <c r="W887">
        <v>4.0558885032982203E-2</v>
      </c>
      <c r="X887">
        <v>9.5626902151467481E-3</v>
      </c>
      <c r="Y887">
        <v>1.841456311929392E-3</v>
      </c>
    </row>
    <row r="888" spans="1:25">
      <c r="A888" s="876"/>
      <c r="B888" s="1202">
        <v>638</v>
      </c>
      <c r="C888" s="880">
        <v>1.0242312495705208</v>
      </c>
      <c r="D888" s="880">
        <v>1.0118848290375531</v>
      </c>
      <c r="E888" s="880">
        <v>1.0037700946116426</v>
      </c>
      <c r="F888" s="880">
        <v>0.99663282995776936</v>
      </c>
      <c r="G888" s="880">
        <v>0.97221540002809381</v>
      </c>
      <c r="H888" s="880">
        <v>0.9809870632441714</v>
      </c>
      <c r="I888" s="880">
        <v>1.0027620048425672</v>
      </c>
      <c r="K888">
        <v>1.0651629833994032</v>
      </c>
      <c r="L888">
        <v>0</v>
      </c>
      <c r="M888">
        <v>6.5161440023056886E-4</v>
      </c>
      <c r="N888">
        <v>6.5673525575725589E-2</v>
      </c>
      <c r="O888">
        <v>8.5257887154186977E-3</v>
      </c>
      <c r="P888">
        <v>1.2646560055371714E-2</v>
      </c>
      <c r="Q888">
        <v>2.8797001120347237E-3</v>
      </c>
      <c r="R888">
        <v>6.4038242015399362E-4</v>
      </c>
      <c r="S888">
        <v>8.2532122492983515E-2</v>
      </c>
      <c r="T888">
        <v>0.81553262051286224</v>
      </c>
      <c r="U888">
        <v>1.6510557428357438E-2</v>
      </c>
      <c r="V888">
        <v>1.0410834911301155E-2</v>
      </c>
      <c r="W888">
        <v>3.9155021789713536E-2</v>
      </c>
      <c r="X888">
        <v>9.5645739400593566E-3</v>
      </c>
      <c r="Y888">
        <v>1.7429098456511014E-3</v>
      </c>
    </row>
    <row r="889" spans="1:25">
      <c r="A889" s="876"/>
      <c r="B889" s="1202">
        <v>639</v>
      </c>
      <c r="C889" s="880">
        <v>1.0050368785652009</v>
      </c>
      <c r="D889" s="880">
        <v>1.0287717897627509</v>
      </c>
      <c r="E889" s="880">
        <v>0.98153245771358133</v>
      </c>
      <c r="F889" s="880">
        <v>0.96592785955020655</v>
      </c>
      <c r="G889" s="880">
        <v>0.99778779704417242</v>
      </c>
      <c r="H889" s="880">
        <v>0.97813597232896732</v>
      </c>
      <c r="I889" s="880">
        <v>1.0157068211135798</v>
      </c>
      <c r="K889">
        <v>1.067769744817445</v>
      </c>
      <c r="L889">
        <v>0</v>
      </c>
      <c r="M889">
        <v>6.8776642519955582E-4</v>
      </c>
      <c r="N889">
        <v>6.4676531193517725E-2</v>
      </c>
      <c r="O889">
        <v>8.6124122252539299E-3</v>
      </c>
      <c r="P889">
        <v>1.2490444429471337E-2</v>
      </c>
      <c r="Q889">
        <v>2.8478842316662476E-3</v>
      </c>
      <c r="R889">
        <v>6.7586239860904047E-4</v>
      </c>
      <c r="S889">
        <v>8.4395123434363506E-2</v>
      </c>
      <c r="T889">
        <v>0.817333529485893</v>
      </c>
      <c r="U889">
        <v>1.6825878956893716E-2</v>
      </c>
      <c r="V889">
        <v>1.0412647595161313E-2</v>
      </c>
      <c r="W889">
        <v>3.9154904031351447E-2</v>
      </c>
      <c r="X889">
        <v>9.1928186094298262E-3</v>
      </c>
      <c r="Y889">
        <v>1.8394746510339852E-3</v>
      </c>
    </row>
    <row r="890" spans="1:25">
      <c r="A890" s="876"/>
      <c r="B890" s="1202">
        <v>640</v>
      </c>
      <c r="C890" s="880">
        <v>1.0052801268085503</v>
      </c>
      <c r="D890" s="880">
        <v>0.99572011941628369</v>
      </c>
      <c r="E890" s="880">
        <v>1.0038202870765289</v>
      </c>
      <c r="F890" s="880">
        <v>0.98592792661395956</v>
      </c>
      <c r="G890" s="880">
        <v>0.99870834277738663</v>
      </c>
      <c r="H890" s="880">
        <v>0.95977181040066761</v>
      </c>
      <c r="I890" s="880">
        <v>1.0222306632538198</v>
      </c>
      <c r="K890">
        <v>1.0695728202940564</v>
      </c>
      <c r="L890">
        <v>0</v>
      </c>
      <c r="M890">
        <v>6.5505805544806143E-4</v>
      </c>
      <c r="N890">
        <v>6.6006701071774573E-2</v>
      </c>
      <c r="O890">
        <v>8.7614042749708451E-3</v>
      </c>
      <c r="P890">
        <v>1.269375967613396E-2</v>
      </c>
      <c r="Q890">
        <v>2.9558797480136738E-3</v>
      </c>
      <c r="R890">
        <v>6.4353074405280495E-4</v>
      </c>
      <c r="S890">
        <v>8.5637169782140601E-2</v>
      </c>
      <c r="T890">
        <v>0.8155285746805897</v>
      </c>
      <c r="U890">
        <v>1.6821807588734815E-2</v>
      </c>
      <c r="V890">
        <v>1.0412624190151879E-2</v>
      </c>
      <c r="W890">
        <v>3.9352315429880214E-2</v>
      </c>
      <c r="X890">
        <v>9.6626326176025307E-3</v>
      </c>
      <c r="Y890">
        <v>1.7514785454589721E-3</v>
      </c>
    </row>
    <row r="891" spans="1:25">
      <c r="A891" s="876"/>
      <c r="B891" s="1202">
        <v>641</v>
      </c>
      <c r="C891" s="880">
        <v>1.0379289204870963</v>
      </c>
      <c r="D891" s="880">
        <v>0.9966528856914314</v>
      </c>
      <c r="E891" s="880">
        <v>1.0031049898569093</v>
      </c>
      <c r="F891" s="880">
        <v>0.96574932424926208</v>
      </c>
      <c r="G891" s="880">
        <v>1.0094814713518139</v>
      </c>
      <c r="H891" s="880">
        <v>0.96228868291598157</v>
      </c>
      <c r="I891" s="880">
        <v>1.0267103032043274</v>
      </c>
      <c r="K891">
        <v>1.0630138715002286</v>
      </c>
      <c r="L891">
        <v>0</v>
      </c>
      <c r="M891">
        <v>6.3675857823430816E-4</v>
      </c>
      <c r="N891">
        <v>6.4023090576403596E-2</v>
      </c>
      <c r="O891">
        <v>8.4815704590713095E-3</v>
      </c>
      <c r="P891">
        <v>1.2649321066252633E-2</v>
      </c>
      <c r="Q891">
        <v>2.8596183662354794E-3</v>
      </c>
      <c r="R891">
        <v>6.2558182767204456E-4</v>
      </c>
      <c r="S891">
        <v>8.3357225668546198E-2</v>
      </c>
      <c r="T891">
        <v>0.81558624027882021</v>
      </c>
      <c r="U891">
        <v>1.6292665646137201E-2</v>
      </c>
      <c r="V891">
        <v>1.0409582320275338E-2</v>
      </c>
      <c r="W891">
        <v>3.8188354367263408E-2</v>
      </c>
      <c r="X891">
        <v>9.474751989855458E-3</v>
      </c>
      <c r="Y891">
        <v>1.7026275119292375E-3</v>
      </c>
    </row>
    <row r="892" spans="1:25">
      <c r="A892" s="876"/>
      <c r="B892" s="1202">
        <v>642</v>
      </c>
      <c r="C892" s="880">
        <v>0.9541749622969824</v>
      </c>
      <c r="D892" s="880">
        <v>0.99243153256770344</v>
      </c>
      <c r="E892" s="880">
        <v>1.0096843398053637</v>
      </c>
      <c r="F892" s="880">
        <v>0.9699297987338561</v>
      </c>
      <c r="G892" s="880">
        <v>1.0041203188757688</v>
      </c>
      <c r="H892" s="880">
        <v>1.0002982632665336</v>
      </c>
      <c r="I892" s="880">
        <v>1.0025597399454027</v>
      </c>
      <c r="K892">
        <v>1.0871667419083613</v>
      </c>
      <c r="L892">
        <v>0</v>
      </c>
      <c r="M892">
        <v>7.1169901705472806E-4</v>
      </c>
      <c r="N892">
        <v>7.3087089121164406E-2</v>
      </c>
      <c r="O892">
        <v>9.246968869521888E-3</v>
      </c>
      <c r="P892">
        <v>1.2817311612866618E-2</v>
      </c>
      <c r="Q892">
        <v>3.1372940694452214E-3</v>
      </c>
      <c r="R892">
        <v>6.9968530258518913E-4</v>
      </c>
      <c r="S892">
        <v>9.0162166730392374E-2</v>
      </c>
      <c r="T892">
        <v>0.81505648450431945</v>
      </c>
      <c r="U892">
        <v>1.7722775732076926E-2</v>
      </c>
      <c r="V892">
        <v>1.0417803571399795E-2</v>
      </c>
      <c r="W892">
        <v>4.3399881268533488E-2</v>
      </c>
      <c r="X892">
        <v>1.0226667400670813E-2</v>
      </c>
      <c r="Y892">
        <v>1.9043127424388769E-3</v>
      </c>
    </row>
    <row r="893" spans="1:25">
      <c r="A893" s="876"/>
      <c r="B893" s="1202">
        <v>643</v>
      </c>
      <c r="C893" s="880">
        <v>0.99059103590386632</v>
      </c>
      <c r="D893" s="880">
        <v>0.99180515209156284</v>
      </c>
      <c r="E893" s="880">
        <v>0.99883288495321176</v>
      </c>
      <c r="F893" s="880">
        <v>0.96440649281856983</v>
      </c>
      <c r="G893" s="880">
        <v>1.0222955747923559</v>
      </c>
      <c r="H893" s="880">
        <v>1.0045163771234999</v>
      </c>
      <c r="I893" s="880">
        <v>1.0119139084347146</v>
      </c>
      <c r="K893">
        <v>1.0793211009173604</v>
      </c>
      <c r="L893">
        <v>0</v>
      </c>
      <c r="M893">
        <v>7.0458707574667099E-4</v>
      </c>
      <c r="N893">
        <v>6.9960585361238142E-2</v>
      </c>
      <c r="O893">
        <v>8.9100337243777847E-3</v>
      </c>
      <c r="P893">
        <v>1.268556754323277E-2</v>
      </c>
      <c r="Q893">
        <v>2.9901200907438944E-3</v>
      </c>
      <c r="R893">
        <v>6.9274390739946492E-4</v>
      </c>
      <c r="S893">
        <v>8.78402760917803E-2</v>
      </c>
      <c r="T893">
        <v>0.81593100954100861</v>
      </c>
      <c r="U893">
        <v>1.7071251659896383E-2</v>
      </c>
      <c r="V893">
        <v>1.0414058165319724E-2</v>
      </c>
      <c r="W893">
        <v>4.1852017018149085E-2</v>
      </c>
      <c r="X893">
        <v>9.7926043369879149E-3</v>
      </c>
      <c r="Y893">
        <v>1.8854205529736431E-3</v>
      </c>
    </row>
    <row r="894" spans="1:25">
      <c r="A894" s="876"/>
      <c r="B894" s="1202">
        <v>644</v>
      </c>
      <c r="C894" s="880">
        <v>1.0067252565189504</v>
      </c>
      <c r="D894" s="880">
        <v>1.0011574211239385</v>
      </c>
      <c r="E894" s="880">
        <v>0.96452394367024363</v>
      </c>
      <c r="F894" s="880">
        <v>1.0202422201856203</v>
      </c>
      <c r="G894" s="880">
        <v>1.0120913627267669</v>
      </c>
      <c r="H894" s="880">
        <v>1.0041729678474862</v>
      </c>
      <c r="I894" s="880">
        <v>0.99694167423487612</v>
      </c>
      <c r="K894">
        <v>1.072178644759004</v>
      </c>
      <c r="L894">
        <v>0</v>
      </c>
      <c r="M894">
        <v>7.4112054038560069E-4</v>
      </c>
      <c r="N894">
        <v>6.6127300511700099E-2</v>
      </c>
      <c r="O894">
        <v>8.7234533002061628E-3</v>
      </c>
      <c r="P894">
        <v>1.2351598066087778E-2</v>
      </c>
      <c r="Q894">
        <v>2.8292538028582815E-3</v>
      </c>
      <c r="R894">
        <v>7.2865042906138902E-4</v>
      </c>
      <c r="S894">
        <v>8.4744132638835332E-2</v>
      </c>
      <c r="T894">
        <v>0.81872225930397313</v>
      </c>
      <c r="U894">
        <v>1.6797660291573362E-2</v>
      </c>
      <c r="V894">
        <v>1.0412485374968432E-2</v>
      </c>
      <c r="W894">
        <v>4.0510818500422291E-2</v>
      </c>
      <c r="X894">
        <v>8.9890068113476062E-3</v>
      </c>
      <c r="Y894">
        <v>1.983146268355716E-3</v>
      </c>
    </row>
    <row r="895" spans="1:25">
      <c r="A895" s="876"/>
      <c r="B895" s="1202">
        <v>645</v>
      </c>
      <c r="C895" s="880">
        <v>1.0348374874361301</v>
      </c>
      <c r="D895" s="880">
        <v>1.0327288320551224</v>
      </c>
      <c r="E895" s="880">
        <v>1.0108551064177782</v>
      </c>
      <c r="F895" s="880">
        <v>1.0113642563995515</v>
      </c>
      <c r="G895" s="880">
        <v>1.0068446532483679</v>
      </c>
      <c r="H895" s="880">
        <v>0.97412030341366707</v>
      </c>
      <c r="I895" s="880">
        <v>0.9804317605081293</v>
      </c>
      <c r="K895">
        <v>1.0580476436277455</v>
      </c>
      <c r="L895">
        <v>0</v>
      </c>
      <c r="M895">
        <v>6.241333933702613E-4</v>
      </c>
      <c r="N895">
        <v>6.4295361378484656E-2</v>
      </c>
      <c r="O895">
        <v>8.3473403061643265E-3</v>
      </c>
      <c r="P895">
        <v>1.265215537938159E-2</v>
      </c>
      <c r="Q895">
        <v>2.8437825421819803E-3</v>
      </c>
      <c r="R895">
        <v>6.1328319206420292E-4</v>
      </c>
      <c r="S895">
        <v>7.8833908155059917E-2</v>
      </c>
      <c r="T895">
        <v>0.81496237114428427</v>
      </c>
      <c r="U895">
        <v>1.6341337718494744E-2</v>
      </c>
      <c r="V895">
        <v>1.0409862120644216E-2</v>
      </c>
      <c r="W895">
        <v>3.8148906389508123E-2</v>
      </c>
      <c r="X895">
        <v>9.5543140147993037E-3</v>
      </c>
      <c r="Y895">
        <v>1.6691546800488306E-3</v>
      </c>
    </row>
    <row r="896" spans="1:25">
      <c r="A896" s="876"/>
      <c r="B896" s="1202">
        <v>646</v>
      </c>
      <c r="C896" s="880">
        <v>1.0125264369784732</v>
      </c>
      <c r="D896" s="880">
        <v>0.98516959603807164</v>
      </c>
      <c r="E896" s="880">
        <v>0.98254235571466064</v>
      </c>
      <c r="F896" s="880">
        <v>0.97186410068665341</v>
      </c>
      <c r="G896" s="880">
        <v>0.9708564282641281</v>
      </c>
      <c r="H896" s="880">
        <v>1.0257947583425986</v>
      </c>
      <c r="I896" s="880">
        <v>1.0380267747278107</v>
      </c>
      <c r="K896">
        <v>1.0799562863334145</v>
      </c>
      <c r="L896">
        <v>0</v>
      </c>
      <c r="M896">
        <v>7.3106574757930655E-4</v>
      </c>
      <c r="N896">
        <v>6.9025065619086015E-2</v>
      </c>
      <c r="O896">
        <v>8.7483017775802207E-3</v>
      </c>
      <c r="P896">
        <v>1.2562449751045247E-2</v>
      </c>
      <c r="Q896">
        <v>2.8864619511103553E-3</v>
      </c>
      <c r="R896">
        <v>7.1903836669533563E-4</v>
      </c>
      <c r="S896">
        <v>8.9236823224097067E-2</v>
      </c>
      <c r="T896">
        <v>0.81725137977060636</v>
      </c>
      <c r="U896">
        <v>1.6701419586056587E-2</v>
      </c>
      <c r="V896">
        <v>1.0411932117554026E-2</v>
      </c>
      <c r="W896">
        <v>4.1758257897795005E-2</v>
      </c>
      <c r="X896">
        <v>9.4292366161564667E-3</v>
      </c>
      <c r="Y896">
        <v>1.9569854032108255E-3</v>
      </c>
    </row>
    <row r="897" spans="1:25">
      <c r="A897" s="876"/>
      <c r="B897" s="1202">
        <v>647</v>
      </c>
      <c r="C897" s="880">
        <v>1.0440770941426056</v>
      </c>
      <c r="D897" s="880">
        <v>1.0029887366777253</v>
      </c>
      <c r="E897" s="880">
        <v>0.96772826371100584</v>
      </c>
      <c r="F897" s="880">
        <v>1.0097001725214549</v>
      </c>
      <c r="G897" s="880">
        <v>1.0254749814011739</v>
      </c>
      <c r="H897" s="880">
        <v>1.0054387922253021</v>
      </c>
      <c r="I897" s="880">
        <v>1.0227493882082646</v>
      </c>
      <c r="K897">
        <v>1.0662222701673469</v>
      </c>
      <c r="L897">
        <v>0</v>
      </c>
      <c r="M897">
        <v>7.1003089291768798E-4</v>
      </c>
      <c r="N897">
        <v>6.3990856265066093E-2</v>
      </c>
      <c r="O897">
        <v>8.4031801463138427E-3</v>
      </c>
      <c r="P897">
        <v>1.2357945684326832E-2</v>
      </c>
      <c r="Q897">
        <v>2.7347132154508292E-3</v>
      </c>
      <c r="R897">
        <v>6.9809733786339618E-4</v>
      </c>
      <c r="S897">
        <v>8.3795690220563546E-2</v>
      </c>
      <c r="T897">
        <v>0.81845988278978266</v>
      </c>
      <c r="U897">
        <v>1.6196724323158683E-2</v>
      </c>
      <c r="V897">
        <v>1.0409030783916582E-2</v>
      </c>
      <c r="W897">
        <v>3.9114073232310177E-2</v>
      </c>
      <c r="X897">
        <v>8.8721162355727932E-3</v>
      </c>
      <c r="Y897">
        <v>1.899990825938586E-3</v>
      </c>
    </row>
    <row r="898" spans="1:25">
      <c r="A898" s="876"/>
      <c r="B898" s="1202">
        <v>648</v>
      </c>
      <c r="C898" s="880">
        <v>1.0159440031430549</v>
      </c>
      <c r="D898" s="880">
        <v>0.99985480597963072</v>
      </c>
      <c r="E898" s="880">
        <v>1.009124995256002</v>
      </c>
      <c r="F898" s="880">
        <v>1.0133784218671278</v>
      </c>
      <c r="G898" s="880">
        <v>0.98718260850642003</v>
      </c>
      <c r="H898" s="880">
        <v>1.0204941679983623</v>
      </c>
      <c r="I898" s="880">
        <v>0.98485311101863504</v>
      </c>
      <c r="K898">
        <v>1.0728634890991009</v>
      </c>
      <c r="L898">
        <v>0</v>
      </c>
      <c r="M898">
        <v>6.8002602158642148E-4</v>
      </c>
      <c r="N898">
        <v>6.9736179134222712E-2</v>
      </c>
      <c r="O898">
        <v>8.6502995270181949E-3</v>
      </c>
      <c r="P898">
        <v>1.2707237952748286E-2</v>
      </c>
      <c r="Q898">
        <v>2.9348519516199474E-3</v>
      </c>
      <c r="R898">
        <v>6.6876796308080208E-4</v>
      </c>
      <c r="S898">
        <v>8.3576462619268987E-2</v>
      </c>
      <c r="T898">
        <v>0.81510146449991172</v>
      </c>
      <c r="U898">
        <v>1.6645237152476393E-2</v>
      </c>
      <c r="V898">
        <v>1.0411609142490936E-2</v>
      </c>
      <c r="W898">
        <v>4.1425823843396568E-2</v>
      </c>
      <c r="X898">
        <v>9.8654153982464174E-3</v>
      </c>
      <c r="Y898">
        <v>1.8201659362061633E-3</v>
      </c>
    </row>
    <row r="899" spans="1:25">
      <c r="A899" s="876"/>
      <c r="B899" s="1202">
        <v>649</v>
      </c>
      <c r="C899" s="880">
        <v>1.0119675856568562</v>
      </c>
      <c r="D899" s="880">
        <v>1.0138995899908247</v>
      </c>
      <c r="E899" s="880">
        <v>1.0233823409899476</v>
      </c>
      <c r="F899" s="880">
        <v>0.98245428471801632</v>
      </c>
      <c r="G899" s="880">
        <v>1.0210666423990207</v>
      </c>
      <c r="H899" s="880">
        <v>1.003982318946564</v>
      </c>
      <c r="I899" s="880">
        <v>1.0296456065612782</v>
      </c>
      <c r="K899">
        <v>1.0739876582389725</v>
      </c>
      <c r="L899">
        <v>0</v>
      </c>
      <c r="M899">
        <v>6.4692108627909244E-4</v>
      </c>
      <c r="N899">
        <v>6.9326066322032628E-2</v>
      </c>
      <c r="O899">
        <v>8.6199724571290361E-3</v>
      </c>
      <c r="P899">
        <v>1.2867188601450944E-2</v>
      </c>
      <c r="Q899">
        <v>2.9694802082028387E-3</v>
      </c>
      <c r="R899">
        <v>6.3602382775193686E-4</v>
      </c>
      <c r="S899">
        <v>8.6517414594288633E-2</v>
      </c>
      <c r="T899">
        <v>0.81395827830672018</v>
      </c>
      <c r="U899">
        <v>1.6710642816662832E-2</v>
      </c>
      <c r="V899">
        <v>1.0411985138993246E-2</v>
      </c>
      <c r="W899">
        <v>4.0786881533425155E-2</v>
      </c>
      <c r="X899">
        <v>1.0099598324651455E-2</v>
      </c>
      <c r="Y899">
        <v>1.7310471939423026E-3</v>
      </c>
    </row>
    <row r="900" spans="1:25">
      <c r="A900" s="876"/>
      <c r="B900" s="1202">
        <v>650</v>
      </c>
      <c r="C900" s="880">
        <v>1.0245726678225187</v>
      </c>
      <c r="D900" s="880">
        <v>0.97270934734816117</v>
      </c>
      <c r="E900" s="880">
        <v>1.0041558773389572</v>
      </c>
      <c r="F900" s="880">
        <v>1.03897334544005</v>
      </c>
      <c r="G900" s="880">
        <v>1.0238539673993674</v>
      </c>
      <c r="H900" s="880">
        <v>1.0105022166574678</v>
      </c>
      <c r="I900" s="880">
        <v>1.0438539319431572</v>
      </c>
      <c r="K900">
        <v>1.0774174865062287</v>
      </c>
      <c r="L900">
        <v>0</v>
      </c>
      <c r="M900">
        <v>6.8469407017530948E-4</v>
      </c>
      <c r="N900">
        <v>6.9129150615505119E-2</v>
      </c>
      <c r="O900">
        <v>8.7044476914185896E-3</v>
      </c>
      <c r="P900">
        <v>1.2733899493299925E-2</v>
      </c>
      <c r="Q900">
        <v>2.9324914965893744E-3</v>
      </c>
      <c r="R900">
        <v>6.7326989826523487E-4</v>
      </c>
      <c r="S900">
        <v>8.8683198725026141E-2</v>
      </c>
      <c r="T900">
        <v>0.81550152616958593</v>
      </c>
      <c r="U900">
        <v>1.6505055616886418E-2</v>
      </c>
      <c r="V900">
        <v>1.0410803283124973E-2</v>
      </c>
      <c r="W900">
        <v>4.120444189378001E-2</v>
      </c>
      <c r="X900">
        <v>9.7914769732072322E-3</v>
      </c>
      <c r="Y900">
        <v>1.8324187197156553E-3</v>
      </c>
    </row>
    <row r="901" spans="1:25">
      <c r="A901" s="876"/>
      <c r="B901" s="1202">
        <v>651</v>
      </c>
      <c r="C901" s="880">
        <v>0.9729145045191091</v>
      </c>
      <c r="D901" s="880">
        <v>0.98776004353581293</v>
      </c>
      <c r="E901" s="880">
        <v>1.001693154828363</v>
      </c>
      <c r="F901" s="880">
        <v>0.99813839539466187</v>
      </c>
      <c r="G901" s="880">
        <v>0.98326210817165849</v>
      </c>
      <c r="H901" s="880">
        <v>0.99138968170439778</v>
      </c>
      <c r="I901" s="880">
        <v>0.99272344824947667</v>
      </c>
      <c r="K901">
        <v>1.0804084568574808</v>
      </c>
      <c r="L901">
        <v>0</v>
      </c>
      <c r="M901">
        <v>7.0529506783280403E-4</v>
      </c>
      <c r="N901">
        <v>7.0641205550434974E-2</v>
      </c>
      <c r="O901">
        <v>9.0917291827619703E-3</v>
      </c>
      <c r="P901">
        <v>1.2708288958023757E-2</v>
      </c>
      <c r="Q901">
        <v>3.0589407654585238E-3</v>
      </c>
      <c r="R901">
        <v>6.9328664991830981E-4</v>
      </c>
      <c r="S901">
        <v>8.7437088474137711E-2</v>
      </c>
      <c r="T901">
        <v>0.81570011018206579</v>
      </c>
      <c r="U901">
        <v>1.7381413050585534E-2</v>
      </c>
      <c r="V901">
        <v>1.0415841185177476E-2</v>
      </c>
      <c r="W901">
        <v>4.2176569527284456E-2</v>
      </c>
      <c r="X901">
        <v>9.9223806802687838E-3</v>
      </c>
      <c r="Y901">
        <v>1.8868977191949157E-3</v>
      </c>
    </row>
    <row r="902" spans="1:25">
      <c r="A902" s="876"/>
      <c r="B902" s="1202">
        <v>652</v>
      </c>
      <c r="C902" s="880">
        <v>0.97649997054783999</v>
      </c>
      <c r="D902" s="880">
        <v>0.98905858960039461</v>
      </c>
      <c r="E902" s="880">
        <v>1.0284036748467029</v>
      </c>
      <c r="F902" s="880">
        <v>0.96575739586724396</v>
      </c>
      <c r="G902" s="880">
        <v>1.0082292795818062</v>
      </c>
      <c r="H902" s="880">
        <v>1.0032341941172616</v>
      </c>
      <c r="I902" s="880">
        <v>0.97286728468119243</v>
      </c>
      <c r="K902">
        <v>1.0803633424686545</v>
      </c>
      <c r="L902">
        <v>0</v>
      </c>
      <c r="M902">
        <v>6.7164820631901109E-4</v>
      </c>
      <c r="N902">
        <v>7.3108291293862385E-2</v>
      </c>
      <c r="O902">
        <v>9.0519955571022846E-3</v>
      </c>
      <c r="P902">
        <v>1.2906548265620887E-2</v>
      </c>
      <c r="Q902">
        <v>3.1280644489724923E-3</v>
      </c>
      <c r="R902">
        <v>6.6034657898688439E-4</v>
      </c>
      <c r="S902">
        <v>8.5742054026891737E-2</v>
      </c>
      <c r="T902">
        <v>0.81355730663240733</v>
      </c>
      <c r="U902">
        <v>1.7317592806956342E-2</v>
      </c>
      <c r="V902">
        <v>1.0415474302757095E-2</v>
      </c>
      <c r="W902">
        <v>4.2867194898185877E-2</v>
      </c>
      <c r="X902">
        <v>1.0482876158419592E-2</v>
      </c>
      <c r="Y902">
        <v>1.7972457048110397E-3</v>
      </c>
    </row>
    <row r="903" spans="1:25">
      <c r="A903" s="876"/>
      <c r="B903" s="1202">
        <v>653</v>
      </c>
      <c r="C903" s="880">
        <v>0.97534034044761075</v>
      </c>
      <c r="D903" s="880">
        <v>1.0003504161826513</v>
      </c>
      <c r="E903" s="880">
        <v>1.0096703655536963</v>
      </c>
      <c r="F903" s="880">
        <v>1.0254603355131344</v>
      </c>
      <c r="G903" s="880">
        <v>0.99916191867779069</v>
      </c>
      <c r="H903" s="880">
        <v>1.0176924076635661</v>
      </c>
      <c r="I903" s="880">
        <v>0.9900191995204346</v>
      </c>
      <c r="K903">
        <v>1.0825152067316828</v>
      </c>
      <c r="L903">
        <v>0</v>
      </c>
      <c r="M903">
        <v>7.053929468404538E-4</v>
      </c>
      <c r="N903">
        <v>7.2456890696415283E-2</v>
      </c>
      <c r="O903">
        <v>9.0080328586332765E-3</v>
      </c>
      <c r="P903">
        <v>1.2773759014148107E-2</v>
      </c>
      <c r="Q903">
        <v>3.0580031802117137E-3</v>
      </c>
      <c r="R903">
        <v>6.9368235410308717E-4</v>
      </c>
      <c r="S903">
        <v>8.7389151367994924E-2</v>
      </c>
      <c r="T903">
        <v>0.81505760812166017</v>
      </c>
      <c r="U903">
        <v>1.733818254476345E-2</v>
      </c>
      <c r="V903">
        <v>1.0415592666655654E-2</v>
      </c>
      <c r="W903">
        <v>4.30260714599007E-2</v>
      </c>
      <c r="X903">
        <v>1.0115650718493295E-2</v>
      </c>
      <c r="Y903">
        <v>1.8879746955420306E-3</v>
      </c>
    </row>
    <row r="904" spans="1:25">
      <c r="A904" s="876"/>
      <c r="B904" s="1202">
        <v>654</v>
      </c>
      <c r="C904" s="880">
        <v>0.98141109183365205</v>
      </c>
      <c r="D904" s="880">
        <v>1.0338954318512619</v>
      </c>
      <c r="E904" s="880">
        <v>0.98341374446781815</v>
      </c>
      <c r="F904" s="880">
        <v>0.97854818022863577</v>
      </c>
      <c r="G904" s="880">
        <v>0.99338886731734244</v>
      </c>
      <c r="H904" s="880">
        <v>1.0237273772887674</v>
      </c>
      <c r="I904" s="880">
        <v>0.98142401668278756</v>
      </c>
      <c r="K904">
        <v>1.0766041276652529</v>
      </c>
      <c r="L904">
        <v>0</v>
      </c>
      <c r="M904">
        <v>7.3231292940726875E-4</v>
      </c>
      <c r="N904">
        <v>6.9324305710464038E-2</v>
      </c>
      <c r="O904">
        <v>8.7964746433038653E-3</v>
      </c>
      <c r="P904">
        <v>1.2518598183917597E-2</v>
      </c>
      <c r="Q904">
        <v>2.9153753378859328E-3</v>
      </c>
      <c r="R904">
        <v>7.2019800106187814E-4</v>
      </c>
      <c r="S904">
        <v>8.490560929995912E-2</v>
      </c>
      <c r="T904">
        <v>0.81718052477812342</v>
      </c>
      <c r="U904">
        <v>1.7230933098949238E-2</v>
      </c>
      <c r="V904">
        <v>1.0414976123470849E-2</v>
      </c>
      <c r="W904">
        <v>4.1913991949497811E-2</v>
      </c>
      <c r="X904">
        <v>9.4553119223422209E-3</v>
      </c>
      <c r="Y904">
        <v>1.9601415456831882E-3</v>
      </c>
    </row>
    <row r="905" spans="1:25">
      <c r="A905" s="876"/>
      <c r="B905" s="1202">
        <v>655</v>
      </c>
      <c r="C905" s="880">
        <v>0.98402905347798908</v>
      </c>
      <c r="D905" s="880">
        <v>0.95761574409771466</v>
      </c>
      <c r="E905" s="880">
        <v>0.9889380087737758</v>
      </c>
      <c r="F905" s="880">
        <v>1.0034645191968012</v>
      </c>
      <c r="G905" s="880">
        <v>1.0089284817923398</v>
      </c>
      <c r="H905" s="880">
        <v>1.0088831072975404</v>
      </c>
      <c r="I905" s="880">
        <v>1.0041539885082547</v>
      </c>
      <c r="K905">
        <v>1.0846463546753118</v>
      </c>
      <c r="L905">
        <v>0</v>
      </c>
      <c r="M905">
        <v>7.4109037269477198E-4</v>
      </c>
      <c r="N905">
        <v>7.1361815773220705E-2</v>
      </c>
      <c r="O905">
        <v>9.1392430068859519E-3</v>
      </c>
      <c r="P905">
        <v>1.2625993419092839E-2</v>
      </c>
      <c r="Q905">
        <v>3.0285492866497128E-3</v>
      </c>
      <c r="R905">
        <v>7.2871981374433078E-4</v>
      </c>
      <c r="S905">
        <v>8.946253014781276E-2</v>
      </c>
      <c r="T905">
        <v>0.81673193016814971</v>
      </c>
      <c r="U905">
        <v>1.7185091035862035E-2</v>
      </c>
      <c r="V905">
        <v>1.041471259193128E-2</v>
      </c>
      <c r="W905">
        <v>4.2981526177289078E-2</v>
      </c>
      <c r="X905">
        <v>9.7439985167769236E-3</v>
      </c>
      <c r="Y905">
        <v>1.9833351105900286E-3</v>
      </c>
    </row>
    <row r="906" spans="1:25">
      <c r="A906" s="876"/>
      <c r="B906" s="1202">
        <v>656</v>
      </c>
      <c r="C906" s="880">
        <v>0.97138102031379703</v>
      </c>
      <c r="D906" s="880">
        <v>1.0057368609319974</v>
      </c>
      <c r="E906" s="880">
        <v>0.99927944348544928</v>
      </c>
      <c r="F906" s="880">
        <v>0.97646032440229602</v>
      </c>
      <c r="G906" s="880">
        <v>0.99034792628884649</v>
      </c>
      <c r="H906" s="880">
        <v>1.0317141208254141</v>
      </c>
      <c r="I906" s="880">
        <v>0.99692996137524892</v>
      </c>
      <c r="K906">
        <v>1.0853437775192527</v>
      </c>
      <c r="L906">
        <v>0</v>
      </c>
      <c r="M906">
        <v>7.3182993301435591E-4</v>
      </c>
      <c r="N906">
        <v>7.2798194840243219E-2</v>
      </c>
      <c r="O906">
        <v>9.0188923553567897E-3</v>
      </c>
      <c r="P906">
        <v>1.2704779396355498E-2</v>
      </c>
      <c r="Q906">
        <v>3.0311697057309513E-3</v>
      </c>
      <c r="R906">
        <v>7.1984084581476363E-4</v>
      </c>
      <c r="S906">
        <v>8.8634733759554829E-2</v>
      </c>
      <c r="T906">
        <v>0.81589494215644809</v>
      </c>
      <c r="U906">
        <v>1.7408852460890734E-2</v>
      </c>
      <c r="V906">
        <v>1.0415998925679442E-2</v>
      </c>
      <c r="W906">
        <v>4.3536226237616354E-2</v>
      </c>
      <c r="X906">
        <v>9.9528072817381338E-3</v>
      </c>
      <c r="Y906">
        <v>1.9591694868367386E-3</v>
      </c>
    </row>
    <row r="907" spans="1:25">
      <c r="A907" s="876"/>
      <c r="B907" s="1202">
        <v>657</v>
      </c>
      <c r="C907" s="880">
        <v>0.99192604422893527</v>
      </c>
      <c r="D907" s="880">
        <v>1.0074046686264582</v>
      </c>
      <c r="E907" s="880">
        <v>1.0228350992418509</v>
      </c>
      <c r="F907" s="880">
        <v>0.98796564880016591</v>
      </c>
      <c r="G907" s="880">
        <v>1.0087700547010945</v>
      </c>
      <c r="H907" s="880">
        <v>0.96074468522790502</v>
      </c>
      <c r="I907" s="880">
        <v>1.0336167962896343</v>
      </c>
      <c r="K907">
        <v>1.0730034228044407</v>
      </c>
      <c r="L907">
        <v>0</v>
      </c>
      <c r="M907">
        <v>6.3446276907157002E-4</v>
      </c>
      <c r="N907">
        <v>6.7823767179848019E-2</v>
      </c>
      <c r="O907">
        <v>8.8242952060418687E-3</v>
      </c>
      <c r="P907">
        <v>1.28780128796152E-2</v>
      </c>
      <c r="Q907">
        <v>3.0367651722792801E-3</v>
      </c>
      <c r="R907">
        <v>6.2329963437545897E-4</v>
      </c>
      <c r="S907">
        <v>8.7285084741760735E-2</v>
      </c>
      <c r="T907">
        <v>0.81400202952314049</v>
      </c>
      <c r="U907">
        <v>1.7048275891473029E-2</v>
      </c>
      <c r="V907">
        <v>1.0413926084884912E-2</v>
      </c>
      <c r="W907">
        <v>3.9917733692142202E-2</v>
      </c>
      <c r="X907">
        <v>1.0088279433851115E-2</v>
      </c>
      <c r="Y907">
        <v>1.6964161341007488E-3</v>
      </c>
    </row>
    <row r="908" spans="1:25">
      <c r="A908" s="876"/>
      <c r="B908" s="1202">
        <v>658</v>
      </c>
      <c r="C908" s="880">
        <v>0.96639408966865781</v>
      </c>
      <c r="D908" s="880">
        <v>1.0010881528664852</v>
      </c>
      <c r="E908" s="880">
        <v>0.99546891025017081</v>
      </c>
      <c r="F908" s="880">
        <v>0.97305707807077879</v>
      </c>
      <c r="G908" s="880">
        <v>1.0211557784834417</v>
      </c>
      <c r="H908" s="880">
        <v>1.0427295034843778</v>
      </c>
      <c r="I908" s="880">
        <v>1.0144289933461088</v>
      </c>
      <c r="K908">
        <v>1.0903526287989362</v>
      </c>
      <c r="L908">
        <v>0</v>
      </c>
      <c r="M908">
        <v>7.5129682399418933E-4</v>
      </c>
      <c r="N908">
        <v>7.3867137675457592E-2</v>
      </c>
      <c r="O908">
        <v>9.0878502477478584E-3</v>
      </c>
      <c r="P908">
        <v>1.2709966952778599E-2</v>
      </c>
      <c r="Q908">
        <v>3.0416011645180625E-3</v>
      </c>
      <c r="R908">
        <v>7.3912298111451899E-4</v>
      </c>
      <c r="S908">
        <v>9.127868602486057E-2</v>
      </c>
      <c r="T908">
        <v>0.81620292680756046</v>
      </c>
      <c r="U908">
        <v>1.7498688212952959E-2</v>
      </c>
      <c r="V908">
        <v>1.0416515363039671E-2</v>
      </c>
      <c r="W908">
        <v>4.4291038840946824E-2</v>
      </c>
      <c r="X908">
        <v>9.9587422491853508E-3</v>
      </c>
      <c r="Y908">
        <v>2.0116491027684794E-3</v>
      </c>
    </row>
    <row r="909" spans="1:25">
      <c r="A909" s="876"/>
      <c r="B909" s="1202">
        <v>659</v>
      </c>
      <c r="C909" s="880">
        <v>1.0321893700721374</v>
      </c>
      <c r="D909" s="880">
        <v>1.0030669634982059</v>
      </c>
      <c r="E909" s="880">
        <v>1.0087434225812937</v>
      </c>
      <c r="F909" s="880">
        <v>1.0239206635960274</v>
      </c>
      <c r="G909" s="880">
        <v>0.98873661858101147</v>
      </c>
      <c r="H909" s="880">
        <v>0.98930261275434261</v>
      </c>
      <c r="I909" s="880">
        <v>0.99467979772786119</v>
      </c>
      <c r="K909">
        <v>1.0650496640371319</v>
      </c>
      <c r="L909">
        <v>0</v>
      </c>
      <c r="M909">
        <v>6.482806192838642E-4</v>
      </c>
      <c r="N909">
        <v>6.6366374972389022E-2</v>
      </c>
      <c r="O909">
        <v>8.4996061616242364E-3</v>
      </c>
      <c r="P909">
        <v>1.2677092070478865E-2</v>
      </c>
      <c r="Q909">
        <v>2.8833149241051311E-3</v>
      </c>
      <c r="R909">
        <v>6.3720712720075144E-4</v>
      </c>
      <c r="S909">
        <v>8.1876218959108488E-2</v>
      </c>
      <c r="T909">
        <v>0.81513215498322078</v>
      </c>
      <c r="U909">
        <v>1.6383261982993051E-2</v>
      </c>
      <c r="V909">
        <v>1.0410103129997315E-2</v>
      </c>
      <c r="W909">
        <v>3.9434268273632424E-2</v>
      </c>
      <c r="X909">
        <v>9.6640743266963782E-3</v>
      </c>
      <c r="Y909">
        <v>1.7342677449674172E-3</v>
      </c>
    </row>
    <row r="910" spans="1:25">
      <c r="A910" s="876"/>
      <c r="B910" s="1202">
        <v>660</v>
      </c>
      <c r="C910" s="880">
        <v>1.0060738899781807</v>
      </c>
      <c r="D910" s="880">
        <v>1.0254465426905133</v>
      </c>
      <c r="E910" s="880">
        <v>1.047454465447178</v>
      </c>
      <c r="F910" s="880">
        <v>1.0096134749504722</v>
      </c>
      <c r="G910" s="880">
        <v>0.98952266678150058</v>
      </c>
      <c r="H910" s="880">
        <v>0.98455902829924247</v>
      </c>
      <c r="I910" s="880">
        <v>0.99112155465029839</v>
      </c>
      <c r="K910">
        <v>1.0685320618327203</v>
      </c>
      <c r="L910">
        <v>0</v>
      </c>
      <c r="M910">
        <v>6.0277892930134702E-4</v>
      </c>
      <c r="N910">
        <v>6.9580878153649037E-2</v>
      </c>
      <c r="O910">
        <v>8.6183635065253429E-3</v>
      </c>
      <c r="P910">
        <v>1.3012677005419604E-2</v>
      </c>
      <c r="Q910">
        <v>3.0427709085550248E-3</v>
      </c>
      <c r="R910">
        <v>5.924163849375983E-4</v>
      </c>
      <c r="S910">
        <v>8.2622971873875906E-2</v>
      </c>
      <c r="T910">
        <v>0.81204386323049316</v>
      </c>
      <c r="U910">
        <v>1.6808535669600881E-2</v>
      </c>
      <c r="V910">
        <v>1.0412547894081262E-2</v>
      </c>
      <c r="W910">
        <v>4.0284158598789199E-2</v>
      </c>
      <c r="X910">
        <v>1.0503295426303539E-2</v>
      </c>
      <c r="Y910">
        <v>1.6123621097913338E-3</v>
      </c>
    </row>
    <row r="911" spans="1:25">
      <c r="A911" s="876"/>
      <c r="B911" s="1202">
        <v>661</v>
      </c>
      <c r="C911" s="880">
        <v>0.97739119622352355</v>
      </c>
      <c r="D911" s="880">
        <v>0.96211582608688562</v>
      </c>
      <c r="E911" s="880">
        <v>1.0060532901243686</v>
      </c>
      <c r="F911" s="880">
        <v>0.97080225051445501</v>
      </c>
      <c r="G911" s="880">
        <v>1.0131975473934216</v>
      </c>
      <c r="H911" s="880">
        <v>0.98607264417984364</v>
      </c>
      <c r="I911" s="880">
        <v>1.0038591869732469</v>
      </c>
      <c r="K911">
        <v>1.0826410065627186</v>
      </c>
      <c r="L911">
        <v>0</v>
      </c>
      <c r="M911">
        <v>7.0168771136147297E-4</v>
      </c>
      <c r="N911">
        <v>7.1235220979401465E-2</v>
      </c>
      <c r="O911">
        <v>9.1782458403237011E-3</v>
      </c>
      <c r="P911">
        <v>1.2764801341820455E-2</v>
      </c>
      <c r="Q911">
        <v>3.0954291745839738E-3</v>
      </c>
      <c r="R911">
        <v>6.8969972772335217E-4</v>
      </c>
      <c r="S911">
        <v>8.8977523112988316E-2</v>
      </c>
      <c r="T911">
        <v>0.81534866710360476</v>
      </c>
      <c r="U911">
        <v>1.7301801910322309E-2</v>
      </c>
      <c r="V911">
        <v>1.0415383525880567E-2</v>
      </c>
      <c r="W911">
        <v>4.2404872008242174E-2</v>
      </c>
      <c r="X911">
        <v>1.0053914249780228E-2</v>
      </c>
      <c r="Y911">
        <v>1.8771352994088246E-3</v>
      </c>
    </row>
    <row r="912" spans="1:25">
      <c r="A912" s="876"/>
      <c r="B912" s="1202">
        <v>662</v>
      </c>
      <c r="C912" s="880">
        <v>0.98415407984471159</v>
      </c>
      <c r="D912" s="880">
        <v>0.9736395648326136</v>
      </c>
      <c r="E912" s="880">
        <v>0.96959473815198138</v>
      </c>
      <c r="F912" s="880">
        <v>1.0043213052281903</v>
      </c>
      <c r="G912" s="880">
        <v>1.0386396413847838</v>
      </c>
      <c r="H912" s="880">
        <v>0.99403141765164271</v>
      </c>
      <c r="I912" s="880">
        <v>0.9700893845101658</v>
      </c>
      <c r="K912">
        <v>1.0767405088630189</v>
      </c>
      <c r="L912">
        <v>0</v>
      </c>
      <c r="M912">
        <v>7.5363666894377973E-4</v>
      </c>
      <c r="N912">
        <v>6.8306443012483786E-2</v>
      </c>
      <c r="O912">
        <v>9.0573039167545916E-3</v>
      </c>
      <c r="P912">
        <v>1.2405225869581708E-2</v>
      </c>
      <c r="Q912">
        <v>2.946645348040797E-3</v>
      </c>
      <c r="R912">
        <v>7.4085292136135685E-4</v>
      </c>
      <c r="S912">
        <v>8.517135134584404E-2</v>
      </c>
      <c r="T912">
        <v>0.81830721151180974</v>
      </c>
      <c r="U912">
        <v>1.7182907851807816E-2</v>
      </c>
      <c r="V912">
        <v>1.0414700041495802E-2</v>
      </c>
      <c r="W912">
        <v>4.1697481411265877E-2</v>
      </c>
      <c r="X912">
        <v>9.2476648716695552E-3</v>
      </c>
      <c r="Y912">
        <v>2.0163574298457223E-3</v>
      </c>
    </row>
    <row r="913" spans="1:25">
      <c r="A913" s="876"/>
      <c r="B913" s="1202">
        <v>663</v>
      </c>
      <c r="C913" s="880">
        <v>0.98117201848819768</v>
      </c>
      <c r="D913" s="880">
        <v>0.99781196860062926</v>
      </c>
      <c r="E913" s="880">
        <v>1.0176473054262158</v>
      </c>
      <c r="F913" s="880">
        <v>0.96626517359440944</v>
      </c>
      <c r="G913" s="880">
        <v>0.98637040548283783</v>
      </c>
      <c r="H913" s="880">
        <v>0.98747209966128835</v>
      </c>
      <c r="I913" s="880">
        <v>0.98621657378107908</v>
      </c>
      <c r="K913">
        <v>1.0765516967741438</v>
      </c>
      <c r="L913">
        <v>0</v>
      </c>
      <c r="M913">
        <v>6.6992562625481649E-4</v>
      </c>
      <c r="N913">
        <v>7.0504884344472718E-2</v>
      </c>
      <c r="O913">
        <v>8.9666347426441331E-3</v>
      </c>
      <c r="P913">
        <v>1.2813563817445691E-2</v>
      </c>
      <c r="Q913">
        <v>3.0676874586788778E-3</v>
      </c>
      <c r="R913">
        <v>6.5846561617750139E-4</v>
      </c>
      <c r="S913">
        <v>8.5558413896841837E-2</v>
      </c>
      <c r="T913">
        <v>0.8144172936850399</v>
      </c>
      <c r="U913">
        <v>1.7235131605167972E-2</v>
      </c>
      <c r="V913">
        <v>1.0415000259356828E-2</v>
      </c>
      <c r="W913">
        <v>4.1641197927366279E-2</v>
      </c>
      <c r="X913">
        <v>1.0151222703102539E-2</v>
      </c>
      <c r="Y913">
        <v>1.7921263441031227E-3</v>
      </c>
    </row>
    <row r="914" spans="1:25">
      <c r="A914" s="876"/>
      <c r="B914" s="1202">
        <v>664</v>
      </c>
      <c r="C914" s="880">
        <v>1.0053392111264008</v>
      </c>
      <c r="D914" s="880">
        <v>0.98557374657520669</v>
      </c>
      <c r="E914" s="880">
        <v>0.99683133733014573</v>
      </c>
      <c r="F914" s="880">
        <v>1.0391778377619951</v>
      </c>
      <c r="G914" s="880">
        <v>1.0218491617059413</v>
      </c>
      <c r="H914" s="880">
        <v>0.98758995657122162</v>
      </c>
      <c r="I914" s="880">
        <v>1.0043966937211299</v>
      </c>
      <c r="K914">
        <v>1.0732340800423255</v>
      </c>
      <c r="L914">
        <v>0</v>
      </c>
      <c r="M914">
        <v>6.8773934775084508E-4</v>
      </c>
      <c r="N914">
        <v>6.7844410471707403E-2</v>
      </c>
      <c r="O914">
        <v>8.8089142657072211E-3</v>
      </c>
      <c r="P914">
        <v>1.263444032476767E-2</v>
      </c>
      <c r="Q914">
        <v>2.9488413021133992E-3</v>
      </c>
      <c r="R914">
        <v>6.7598670663366852E-4</v>
      </c>
      <c r="S914">
        <v>8.5569903147610038E-2</v>
      </c>
      <c r="T914">
        <v>0.81609275261355274</v>
      </c>
      <c r="U914">
        <v>1.6820818962194249E-2</v>
      </c>
      <c r="V914">
        <v>1.0412618506850203E-2</v>
      </c>
      <c r="W914">
        <v>4.0641779673220232E-2</v>
      </c>
      <c r="X914">
        <v>9.6315404392200276E-3</v>
      </c>
      <c r="Y914">
        <v>1.8398129764988936E-3</v>
      </c>
    </row>
    <row r="915" spans="1:25">
      <c r="A915" s="876"/>
      <c r="B915" s="1202">
        <v>665</v>
      </c>
      <c r="C915" s="880">
        <v>0.98977110825540415</v>
      </c>
      <c r="D915" s="880">
        <v>1.0028990725190645</v>
      </c>
      <c r="E915" s="880">
        <v>0.99305919189814607</v>
      </c>
      <c r="F915" s="880">
        <v>1.0041304925875665</v>
      </c>
      <c r="G915" s="880">
        <v>1.0096714906446311</v>
      </c>
      <c r="H915" s="880">
        <v>1.0222373037111561</v>
      </c>
      <c r="I915" s="880">
        <v>1.0066112815466481</v>
      </c>
      <c r="K915">
        <v>1.0803364355691452</v>
      </c>
      <c r="L915">
        <v>0</v>
      </c>
      <c r="M915">
        <v>7.2209703940348448E-4</v>
      </c>
      <c r="N915">
        <v>7.0442319723572885E-2</v>
      </c>
      <c r="O915">
        <v>8.8646617432909126E-3</v>
      </c>
      <c r="P915">
        <v>1.2634218549904834E-2</v>
      </c>
      <c r="Q915">
        <v>2.9601011508088751E-3</v>
      </c>
      <c r="R915">
        <v>7.1016020345735485E-4</v>
      </c>
      <c r="S915">
        <v>8.7612326158755263E-2</v>
      </c>
      <c r="T915">
        <v>0.81639794566015422</v>
      </c>
      <c r="U915">
        <v>1.7085393506544637E-2</v>
      </c>
      <c r="V915">
        <v>1.0414139462328827E-2</v>
      </c>
      <c r="W915">
        <v>4.2307483952286916E-2</v>
      </c>
      <c r="X915">
        <v>9.6969605278810853E-3</v>
      </c>
      <c r="Y915">
        <v>1.932821969562767E-3</v>
      </c>
    </row>
    <row r="916" spans="1:25">
      <c r="A916" s="876"/>
      <c r="B916" s="1202">
        <v>666</v>
      </c>
      <c r="C916" s="880">
        <v>1.003716249283829</v>
      </c>
      <c r="D916" s="880">
        <v>0.96783296249978101</v>
      </c>
      <c r="E916" s="880">
        <v>0.97117844774518403</v>
      </c>
      <c r="F916" s="880">
        <v>1.0002998198489328</v>
      </c>
      <c r="G916" s="880">
        <v>1.0356118176859881</v>
      </c>
      <c r="H916" s="880">
        <v>1.0201171050077162</v>
      </c>
      <c r="I916" s="880">
        <v>0.9731287560845906</v>
      </c>
      <c r="K916">
        <v>1.0771070334376021</v>
      </c>
      <c r="L916">
        <v>0</v>
      </c>
      <c r="M916">
        <v>7.582428871625458E-4</v>
      </c>
      <c r="N916">
        <v>6.9095114888754638E-2</v>
      </c>
      <c r="O916">
        <v>8.9092335694702981E-3</v>
      </c>
      <c r="P916">
        <v>1.2411045754149454E-2</v>
      </c>
      <c r="Q916">
        <v>2.9018540555508024E-3</v>
      </c>
      <c r="R916">
        <v>7.4571547489272918E-4</v>
      </c>
      <c r="S916">
        <v>8.4943956712916893E-2</v>
      </c>
      <c r="T916">
        <v>0.81817776163556766</v>
      </c>
      <c r="U916">
        <v>1.6848017433232169E-2</v>
      </c>
      <c r="V916">
        <v>1.0412774862268425E-2</v>
      </c>
      <c r="W916">
        <v>4.213228418623749E-2</v>
      </c>
      <c r="X916">
        <v>9.2579260541066893E-3</v>
      </c>
      <c r="Y916">
        <v>2.0295916976177768E-3</v>
      </c>
    </row>
    <row r="917" spans="1:25">
      <c r="A917" s="876"/>
      <c r="B917" s="1202">
        <v>667</v>
      </c>
      <c r="C917" s="880">
        <v>0.99591049841867585</v>
      </c>
      <c r="D917" s="880">
        <v>1.0143132339831109</v>
      </c>
      <c r="E917" s="880">
        <v>0.97949822822904276</v>
      </c>
      <c r="F917" s="880">
        <v>0.98258120095167989</v>
      </c>
      <c r="G917" s="880">
        <v>0.99629244040237597</v>
      </c>
      <c r="H917" s="880">
        <v>1.0013808996741533</v>
      </c>
      <c r="I917" s="880">
        <v>1.0005722002769635</v>
      </c>
      <c r="K917">
        <v>1.0735158451303035</v>
      </c>
      <c r="L917">
        <v>0</v>
      </c>
      <c r="M917">
        <v>7.1898723744127555E-4</v>
      </c>
      <c r="N917">
        <v>6.7213984787722697E-2</v>
      </c>
      <c r="O917">
        <v>8.7570500139119052E-3</v>
      </c>
      <c r="P917">
        <v>1.2487881972235501E-2</v>
      </c>
      <c r="Q917">
        <v>2.8867073810138867E-3</v>
      </c>
      <c r="R917">
        <v>7.0684421442338908E-4</v>
      </c>
      <c r="S917">
        <v>8.5319942061027845E-2</v>
      </c>
      <c r="T917">
        <v>0.81749910778656953</v>
      </c>
      <c r="U917">
        <v>1.6980068884506549E-2</v>
      </c>
      <c r="V917">
        <v>1.041353398434788E-2</v>
      </c>
      <c r="W917">
        <v>4.0748524427633145E-2</v>
      </c>
      <c r="X917">
        <v>9.2973899138248765E-3</v>
      </c>
      <c r="Y917">
        <v>1.9237969405278034E-3</v>
      </c>
    </row>
    <row r="918" spans="1:25">
      <c r="A918" s="876"/>
      <c r="B918" s="1202">
        <v>668</v>
      </c>
      <c r="C918" s="880">
        <v>1.0054852097016758</v>
      </c>
      <c r="D918" s="880">
        <v>0.95747281924571448</v>
      </c>
      <c r="E918" s="880">
        <v>0.9828094415244204</v>
      </c>
      <c r="F918" s="880">
        <v>1.0064007294833233</v>
      </c>
      <c r="G918" s="880">
        <v>1.0089479786779627</v>
      </c>
      <c r="H918" s="880">
        <v>1.0218221252371222</v>
      </c>
      <c r="I918" s="880">
        <v>0.97247182061184578</v>
      </c>
      <c r="K918">
        <v>1.0784671717298135</v>
      </c>
      <c r="L918">
        <v>0</v>
      </c>
      <c r="M918">
        <v>7.4415820387609762E-4</v>
      </c>
      <c r="N918">
        <v>7.0317626733172392E-2</v>
      </c>
      <c r="O918">
        <v>8.9449346420518629E-3</v>
      </c>
      <c r="P918">
        <v>1.2512645623232382E-2</v>
      </c>
      <c r="Q918">
        <v>2.9457794620676471E-3</v>
      </c>
      <c r="R918">
        <v>7.3189386551536419E-4</v>
      </c>
      <c r="S918">
        <v>8.5255329761244752E-2</v>
      </c>
      <c r="T918">
        <v>0.81722965956388316</v>
      </c>
      <c r="U918">
        <v>1.6818376543768068E-2</v>
      </c>
      <c r="V918">
        <v>1.0412604466158208E-2</v>
      </c>
      <c r="W918">
        <v>4.253235328101309E-2</v>
      </c>
      <c r="X918">
        <v>9.5181521583977274E-3</v>
      </c>
      <c r="Y918">
        <v>1.9919738331848967E-3</v>
      </c>
    </row>
    <row r="919" spans="1:25">
      <c r="A919" s="876"/>
      <c r="B919" s="1202">
        <v>669</v>
      </c>
      <c r="C919" s="880">
        <v>1.0109808199124701</v>
      </c>
      <c r="D919" s="880">
        <v>1.0347402636679652</v>
      </c>
      <c r="E919" s="880">
        <v>1.0180135759291906</v>
      </c>
      <c r="F919" s="880">
        <v>1.003839120001917</v>
      </c>
      <c r="G919" s="880">
        <v>1.0217135732981473</v>
      </c>
      <c r="H919" s="880">
        <v>0.99631854570539313</v>
      </c>
      <c r="I919" s="880">
        <v>1.0066329161380143</v>
      </c>
      <c r="K919">
        <v>1.0686866923802329</v>
      </c>
      <c r="L919">
        <v>0</v>
      </c>
      <c r="M919">
        <v>6.4295789205644346E-4</v>
      </c>
      <c r="N919">
        <v>6.7751139848348546E-2</v>
      </c>
      <c r="O919">
        <v>8.5354837508378554E-3</v>
      </c>
      <c r="P919">
        <v>1.2781717764326005E-2</v>
      </c>
      <c r="Q919">
        <v>2.9291309754644356E-3</v>
      </c>
      <c r="R919">
        <v>6.3202793512130424E-4</v>
      </c>
      <c r="S919">
        <v>8.3546837371374361E-2</v>
      </c>
      <c r="T919">
        <v>0.81438794495254585</v>
      </c>
      <c r="U919">
        <v>1.672695320512263E-2</v>
      </c>
      <c r="V919">
        <v>1.0412078902264206E-2</v>
      </c>
      <c r="W919">
        <v>4.0004893454768646E-2</v>
      </c>
      <c r="X919">
        <v>9.9012704206667638E-3</v>
      </c>
      <c r="Y919">
        <v>1.7201716914473717E-3</v>
      </c>
    </row>
    <row r="920" spans="1:25">
      <c r="A920" s="876"/>
      <c r="B920" s="1202">
        <v>670</v>
      </c>
      <c r="C920" s="880">
        <v>1.0259277935473767</v>
      </c>
      <c r="D920" s="880">
        <v>0.99000452835566022</v>
      </c>
      <c r="E920" s="880">
        <v>1.0290826911133533</v>
      </c>
      <c r="F920" s="880">
        <v>1.0179044686478298</v>
      </c>
      <c r="G920" s="880">
        <v>0.97250868226203524</v>
      </c>
      <c r="H920" s="880">
        <v>1.0104613681853434</v>
      </c>
      <c r="I920" s="880">
        <v>1.0017816641069341</v>
      </c>
      <c r="K920">
        <v>1.0722380165987604</v>
      </c>
      <c r="L920">
        <v>0</v>
      </c>
      <c r="M920">
        <v>6.4264311943226609E-4</v>
      </c>
      <c r="N920">
        <v>7.0107223952334E-2</v>
      </c>
      <c r="O920">
        <v>8.6114871192343422E-3</v>
      </c>
      <c r="P920">
        <v>1.2879675570446307E-2</v>
      </c>
      <c r="Q920">
        <v>2.9780530303019264E-3</v>
      </c>
      <c r="R920">
        <v>6.3190613752578222E-4</v>
      </c>
      <c r="S920">
        <v>8.4250278636265122E-2</v>
      </c>
      <c r="T920">
        <v>0.81350315077277091</v>
      </c>
      <c r="U920">
        <v>1.6483254447644955E-2</v>
      </c>
      <c r="V920">
        <v>1.0410677955089822E-2</v>
      </c>
      <c r="W920">
        <v>4.1088796233443949E-2</v>
      </c>
      <c r="X920">
        <v>1.0216315664592333E-2</v>
      </c>
      <c r="Y920">
        <v>1.7198401985429278E-3</v>
      </c>
    </row>
    <row r="921" spans="1:25">
      <c r="A921" s="876"/>
      <c r="B921" s="1202">
        <v>671</v>
      </c>
      <c r="C921" s="880">
        <v>0.98478369746969874</v>
      </c>
      <c r="D921" s="880">
        <v>1.0089741522775759</v>
      </c>
      <c r="E921" s="880">
        <v>1.0029243291227561</v>
      </c>
      <c r="F921" s="880">
        <v>0.98192252348417164</v>
      </c>
      <c r="G921" s="880">
        <v>0.96494163499793129</v>
      </c>
      <c r="H921" s="880">
        <v>0.99253373391469246</v>
      </c>
      <c r="I921" s="880">
        <v>0.99626004301964088</v>
      </c>
      <c r="K921">
        <v>1.0756551992868533</v>
      </c>
      <c r="L921">
        <v>0</v>
      </c>
      <c r="M921">
        <v>6.8796870407746068E-4</v>
      </c>
      <c r="N921">
        <v>6.9169728239930992E-2</v>
      </c>
      <c r="O921">
        <v>8.8809253437785503E-3</v>
      </c>
      <c r="P921">
        <v>1.2693590959160202E-2</v>
      </c>
      <c r="Q921">
        <v>2.9964660650611818E-3</v>
      </c>
      <c r="R921">
        <v>6.762505045703203E-4</v>
      </c>
      <c r="S921">
        <v>8.581945817466978E-2</v>
      </c>
      <c r="T921">
        <v>0.81560080747856589</v>
      </c>
      <c r="U921">
        <v>1.7171922026534895E-2</v>
      </c>
      <c r="V921">
        <v>1.0414636887456637E-2</v>
      </c>
      <c r="W921">
        <v>4.1263299398059013E-2</v>
      </c>
      <c r="X921">
        <v>9.8155519656201225E-3</v>
      </c>
      <c r="Y921">
        <v>1.8405309475214926E-3</v>
      </c>
    </row>
    <row r="922" spans="1:25">
      <c r="A922" s="876"/>
      <c r="B922" s="1202">
        <v>672</v>
      </c>
      <c r="C922" s="880">
        <v>0.98261380751052607</v>
      </c>
      <c r="D922" s="880">
        <v>0.97123053333869735</v>
      </c>
      <c r="E922" s="880">
        <v>0.98041112906448269</v>
      </c>
      <c r="F922" s="880">
        <v>0.97290709912045326</v>
      </c>
      <c r="G922" s="880">
        <v>1.0239967038664906</v>
      </c>
      <c r="H922" s="880">
        <v>0.98653205989881021</v>
      </c>
      <c r="I922" s="880">
        <v>1.0183370869043267</v>
      </c>
      <c r="K922">
        <v>1.0808523847427265</v>
      </c>
      <c r="L922">
        <v>0</v>
      </c>
      <c r="M922">
        <v>7.3328623972890804E-4</v>
      </c>
      <c r="N922">
        <v>6.8732027750105409E-2</v>
      </c>
      <c r="O922">
        <v>9.0835256059011594E-3</v>
      </c>
      <c r="P922">
        <v>1.2553214218353016E-2</v>
      </c>
      <c r="Q922">
        <v>2.9873759474152725E-3</v>
      </c>
      <c r="R922">
        <v>7.207554441261393E-4</v>
      </c>
      <c r="S922">
        <v>8.9376188909007268E-2</v>
      </c>
      <c r="T922">
        <v>0.81742478392056495</v>
      </c>
      <c r="U922">
        <v>1.7209842500377499E-2</v>
      </c>
      <c r="V922">
        <v>1.041485488028201E-2</v>
      </c>
      <c r="W922">
        <v>4.1642451282738739E-2</v>
      </c>
      <c r="X922">
        <v>9.4789918016385706E-3</v>
      </c>
      <c r="Y922">
        <v>1.9616587219430503E-3</v>
      </c>
    </row>
    <row r="923" spans="1:25">
      <c r="A923" s="876"/>
      <c r="B923" s="1202">
        <v>673</v>
      </c>
      <c r="C923" s="880">
        <v>0.98851529091860424</v>
      </c>
      <c r="D923" s="880">
        <v>1.017651792263178</v>
      </c>
      <c r="E923" s="880">
        <v>1.0097270401337377</v>
      </c>
      <c r="F923" s="880">
        <v>1.0134673306073256</v>
      </c>
      <c r="G923" s="880">
        <v>0.9924622139341982</v>
      </c>
      <c r="H923" s="880">
        <v>0.9877563271599642</v>
      </c>
      <c r="I923" s="880">
        <v>0.98207396749471454</v>
      </c>
      <c r="K923">
        <v>1.0720453837582911</v>
      </c>
      <c r="L923">
        <v>0</v>
      </c>
      <c r="M923">
        <v>6.6930914467428794E-4</v>
      </c>
      <c r="N923">
        <v>6.8725849307935044E-2</v>
      </c>
      <c r="O923">
        <v>8.8071393141334921E-3</v>
      </c>
      <c r="P923">
        <v>1.2721036365917236E-2</v>
      </c>
      <c r="Q923">
        <v>2.9937913257751698E-3</v>
      </c>
      <c r="R923">
        <v>6.5784647043046934E-4</v>
      </c>
      <c r="S923">
        <v>8.3751842900901707E-2</v>
      </c>
      <c r="T923">
        <v>0.81505305117171722</v>
      </c>
      <c r="U923">
        <v>1.7107098920278455E-2</v>
      </c>
      <c r="V923">
        <v>1.0414264239895832E-2</v>
      </c>
      <c r="W923">
        <v>4.0808946951818657E-2</v>
      </c>
      <c r="X923">
        <v>9.8833847006799015E-3</v>
      </c>
      <c r="Y923">
        <v>1.7904412334810423E-3</v>
      </c>
    </row>
    <row r="924" spans="1:25">
      <c r="A924" s="876"/>
      <c r="B924" s="1202">
        <v>674</v>
      </c>
      <c r="C924" s="880">
        <v>0.98714696997412832</v>
      </c>
      <c r="D924" s="880">
        <v>0.98670253407975395</v>
      </c>
      <c r="E924" s="880">
        <v>1.0298759307366339</v>
      </c>
      <c r="F924" s="880">
        <v>0.99453382110813138</v>
      </c>
      <c r="G924" s="880">
        <v>1.0372512966363623</v>
      </c>
      <c r="H924" s="880">
        <v>1.0129865013138004</v>
      </c>
      <c r="I924" s="880">
        <v>0.98911032899935414</v>
      </c>
      <c r="K924">
        <v>1.0810774443551092</v>
      </c>
      <c r="L924">
        <v>0</v>
      </c>
      <c r="M924">
        <v>6.6962677438820166E-4</v>
      </c>
      <c r="N924">
        <v>7.3234440674925447E-2</v>
      </c>
      <c r="O924">
        <v>8.965772983649407E-3</v>
      </c>
      <c r="P924">
        <v>1.2929322714276516E-2</v>
      </c>
      <c r="Q924">
        <v>3.1022285464765644E-3</v>
      </c>
      <c r="R924">
        <v>6.5846960201126664E-4</v>
      </c>
      <c r="S924">
        <v>8.6687920744350291E-2</v>
      </c>
      <c r="T924">
        <v>0.81343990480822792</v>
      </c>
      <c r="U924">
        <v>1.7130811703140389E-2</v>
      </c>
      <c r="V924">
        <v>1.0414400557193832E-2</v>
      </c>
      <c r="W924">
        <v>4.2898793549552026E-2</v>
      </c>
      <c r="X924">
        <v>1.0492868053464988E-2</v>
      </c>
      <c r="Y924">
        <v>1.7921371922287022E-3</v>
      </c>
    </row>
    <row r="925" spans="1:25">
      <c r="A925" s="876"/>
      <c r="B925" s="1202">
        <v>675</v>
      </c>
      <c r="C925" s="880">
        <v>1.0195211292265134</v>
      </c>
      <c r="D925" s="880">
        <v>1.0029411244598978</v>
      </c>
      <c r="E925" s="880">
        <v>1.0049127672783007</v>
      </c>
      <c r="F925" s="880">
        <v>0.96590944900178455</v>
      </c>
      <c r="G925" s="880">
        <v>0.97747970160720499</v>
      </c>
      <c r="H925" s="880">
        <v>0.99271439873504219</v>
      </c>
      <c r="I925" s="880">
        <v>1.0031170663562488</v>
      </c>
      <c r="K925">
        <v>1.0689779726462449</v>
      </c>
      <c r="L925">
        <v>0</v>
      </c>
      <c r="M925">
        <v>6.6398384938576142E-4</v>
      </c>
      <c r="N925">
        <v>6.7173109400241696E-2</v>
      </c>
      <c r="O925">
        <v>8.605795113073229E-3</v>
      </c>
      <c r="P925">
        <v>1.2673401571776099E-2</v>
      </c>
      <c r="Q925">
        <v>2.9081330202842706E-3</v>
      </c>
      <c r="R925">
        <v>6.5268120883756173E-4</v>
      </c>
      <c r="S925">
        <v>8.372177950574386E-2</v>
      </c>
      <c r="T925">
        <v>0.81544053504401437</v>
      </c>
      <c r="U925">
        <v>1.6586835114228642E-2</v>
      </c>
      <c r="V925">
        <v>1.0411273407621758E-2</v>
      </c>
      <c r="W925">
        <v>4.0017878273320387E-2</v>
      </c>
      <c r="X925">
        <v>9.6741517423349407E-3</v>
      </c>
      <c r="Y925">
        <v>1.7763830941531738E-3</v>
      </c>
    </row>
    <row r="926" spans="1:25">
      <c r="A926" s="876"/>
      <c r="B926" s="1202">
        <v>676</v>
      </c>
      <c r="C926" s="880">
        <v>0.99739184167313566</v>
      </c>
      <c r="D926" s="880">
        <v>1.008696676691428</v>
      </c>
      <c r="E926" s="880">
        <v>1.0158513287167621</v>
      </c>
      <c r="F926" s="880">
        <v>0.96186260477409491</v>
      </c>
      <c r="G926" s="880">
        <v>0.99356064975203517</v>
      </c>
      <c r="H926" s="880">
        <v>0.98740193246406471</v>
      </c>
      <c r="I926" s="880">
        <v>1.0452869291463225</v>
      </c>
      <c r="K926">
        <v>1.0765445278044663</v>
      </c>
      <c r="L926">
        <v>0</v>
      </c>
      <c r="M926">
        <v>6.576819084975256E-4</v>
      </c>
      <c r="N926">
        <v>6.8830091958901704E-2</v>
      </c>
      <c r="O926">
        <v>8.7699456921248881E-3</v>
      </c>
      <c r="P926">
        <v>1.2838467174454769E-2</v>
      </c>
      <c r="Q926">
        <v>2.9974584502290582E-3</v>
      </c>
      <c r="R926">
        <v>6.464215902103244E-4</v>
      </c>
      <c r="S926">
        <v>8.8725228819184682E-2</v>
      </c>
      <c r="T926">
        <v>0.81456126890323488</v>
      </c>
      <c r="U926">
        <v>1.6954849798635426E-2</v>
      </c>
      <c r="V926">
        <v>1.041338900778971E-2</v>
      </c>
      <c r="W926">
        <v>4.0701448488882089E-2</v>
      </c>
      <c r="X926">
        <v>1.0004293353582546E-2</v>
      </c>
      <c r="Y926">
        <v>1.7593464757325599E-3</v>
      </c>
    </row>
    <row r="927" spans="1:25">
      <c r="A927" s="876"/>
      <c r="B927" s="1202">
        <v>677</v>
      </c>
      <c r="C927" s="880">
        <v>1.0264019373997675</v>
      </c>
      <c r="D927" s="880">
        <v>1.0216064660016659</v>
      </c>
      <c r="E927" s="880">
        <v>0.99132434584721374</v>
      </c>
      <c r="F927" s="880">
        <v>1.0115311458398564</v>
      </c>
      <c r="G927" s="880">
        <v>0.99369537170358491</v>
      </c>
      <c r="H927" s="880">
        <v>0.97714978684365938</v>
      </c>
      <c r="I927" s="880">
        <v>1.0114458456031117</v>
      </c>
      <c r="K927">
        <v>1.0635375301270127</v>
      </c>
      <c r="L927">
        <v>0</v>
      </c>
      <c r="M927">
        <v>6.6151828626255526E-4</v>
      </c>
      <c r="N927">
        <v>6.4133845147759869E-2</v>
      </c>
      <c r="O927">
        <v>8.4645564071831238E-3</v>
      </c>
      <c r="P927">
        <v>1.2542599376769227E-2</v>
      </c>
      <c r="Q927">
        <v>2.8254285077644698E-3</v>
      </c>
      <c r="R927">
        <v>6.5006283057231565E-4</v>
      </c>
      <c r="S927">
        <v>8.2543369495249014E-2</v>
      </c>
      <c r="T927">
        <v>0.81653846898903948</v>
      </c>
      <c r="U927">
        <v>1.6475640048763826E-2</v>
      </c>
      <c r="V927">
        <v>1.0410634182315989E-2</v>
      </c>
      <c r="W927">
        <v>3.8564630977539802E-2</v>
      </c>
      <c r="X927">
        <v>9.2805557186537921E-3</v>
      </c>
      <c r="Y927">
        <v>1.7692567316633379E-3</v>
      </c>
    </row>
    <row r="928" spans="1:25">
      <c r="A928" s="876"/>
      <c r="B928" s="1202">
        <v>678</v>
      </c>
      <c r="C928" s="880">
        <v>0.98976135364417261</v>
      </c>
      <c r="D928" s="880">
        <v>0.97035256080802268</v>
      </c>
      <c r="E928" s="880">
        <v>1.0091278404809705</v>
      </c>
      <c r="F928" s="880">
        <v>1.0198508461707703</v>
      </c>
      <c r="G928" s="880">
        <v>0.98437785225821461</v>
      </c>
      <c r="H928" s="880">
        <v>0.98509790677074427</v>
      </c>
      <c r="I928" s="880">
        <v>1.0228713715188893</v>
      </c>
      <c r="K928">
        <v>1.080270682308083</v>
      </c>
      <c r="L928">
        <v>0</v>
      </c>
      <c r="M928">
        <v>6.8463801047837739E-4</v>
      </c>
      <c r="N928">
        <v>7.0169995581406075E-2</v>
      </c>
      <c r="O928">
        <v>9.0222916332812261E-3</v>
      </c>
      <c r="P928">
        <v>1.278941247629775E-2</v>
      </c>
      <c r="Q928">
        <v>3.0541843700680926E-3</v>
      </c>
      <c r="R928">
        <v>6.729222978166734E-4</v>
      </c>
      <c r="S928">
        <v>8.9112276440323893E-2</v>
      </c>
      <c r="T928">
        <v>0.8151012356726578</v>
      </c>
      <c r="U928">
        <v>1.7085561891954714E-2</v>
      </c>
      <c r="V928">
        <v>1.0414140430323364E-2</v>
      </c>
      <c r="W928">
        <v>4.1683445937708605E-2</v>
      </c>
      <c r="X928">
        <v>1.0018380920841601E-2</v>
      </c>
      <c r="Y928">
        <v>1.8314726658811276E-3</v>
      </c>
    </row>
    <row r="929" spans="1:25">
      <c r="A929" s="876"/>
      <c r="B929" s="1202">
        <v>679</v>
      </c>
      <c r="C929" s="880">
        <v>1.0147416067857287</v>
      </c>
      <c r="D929" s="880">
        <v>0.98453940460621425</v>
      </c>
      <c r="E929" s="880">
        <v>1.0128018304354098</v>
      </c>
      <c r="F929" s="880">
        <v>0.97909137281992564</v>
      </c>
      <c r="G929" s="880">
        <v>0.9881165342544731</v>
      </c>
      <c r="H929" s="880">
        <v>1.0038202246794601</v>
      </c>
      <c r="I929" s="880">
        <v>0.98857772626281426</v>
      </c>
      <c r="K929">
        <v>1.0727632580644126</v>
      </c>
      <c r="L929">
        <v>0</v>
      </c>
      <c r="M929">
        <v>6.7001713335490044E-4</v>
      </c>
      <c r="N929">
        <v>6.9481534760286484E-2</v>
      </c>
      <c r="O929">
        <v>8.7321878368633154E-3</v>
      </c>
      <c r="P929">
        <v>1.2744645716621471E-2</v>
      </c>
      <c r="Q929">
        <v>2.9701002502370202E-3</v>
      </c>
      <c r="R929">
        <v>6.5875334375734256E-4</v>
      </c>
      <c r="S929">
        <v>8.4055576155701542E-2</v>
      </c>
      <c r="T929">
        <v>0.81480598490305256</v>
      </c>
      <c r="U929">
        <v>1.6664960570127858E-2</v>
      </c>
      <c r="V929">
        <v>1.0411722526188546E-2</v>
      </c>
      <c r="W929">
        <v>4.1171634785590466E-2</v>
      </c>
      <c r="X929">
        <v>9.9432649056152185E-3</v>
      </c>
      <c r="Y929">
        <v>1.7929094437260796E-3</v>
      </c>
    </row>
    <row r="930" spans="1:25">
      <c r="A930" s="876"/>
      <c r="B930" s="1202">
        <v>680</v>
      </c>
      <c r="C930" s="880">
        <v>0.96859651233957555</v>
      </c>
      <c r="D930" s="880">
        <v>1.0086556593897906</v>
      </c>
      <c r="E930" s="880">
        <v>1.022942526068269</v>
      </c>
      <c r="F930" s="880">
        <v>1.0123750972747783</v>
      </c>
      <c r="G930" s="880">
        <v>0.97003019430540827</v>
      </c>
      <c r="H930" s="880">
        <v>0.99652018057330483</v>
      </c>
      <c r="I930" s="880">
        <v>1.0383792980317801</v>
      </c>
      <c r="K930">
        <v>1.0846568847545355</v>
      </c>
      <c r="L930">
        <v>0</v>
      </c>
      <c r="M930">
        <v>6.7334172789637592E-4</v>
      </c>
      <c r="N930">
        <v>7.2050112764006025E-2</v>
      </c>
      <c r="O930">
        <v>9.0308623874024614E-3</v>
      </c>
      <c r="P930">
        <v>1.2937716529519409E-2</v>
      </c>
      <c r="Q930">
        <v>3.1084710777362361E-3</v>
      </c>
      <c r="R930">
        <v>6.6191881452768732E-4</v>
      </c>
      <c r="S930">
        <v>9.1108916582202285E-2</v>
      </c>
      <c r="T930">
        <v>0.81399344009205743</v>
      </c>
      <c r="U930">
        <v>1.7458899191270024E-2</v>
      </c>
      <c r="V930">
        <v>1.0416286628523048E-2</v>
      </c>
      <c r="W930">
        <v>4.2402085194526547E-2</v>
      </c>
      <c r="X930">
        <v>1.0359992408994392E-2</v>
      </c>
      <c r="Y930">
        <v>1.8015248116657987E-3</v>
      </c>
    </row>
    <row r="931" spans="1:25">
      <c r="A931" s="876"/>
      <c r="B931" s="1202">
        <v>681</v>
      </c>
      <c r="C931" s="880">
        <v>0.98975039058694447</v>
      </c>
      <c r="D931" s="880">
        <v>1.0021852190406599</v>
      </c>
      <c r="E931" s="880">
        <v>0.9734685788096622</v>
      </c>
      <c r="F931" s="880">
        <v>1.0372861143283167</v>
      </c>
      <c r="G931" s="880">
        <v>1.0352756680103514</v>
      </c>
      <c r="H931" s="880">
        <v>0.9986727831779949</v>
      </c>
      <c r="I931" s="880">
        <v>1.0074704686558573</v>
      </c>
      <c r="K931">
        <v>1.0763173654543285</v>
      </c>
      <c r="L931">
        <v>0</v>
      </c>
      <c r="M931">
        <v>7.3537882522835534E-4</v>
      </c>
      <c r="N931">
        <v>6.7464425220614452E-2</v>
      </c>
      <c r="O931">
        <v>8.8682131909715977E-3</v>
      </c>
      <c r="P931">
        <v>1.2459208676298383E-2</v>
      </c>
      <c r="Q931">
        <v>2.9028556992538911E-3</v>
      </c>
      <c r="R931">
        <v>7.2293624039193886E-4</v>
      </c>
      <c r="S931">
        <v>8.6863440045258922E-2</v>
      </c>
      <c r="T931">
        <v>0.81799071976873694</v>
      </c>
      <c r="U931">
        <v>1.7085751141683283E-2</v>
      </c>
      <c r="V931">
        <v>1.0414141518260261E-2</v>
      </c>
      <c r="W931">
        <v>4.1072261394015507E-2</v>
      </c>
      <c r="X931">
        <v>9.2411972535927228E-3</v>
      </c>
      <c r="Y931">
        <v>1.9675941304792611E-3</v>
      </c>
    </row>
    <row r="932" spans="1:25">
      <c r="A932" s="876"/>
      <c r="B932" s="1202">
        <v>682</v>
      </c>
      <c r="C932" s="880">
        <v>1.0089217852000423</v>
      </c>
      <c r="D932" s="880">
        <v>0.9852699941653883</v>
      </c>
      <c r="E932" s="880">
        <v>1.0118232281462487</v>
      </c>
      <c r="F932" s="880">
        <v>1.0037416692184846</v>
      </c>
      <c r="G932" s="880">
        <v>0.9946462964990459</v>
      </c>
      <c r="H932" s="880">
        <v>1.0078453653548711</v>
      </c>
      <c r="I932" s="880">
        <v>0.96803785621257243</v>
      </c>
      <c r="K932">
        <v>1.0728166579311269</v>
      </c>
      <c r="L932">
        <v>0</v>
      </c>
      <c r="M932">
        <v>6.7771472060748075E-4</v>
      </c>
      <c r="N932">
        <v>7.0071052704251582E-2</v>
      </c>
      <c r="O932">
        <v>8.7790797359451802E-3</v>
      </c>
      <c r="P932">
        <v>1.2721835040062805E-2</v>
      </c>
      <c r="Q932">
        <v>2.9833001288328948E-3</v>
      </c>
      <c r="R932">
        <v>6.66366405396856E-4</v>
      </c>
      <c r="S932">
        <v>8.2892466095344466E-2</v>
      </c>
      <c r="T932">
        <v>0.81488458286223375</v>
      </c>
      <c r="U932">
        <v>1.6761090021065867E-2</v>
      </c>
      <c r="V932">
        <v>1.0412275144035529E-2</v>
      </c>
      <c r="W932">
        <v>4.1548530605254326E-2</v>
      </c>
      <c r="X932">
        <v>9.9601642214471372E-3</v>
      </c>
      <c r="Y932">
        <v>1.8136296878637399E-3</v>
      </c>
    </row>
    <row r="933" spans="1:25">
      <c r="A933" s="876"/>
      <c r="B933" s="1202">
        <v>683</v>
      </c>
      <c r="C933" s="880">
        <v>0.96233406178834824</v>
      </c>
      <c r="D933" s="880">
        <v>1.0289664680800876</v>
      </c>
      <c r="E933" s="880">
        <v>0.96987609405983066</v>
      </c>
      <c r="F933" s="880">
        <v>0.96867851060708998</v>
      </c>
      <c r="G933" s="880">
        <v>1.0142679395134422</v>
      </c>
      <c r="H933" s="880">
        <v>1.0445839088351236</v>
      </c>
      <c r="I933" s="880">
        <v>0.98867451704019216</v>
      </c>
      <c r="K933">
        <v>1.0852092010500025</v>
      </c>
      <c r="L933">
        <v>0</v>
      </c>
      <c r="M933">
        <v>7.8599128099494475E-4</v>
      </c>
      <c r="N933">
        <v>7.1356236150354163E-2</v>
      </c>
      <c r="O933">
        <v>8.9936761643022584E-3</v>
      </c>
      <c r="P933">
        <v>1.2453102212585304E-2</v>
      </c>
      <c r="Q933">
        <v>2.9388890545310443E-3</v>
      </c>
      <c r="R933">
        <v>7.7325236408011782E-4</v>
      </c>
      <c r="S933">
        <v>8.8190324182848265E-2</v>
      </c>
      <c r="T933">
        <v>0.81828420774832178</v>
      </c>
      <c r="U933">
        <v>1.7572514096120231E-2</v>
      </c>
      <c r="V933">
        <v>1.0416939764721054E-2</v>
      </c>
      <c r="W933">
        <v>4.355065447012646E-2</v>
      </c>
      <c r="X933">
        <v>9.3608580905530456E-3</v>
      </c>
      <c r="Y933">
        <v>2.1045380324527679E-3</v>
      </c>
    </row>
    <row r="934" spans="1:25">
      <c r="A934" s="876"/>
      <c r="B934" s="1202">
        <v>684</v>
      </c>
      <c r="C934" s="880">
        <v>1.0050659687766048</v>
      </c>
      <c r="D934" s="880">
        <v>0.98782697510759776</v>
      </c>
      <c r="E934" s="880">
        <v>0.9791241135637504</v>
      </c>
      <c r="F934" s="880">
        <v>0.97512520338550057</v>
      </c>
      <c r="G934" s="880">
        <v>0.9933273464290644</v>
      </c>
      <c r="H934" s="880">
        <v>1.0038890834547356</v>
      </c>
      <c r="I934" s="880">
        <v>0.97087747309084338</v>
      </c>
      <c r="K934">
        <v>1.0721067179625536</v>
      </c>
      <c r="L934">
        <v>0</v>
      </c>
      <c r="M934">
        <v>7.2491523458144554E-4</v>
      </c>
      <c r="N934">
        <v>6.7694363766726634E-2</v>
      </c>
      <c r="O934">
        <v>8.8005717843140287E-3</v>
      </c>
      <c r="P934">
        <v>1.2454287321416893E-2</v>
      </c>
      <c r="Q934">
        <v>2.8942277072945225E-3</v>
      </c>
      <c r="R934">
        <v>7.1272637682289516E-4</v>
      </c>
      <c r="S934">
        <v>8.3209161644510254E-2</v>
      </c>
      <c r="T934">
        <v>0.81752957449489805</v>
      </c>
      <c r="U934">
        <v>1.6825391955650901E-2</v>
      </c>
      <c r="V934">
        <v>1.0412644795545012E-2</v>
      </c>
      <c r="W934">
        <v>4.1050414747671897E-2</v>
      </c>
      <c r="X934">
        <v>9.3084623547591994E-3</v>
      </c>
      <c r="Y934">
        <v>1.9398062475249455E-3</v>
      </c>
    </row>
    <row r="935" spans="1:25">
      <c r="A935" s="876"/>
      <c r="B935" s="1202">
        <v>685</v>
      </c>
      <c r="C935" s="880">
        <v>0.99702738887299347</v>
      </c>
      <c r="D935" s="880">
        <v>1.0208886213427517</v>
      </c>
      <c r="E935" s="880">
        <v>1.037314905479465</v>
      </c>
      <c r="F935" s="880">
        <v>1.0129134196885046</v>
      </c>
      <c r="G935" s="880">
        <v>0.99579347064587909</v>
      </c>
      <c r="H935" s="880">
        <v>1.0066981710775287</v>
      </c>
      <c r="I935" s="880">
        <v>1.0245251220842813</v>
      </c>
      <c r="K935">
        <v>1.0771360514372659</v>
      </c>
      <c r="L935">
        <v>0</v>
      </c>
      <c r="M935">
        <v>6.3693942811854343E-4</v>
      </c>
      <c r="N935">
        <v>7.1275839711264041E-2</v>
      </c>
      <c r="O935">
        <v>8.7172006516652804E-3</v>
      </c>
      <c r="P935">
        <v>1.2995413727276613E-2</v>
      </c>
      <c r="Q935">
        <v>3.0461696084978507E-3</v>
      </c>
      <c r="R935">
        <v>6.2623389498726585E-4</v>
      </c>
      <c r="S935">
        <v>8.7177914877618057E-2</v>
      </c>
      <c r="T935">
        <v>0.8128478319053386</v>
      </c>
      <c r="U935">
        <v>1.6961047464370667E-2</v>
      </c>
      <c r="V935">
        <v>1.0413424636212233E-2</v>
      </c>
      <c r="W935">
        <v>4.1544399161186241E-2</v>
      </c>
      <c r="X935">
        <v>1.0463113002758902E-2</v>
      </c>
      <c r="Y935">
        <v>1.7044022242073359E-3</v>
      </c>
    </row>
    <row r="936" spans="1:25">
      <c r="A936" s="876"/>
      <c r="B936" s="1202">
        <v>686</v>
      </c>
      <c r="C936" s="880">
        <v>1.001392098448995</v>
      </c>
      <c r="D936" s="880">
        <v>0.99084833339719525</v>
      </c>
      <c r="E936" s="880">
        <v>1.0200323391772992</v>
      </c>
      <c r="F936" s="880">
        <v>1.0207092913767184</v>
      </c>
      <c r="G936" s="880">
        <v>0.9977003313129108</v>
      </c>
      <c r="H936" s="880">
        <v>1.0090364222430133</v>
      </c>
      <c r="I936" s="880">
        <v>1.0279512224402374</v>
      </c>
      <c r="K936">
        <v>1.0796257638035305</v>
      </c>
      <c r="L936">
        <v>0</v>
      </c>
      <c r="M936">
        <v>6.6985523360159436E-4</v>
      </c>
      <c r="N936">
        <v>7.1048825581945529E-2</v>
      </c>
      <c r="O936">
        <v>8.8184711887237845E-3</v>
      </c>
      <c r="P936">
        <v>1.2868991357832E-2</v>
      </c>
      <c r="Q936">
        <v>3.0225785698965585E-3</v>
      </c>
      <c r="R936">
        <v>6.5864709564787823E-4</v>
      </c>
      <c r="S936">
        <v>8.8479153858762649E-2</v>
      </c>
      <c r="T936">
        <v>0.81422626639308981</v>
      </c>
      <c r="U936">
        <v>1.6887120331930284E-2</v>
      </c>
      <c r="V936">
        <v>1.041299965248077E-2</v>
      </c>
      <c r="W936">
        <v>4.1894924331351197E-2</v>
      </c>
      <c r="X936">
        <v>1.0185020404075283E-2</v>
      </c>
      <c r="Y936">
        <v>1.7926202713967976E-3</v>
      </c>
    </row>
    <row r="937" spans="1:25">
      <c r="A937" s="876"/>
      <c r="B937" s="1202">
        <v>687</v>
      </c>
      <c r="C937" s="880">
        <v>0.99421632079221767</v>
      </c>
      <c r="D937" s="880">
        <v>1.0242038450806374</v>
      </c>
      <c r="E937" s="880">
        <v>1.0291394501011062</v>
      </c>
      <c r="F937" s="880">
        <v>1.007398236435644</v>
      </c>
      <c r="G937" s="880">
        <v>1.0412857531169304</v>
      </c>
      <c r="H937" s="880">
        <v>0.99758514501103512</v>
      </c>
      <c r="I937" s="880">
        <v>0.99932894498064595</v>
      </c>
      <c r="K937">
        <v>1.0735814879537209</v>
      </c>
      <c r="L937">
        <v>0</v>
      </c>
      <c r="M937">
        <v>6.4289842772461716E-4</v>
      </c>
      <c r="N937">
        <v>7.0129045444080482E-2</v>
      </c>
      <c r="O937">
        <v>8.7267789257932261E-3</v>
      </c>
      <c r="P937">
        <v>1.2895373936872637E-2</v>
      </c>
      <c r="Q937">
        <v>3.0257354936027926E-3</v>
      </c>
      <c r="R937">
        <v>6.3199145493051734E-4</v>
      </c>
      <c r="S937">
        <v>8.4813723420802664E-2</v>
      </c>
      <c r="T937">
        <v>0.81349862459580646</v>
      </c>
      <c r="U937">
        <v>1.700900348575806E-2</v>
      </c>
      <c r="V937">
        <v>1.0413700320230295E-2</v>
      </c>
      <c r="W937">
        <v>4.1100021248501248E-2</v>
      </c>
      <c r="X937">
        <v>1.0260315650672756E-2</v>
      </c>
      <c r="Y937">
        <v>1.7200724043937416E-3</v>
      </c>
    </row>
    <row r="938" spans="1:25">
      <c r="A938" s="876"/>
      <c r="B938" s="1202">
        <v>688</v>
      </c>
      <c r="C938" s="880">
        <v>1.0325870910292745</v>
      </c>
      <c r="D938" s="880">
        <v>0.99278959256138066</v>
      </c>
      <c r="E938" s="880">
        <v>1.0148716974328325</v>
      </c>
      <c r="F938" s="880">
        <v>1.0023298129740839</v>
      </c>
      <c r="G938" s="880">
        <v>1.0224104177111768</v>
      </c>
      <c r="H938" s="880">
        <v>0.9765552881696058</v>
      </c>
      <c r="I938" s="880">
        <v>0.9839592666035013</v>
      </c>
      <c r="K938">
        <v>1.0634259159978272</v>
      </c>
      <c r="L938">
        <v>0</v>
      </c>
      <c r="M938">
        <v>6.3493364220405801E-4</v>
      </c>
      <c r="N938">
        <v>6.6235919113933797E-2</v>
      </c>
      <c r="O938">
        <v>8.5431320491886412E-3</v>
      </c>
      <c r="P938">
        <v>1.2714881550493108E-2</v>
      </c>
      <c r="Q938">
        <v>2.9136265777308604E-3</v>
      </c>
      <c r="R938">
        <v>6.2395487698299829E-4</v>
      </c>
      <c r="S938">
        <v>8.0942963879009719E-2</v>
      </c>
      <c r="T938">
        <v>0.81463984777444187</v>
      </c>
      <c r="U938">
        <v>1.6376951651696503E-2</v>
      </c>
      <c r="V938">
        <v>1.041006685389605E-2</v>
      </c>
      <c r="W938">
        <v>3.9193413787084685E-2</v>
      </c>
      <c r="X938">
        <v>9.7678920370954953E-3</v>
      </c>
      <c r="Y938">
        <v>1.6981994884778036E-3</v>
      </c>
    </row>
    <row r="939" spans="1:25">
      <c r="A939" s="876"/>
      <c r="B939" s="1202">
        <v>689</v>
      </c>
      <c r="C939" s="880">
        <v>0.99443384274808855</v>
      </c>
      <c r="D939" s="880">
        <v>1.0244654809619254</v>
      </c>
      <c r="E939" s="880">
        <v>0.98723766732545737</v>
      </c>
      <c r="F939" s="880">
        <v>1.0415533655996165</v>
      </c>
      <c r="G939" s="880">
        <v>1.0078553826789758</v>
      </c>
      <c r="H939" s="880">
        <v>0.98108847487494943</v>
      </c>
      <c r="I939" s="880">
        <v>1.0059502570116052</v>
      </c>
      <c r="K939">
        <v>1.0703767732193221</v>
      </c>
      <c r="L939">
        <v>0</v>
      </c>
      <c r="M939">
        <v>6.9042667137860327E-4</v>
      </c>
      <c r="N939">
        <v>6.6094619019759979E-2</v>
      </c>
      <c r="O939">
        <v>8.7236844406613657E-3</v>
      </c>
      <c r="P939">
        <v>1.2545608445183083E-2</v>
      </c>
      <c r="Q939">
        <v>2.9005154507950248E-3</v>
      </c>
      <c r="R939">
        <v>6.7851619077283502E-4</v>
      </c>
      <c r="S939">
        <v>8.4757133356824707E-2</v>
      </c>
      <c r="T939">
        <v>0.81686989523354114</v>
      </c>
      <c r="U939">
        <v>1.7005282944937163E-2</v>
      </c>
      <c r="V939">
        <v>1.0413678932016409E-2</v>
      </c>
      <c r="W939">
        <v>3.9855801587540693E-2</v>
      </c>
      <c r="X939">
        <v>9.375766890185204E-3</v>
      </c>
      <c r="Y939">
        <v>1.8466973984814822E-3</v>
      </c>
    </row>
    <row r="940" spans="1:25">
      <c r="A940" s="876"/>
      <c r="B940" s="1202">
        <v>690</v>
      </c>
      <c r="C940" s="880">
        <v>1.037922213043879</v>
      </c>
      <c r="D940" s="880">
        <v>1.0364844129321937</v>
      </c>
      <c r="E940" s="880">
        <v>1.0019581418515975</v>
      </c>
      <c r="F940" s="880">
        <v>1.0185427966019598</v>
      </c>
      <c r="G940" s="880">
        <v>1.0000638291881079</v>
      </c>
      <c r="H940" s="880">
        <v>1.021861788817799</v>
      </c>
      <c r="I940" s="880">
        <v>1.0212476418427749</v>
      </c>
      <c r="K940">
        <v>1.0671017246825576</v>
      </c>
      <c r="L940">
        <v>0</v>
      </c>
      <c r="M940">
        <v>6.6385537040474017E-4</v>
      </c>
      <c r="N940">
        <v>6.6575934509230258E-2</v>
      </c>
      <c r="O940">
        <v>8.3064891017902796E-3</v>
      </c>
      <c r="P940">
        <v>1.2639987960680096E-2</v>
      </c>
      <c r="Q940">
        <v>2.8055085920887643E-3</v>
      </c>
      <c r="R940">
        <v>6.5285092034403954E-4</v>
      </c>
      <c r="S940">
        <v>8.3372409568914521E-2</v>
      </c>
      <c r="T940">
        <v>0.81567873279857006</v>
      </c>
      <c r="U940">
        <v>1.6292770935462646E-2</v>
      </c>
      <c r="V940">
        <v>1.0409582925550411E-2</v>
      </c>
      <c r="W940">
        <v>3.9742188442036364E-2</v>
      </c>
      <c r="X940">
        <v>9.5122793053654467E-3</v>
      </c>
      <c r="Y940">
        <v>1.7768449929284236E-3</v>
      </c>
    </row>
    <row r="941" spans="1:25">
      <c r="A941" s="876"/>
      <c r="B941" s="1202">
        <v>691</v>
      </c>
      <c r="C941" s="880">
        <v>0.98376722726804922</v>
      </c>
      <c r="D941" s="880">
        <v>0.97231677616080237</v>
      </c>
      <c r="E941" s="880">
        <v>0.97035799657639366</v>
      </c>
      <c r="F941" s="880">
        <v>1.002613751367126</v>
      </c>
      <c r="G941" s="880">
        <v>0.9965106597837462</v>
      </c>
      <c r="H941" s="880">
        <v>1.012476343505917</v>
      </c>
      <c r="I941" s="880">
        <v>1.0042891104500091</v>
      </c>
      <c r="K941">
        <v>1.0829253038637203</v>
      </c>
      <c r="L941">
        <v>0</v>
      </c>
      <c r="M941">
        <v>7.6725143387970977E-4</v>
      </c>
      <c r="N941">
        <v>6.9728154002227233E-2</v>
      </c>
      <c r="O941">
        <v>9.067454225740618E-3</v>
      </c>
      <c r="P941">
        <v>1.2462209165166193E-2</v>
      </c>
      <c r="Q941">
        <v>2.9519464599701587E-3</v>
      </c>
      <c r="R941">
        <v>7.5447513012478053E-4</v>
      </c>
      <c r="S941">
        <v>8.8951989017530653E-2</v>
      </c>
      <c r="T941">
        <v>0.81824481342656774</v>
      </c>
      <c r="U941">
        <v>1.718966478779101E-2</v>
      </c>
      <c r="V941">
        <v>1.0414738884986304E-2</v>
      </c>
      <c r="W941">
        <v>4.2542664256605224E-2</v>
      </c>
      <c r="X941">
        <v>9.3310133493498346E-3</v>
      </c>
      <c r="Y941">
        <v>2.0534325915398501E-3</v>
      </c>
    </row>
    <row r="942" spans="1:25">
      <c r="A942" s="876"/>
      <c r="B942" s="1202">
        <v>692</v>
      </c>
      <c r="C942" s="880">
        <v>0.97037778222268012</v>
      </c>
      <c r="D942" s="880">
        <v>1.0047374334363774</v>
      </c>
      <c r="E942" s="880">
        <v>0.98790519833603663</v>
      </c>
      <c r="F942" s="880">
        <v>1.0159794367287742</v>
      </c>
      <c r="G942" s="880">
        <v>1.0210239811654156</v>
      </c>
      <c r="H942" s="880">
        <v>1.0218694825305716</v>
      </c>
      <c r="I942" s="880">
        <v>1.0064214674355676</v>
      </c>
      <c r="K942">
        <v>1.0846441664514939</v>
      </c>
      <c r="L942">
        <v>0</v>
      </c>
      <c r="M942">
        <v>7.4356175693459921E-4</v>
      </c>
      <c r="N942">
        <v>7.1381036509840887E-2</v>
      </c>
      <c r="O942">
        <v>9.0330021723060532E-3</v>
      </c>
      <c r="P942">
        <v>1.2617720768637668E-2</v>
      </c>
      <c r="Q942">
        <v>3.0010550472366836E-3</v>
      </c>
      <c r="R942">
        <v>7.3126401693976407E-4</v>
      </c>
      <c r="S942">
        <v>8.9251348240614495E-2</v>
      </c>
      <c r="T942">
        <v>0.8168157203344989</v>
      </c>
      <c r="U942">
        <v>1.7426850836607253E-2</v>
      </c>
      <c r="V942">
        <v>1.0416102392655903E-2</v>
      </c>
      <c r="W942">
        <v>4.3023743698629227E-2</v>
      </c>
      <c r="X942">
        <v>9.699624597468497E-3</v>
      </c>
      <c r="Y942">
        <v>1.99025959299164E-3</v>
      </c>
    </row>
    <row r="943" spans="1:25">
      <c r="A943" s="876"/>
      <c r="B943" s="1202">
        <v>693</v>
      </c>
      <c r="C943" s="880">
        <v>1.0266013922724486</v>
      </c>
      <c r="D943" s="880">
        <v>1.0271724938292197</v>
      </c>
      <c r="E943" s="880">
        <v>1.0190858034787635</v>
      </c>
      <c r="F943" s="880">
        <v>1.0205822008230152</v>
      </c>
      <c r="G943" s="880">
        <v>1.0286730837336899</v>
      </c>
      <c r="H943" s="880">
        <v>0.98214371760861374</v>
      </c>
      <c r="I943" s="880">
        <v>0.99334108210335481</v>
      </c>
      <c r="K943">
        <v>1.0628132841431417</v>
      </c>
      <c r="L943">
        <v>0</v>
      </c>
      <c r="M943">
        <v>6.2518439649304801E-4</v>
      </c>
      <c r="N943">
        <v>6.6082214578850357E-2</v>
      </c>
      <c r="O943">
        <v>8.4384819073632742E-3</v>
      </c>
      <c r="P943">
        <v>1.2751834750762858E-2</v>
      </c>
      <c r="Q943">
        <v>2.8973655648971293E-3</v>
      </c>
      <c r="R943">
        <v>6.1440892670383291E-4</v>
      </c>
      <c r="S943">
        <v>8.1002105329547894E-2</v>
      </c>
      <c r="T943">
        <v>0.81430205517512555</v>
      </c>
      <c r="U943">
        <v>1.6472439053019025E-2</v>
      </c>
      <c r="V943">
        <v>1.041061578080262E-2</v>
      </c>
      <c r="W943">
        <v>3.8991196755695241E-2</v>
      </c>
      <c r="X943">
        <v>9.8035321582258979E-3</v>
      </c>
      <c r="Y943">
        <v>1.6722185586395789E-3</v>
      </c>
    </row>
    <row r="944" spans="1:25">
      <c r="A944" s="876"/>
      <c r="B944" s="1202">
        <v>694</v>
      </c>
      <c r="C944" s="880">
        <v>1.0000000973731533</v>
      </c>
      <c r="D944" s="880">
        <v>1.0269490659095086</v>
      </c>
      <c r="E944" s="880">
        <v>1.0205536320211415</v>
      </c>
      <c r="F944" s="880">
        <v>1.016517737138172</v>
      </c>
      <c r="G944" s="880">
        <v>0.99913500247020481</v>
      </c>
      <c r="H944" s="880">
        <v>1.0007724170779602</v>
      </c>
      <c r="I944" s="880">
        <v>0.98356956656651862</v>
      </c>
      <c r="K944">
        <v>1.0708055888235917</v>
      </c>
      <c r="L944">
        <v>0</v>
      </c>
      <c r="M944">
        <v>6.5203937729106903E-4</v>
      </c>
      <c r="N944">
        <v>6.925840537106015E-2</v>
      </c>
      <c r="O944">
        <v>8.6639589071973045E-3</v>
      </c>
      <c r="P944">
        <v>1.2797652325909088E-2</v>
      </c>
      <c r="Q944">
        <v>2.97908008858083E-3</v>
      </c>
      <c r="R944">
        <v>6.4101041209889734E-4</v>
      </c>
      <c r="S944">
        <v>8.2993661026155963E-2</v>
      </c>
      <c r="T944">
        <v>0.81418453970072391</v>
      </c>
      <c r="U944">
        <v>1.6910627219311258E-2</v>
      </c>
      <c r="V944">
        <v>1.0413134786150692E-2</v>
      </c>
      <c r="W944">
        <v>4.0824818228444158E-2</v>
      </c>
      <c r="X944">
        <v>1.004612110254402E-2</v>
      </c>
      <c r="Y944">
        <v>1.7446190327076411E-3</v>
      </c>
    </row>
    <row r="945" spans="1:25">
      <c r="A945" s="876"/>
      <c r="B945" s="1202">
        <v>695</v>
      </c>
      <c r="C945" s="880">
        <v>0.9980378339685777</v>
      </c>
      <c r="D945" s="880">
        <v>0.99793763169706284</v>
      </c>
      <c r="E945" s="880">
        <v>1.0207494894083982</v>
      </c>
      <c r="F945" s="880">
        <v>0.99693608241238862</v>
      </c>
      <c r="G945" s="880">
        <v>0.96063992663661479</v>
      </c>
      <c r="H945" s="880">
        <v>1.0048887304103882</v>
      </c>
      <c r="I945" s="880">
        <v>0.98798236002261508</v>
      </c>
      <c r="K945">
        <v>1.075485561681466</v>
      </c>
      <c r="L945">
        <v>0</v>
      </c>
      <c r="M945">
        <v>6.6579911870685079E-4</v>
      </c>
      <c r="N945">
        <v>7.0770501322337753E-2</v>
      </c>
      <c r="O945">
        <v>8.8145157381043539E-3</v>
      </c>
      <c r="P945">
        <v>1.2825809360513349E-2</v>
      </c>
      <c r="Q945">
        <v>3.0249913781805588E-3</v>
      </c>
      <c r="R945">
        <v>6.5460699498898006E-4</v>
      </c>
      <c r="S945">
        <v>8.4875001679212136E-2</v>
      </c>
      <c r="T945">
        <v>0.81416886476327821</v>
      </c>
      <c r="U945">
        <v>1.6943875563022792E-2</v>
      </c>
      <c r="V945">
        <v>1.0413325920375836E-2</v>
      </c>
      <c r="W945">
        <v>4.171062267875103E-2</v>
      </c>
      <c r="X945">
        <v>1.0167620952184743E-2</v>
      </c>
      <c r="Y945">
        <v>1.7816244492221006E-3</v>
      </c>
    </row>
    <row r="946" spans="1:25">
      <c r="A946" s="876"/>
      <c r="B946" s="1202">
        <v>696</v>
      </c>
      <c r="C946" s="880">
        <v>0.96757468532661151</v>
      </c>
      <c r="D946" s="880">
        <v>1.033478227577812</v>
      </c>
      <c r="E946" s="880">
        <v>0.99193067415168379</v>
      </c>
      <c r="F946" s="880">
        <v>0.97508228383977513</v>
      </c>
      <c r="G946" s="880">
        <v>0.98173066786511531</v>
      </c>
      <c r="H946" s="880">
        <v>0.96636251124151873</v>
      </c>
      <c r="I946" s="880">
        <v>1.012979342677331</v>
      </c>
      <c r="K946">
        <v>1.0741997116747619</v>
      </c>
      <c r="L946">
        <v>0</v>
      </c>
      <c r="M946">
        <v>6.888700917520419E-4</v>
      </c>
      <c r="N946">
        <v>6.6897604302637234E-2</v>
      </c>
      <c r="O946">
        <v>8.9241795458809437E-3</v>
      </c>
      <c r="P946">
        <v>1.2619021740864109E-2</v>
      </c>
      <c r="Q946">
        <v>2.9832162046752602E-3</v>
      </c>
      <c r="R946">
        <v>6.7679770793121878E-4</v>
      </c>
      <c r="S946">
        <v>8.6796507604337519E-2</v>
      </c>
      <c r="T946">
        <v>0.81648934451100008</v>
      </c>
      <c r="U946">
        <v>1.7477337018427755E-2</v>
      </c>
      <c r="V946">
        <v>1.0416392621767018E-2</v>
      </c>
      <c r="W946">
        <v>4.0209736864445622E-2</v>
      </c>
      <c r="X946">
        <v>9.556423389862621E-3</v>
      </c>
      <c r="Y946">
        <v>1.842020254684319E-3</v>
      </c>
    </row>
    <row r="947" spans="1:25">
      <c r="A947" s="876"/>
      <c r="B947" s="1202">
        <v>697</v>
      </c>
      <c r="C947" s="880">
        <v>0.98517835297980516</v>
      </c>
      <c r="D947" s="880">
        <v>0.98329431679083856</v>
      </c>
      <c r="E947" s="880">
        <v>0.99176424403363639</v>
      </c>
      <c r="F947" s="880">
        <v>1.0340142757661617</v>
      </c>
      <c r="G947" s="880">
        <v>1.0076943178119644</v>
      </c>
      <c r="H947" s="880">
        <v>0.95420675230269458</v>
      </c>
      <c r="I947" s="880">
        <v>1.0116763727675639</v>
      </c>
      <c r="K947">
        <v>1.0735182032624508</v>
      </c>
      <c r="L947">
        <v>0</v>
      </c>
      <c r="M947">
        <v>6.8620434670810216E-4</v>
      </c>
      <c r="N947">
        <v>6.6593451698408093E-2</v>
      </c>
      <c r="O947">
        <v>9.0003044422821178E-3</v>
      </c>
      <c r="P947">
        <v>1.2613666769670094E-2</v>
      </c>
      <c r="Q947">
        <v>2.9970334606294387E-3</v>
      </c>
      <c r="R947">
        <v>6.7406976241353141E-4</v>
      </c>
      <c r="S947">
        <v>8.681881647890749E-2</v>
      </c>
      <c r="T947">
        <v>0.81650282737125279</v>
      </c>
      <c r="U947">
        <v>1.7165043075503948E-2</v>
      </c>
      <c r="V947">
        <v>1.0414597342540159E-2</v>
      </c>
      <c r="W947">
        <v>4.0031506216855188E-2</v>
      </c>
      <c r="X947">
        <v>9.5584953044428669E-3</v>
      </c>
      <c r="Y947">
        <v>1.8345956862521719E-3</v>
      </c>
    </row>
    <row r="948" spans="1:25">
      <c r="A948" s="876"/>
      <c r="B948" s="1202">
        <v>698</v>
      </c>
      <c r="C948" s="880">
        <v>0.9730234381954842</v>
      </c>
      <c r="D948" s="880">
        <v>0.99493275813404425</v>
      </c>
      <c r="E948" s="880">
        <v>1.0064221837915688</v>
      </c>
      <c r="F948" s="880">
        <v>0.99534335873922097</v>
      </c>
      <c r="G948" s="880">
        <v>0.96390480246880916</v>
      </c>
      <c r="H948" s="880">
        <v>0.98787958640616436</v>
      </c>
      <c r="I948" s="880">
        <v>1.0199099096940194</v>
      </c>
      <c r="K948">
        <v>1.0815747640534739</v>
      </c>
      <c r="L948">
        <v>0</v>
      </c>
      <c r="M948">
        <v>6.9307606506775581E-4</v>
      </c>
      <c r="N948">
        <v>7.0440925400210616E-2</v>
      </c>
      <c r="O948">
        <v>9.0556744827832141E-3</v>
      </c>
      <c r="P948">
        <v>1.2774294182124063E-2</v>
      </c>
      <c r="Q948">
        <v>3.0629560257190601E-3</v>
      </c>
      <c r="R948">
        <v>6.8122744331536897E-4</v>
      </c>
      <c r="S948">
        <v>8.9366278402874519E-2</v>
      </c>
      <c r="T948">
        <v>0.81531896256829872</v>
      </c>
      <c r="U948">
        <v>1.7379467135256142E-2</v>
      </c>
      <c r="V948">
        <v>1.0415829998724922E-2</v>
      </c>
      <c r="W948">
        <v>4.192150720019653E-2</v>
      </c>
      <c r="X948">
        <v>9.9966407449011904E-3</v>
      </c>
      <c r="Y948">
        <v>1.8540765341380988E-3</v>
      </c>
    </row>
    <row r="949" spans="1:25">
      <c r="A949" s="876"/>
      <c r="B949" s="1202">
        <v>699</v>
      </c>
      <c r="C949" s="880">
        <v>0.97837021822706571</v>
      </c>
      <c r="D949" s="880">
        <v>0.98847546092568483</v>
      </c>
      <c r="E949" s="880">
        <v>0.98453240988879231</v>
      </c>
      <c r="F949" s="880">
        <v>1.0007764079191139</v>
      </c>
      <c r="G949" s="880">
        <v>1.0027141097879011</v>
      </c>
      <c r="H949" s="880">
        <v>0.99868654055302419</v>
      </c>
      <c r="I949" s="880">
        <v>0.99293550191719393</v>
      </c>
      <c r="K949">
        <v>1.0796227854596574</v>
      </c>
      <c r="L949">
        <v>0</v>
      </c>
      <c r="M949">
        <v>7.3221380731564316E-4</v>
      </c>
      <c r="N949">
        <v>6.9531460187025801E-2</v>
      </c>
      <c r="O949">
        <v>9.037536695833473E-3</v>
      </c>
      <c r="P949">
        <v>1.2559709389642036E-2</v>
      </c>
      <c r="Q949">
        <v>2.9886713572000079E-3</v>
      </c>
      <c r="R949">
        <v>7.1983749479893509E-4</v>
      </c>
      <c r="S949">
        <v>8.72031059679612E-2</v>
      </c>
      <c r="T949">
        <v>0.81708960073666503</v>
      </c>
      <c r="U949">
        <v>1.7284488582038657E-2</v>
      </c>
      <c r="V949">
        <v>1.0415283997025404E-2</v>
      </c>
      <c r="W949">
        <v>4.2006710369988723E-2</v>
      </c>
      <c r="X949">
        <v>9.5594341223162044E-3</v>
      </c>
      <c r="Y949">
        <v>1.9591603664763156E-3</v>
      </c>
    </row>
    <row r="950" spans="1:25">
      <c r="A950" s="876"/>
      <c r="B950" s="1202">
        <v>700</v>
      </c>
      <c r="C950" s="880">
        <v>0.99796677045277438</v>
      </c>
      <c r="D950" s="880">
        <v>1.0050073250250884</v>
      </c>
      <c r="E950" s="880">
        <v>0.96610941091702174</v>
      </c>
      <c r="F950" s="880">
        <v>0.9908221805495856</v>
      </c>
      <c r="G950" s="880">
        <v>0.98154700181458732</v>
      </c>
      <c r="H950" s="880">
        <v>1.0066042395899737</v>
      </c>
      <c r="I950" s="880">
        <v>0.99271303068864569</v>
      </c>
      <c r="K950">
        <v>1.0737961999316918</v>
      </c>
      <c r="L950">
        <v>0</v>
      </c>
      <c r="M950">
        <v>7.4542738601827724E-4</v>
      </c>
      <c r="N950">
        <v>6.6843757657735911E-2</v>
      </c>
      <c r="O950">
        <v>8.7820257190940072E-3</v>
      </c>
      <c r="P950">
        <v>1.2371002801272821E-2</v>
      </c>
      <c r="Q950">
        <v>2.8536986397328943E-3</v>
      </c>
      <c r="R950">
        <v>7.3291157989440001E-4</v>
      </c>
      <c r="S950">
        <v>8.5048959853150807E-2</v>
      </c>
      <c r="T950">
        <v>0.81859239461749222</v>
      </c>
      <c r="U950">
        <v>1.6945082107573648E-2</v>
      </c>
      <c r="V950">
        <v>1.0413332856419317E-2</v>
      </c>
      <c r="W950">
        <v>4.0904240575948415E-2</v>
      </c>
      <c r="X950">
        <v>9.0594771931606158E-3</v>
      </c>
      <c r="Y950">
        <v>1.9947437162351777E-3</v>
      </c>
    </row>
    <row r="951" spans="1:25">
      <c r="A951" s="876"/>
      <c r="B951" s="1202">
        <v>701</v>
      </c>
      <c r="C951" s="880">
        <v>0.97360422965963789</v>
      </c>
      <c r="D951" s="880">
        <v>0.97974332001127473</v>
      </c>
      <c r="E951" s="880">
        <v>1.0084598997887533</v>
      </c>
      <c r="F951" s="880">
        <v>0.98396328831805469</v>
      </c>
      <c r="G951" s="880">
        <v>0.99726796170108745</v>
      </c>
      <c r="H951" s="880">
        <v>1.0425161413500312</v>
      </c>
      <c r="I951" s="880">
        <v>1.0073061202977678</v>
      </c>
      <c r="K951">
        <v>1.0908815636347902</v>
      </c>
      <c r="L951">
        <v>0</v>
      </c>
      <c r="M951">
        <v>7.3382679765795177E-4</v>
      </c>
      <c r="N951">
        <v>7.5126516913441049E-2</v>
      </c>
      <c r="O951">
        <v>9.1249182376623942E-3</v>
      </c>
      <c r="P951">
        <v>1.2812727537235422E-2</v>
      </c>
      <c r="Q951">
        <v>3.089107630409503E-3</v>
      </c>
      <c r="R951">
        <v>7.2195248733951563E-4</v>
      </c>
      <c r="S951">
        <v>9.0931837698391083E-2</v>
      </c>
      <c r="T951">
        <v>0.81515496237073859</v>
      </c>
      <c r="U951">
        <v>1.7369099630826539E-2</v>
      </c>
      <c r="V951">
        <v>1.0415770399216975E-2</v>
      </c>
      <c r="W951">
        <v>4.4648070224827155E-2</v>
      </c>
      <c r="X951">
        <v>1.0255510623394361E-2</v>
      </c>
      <c r="Y951">
        <v>1.964916678964672E-3</v>
      </c>
    </row>
    <row r="952" spans="1:25">
      <c r="A952" s="876"/>
      <c r="B952" s="1202">
        <v>702</v>
      </c>
      <c r="C952" s="880">
        <v>1.0099345921614284</v>
      </c>
      <c r="D952" s="880">
        <v>1.0405809104558412</v>
      </c>
      <c r="E952" s="880">
        <v>1.0174897602996353</v>
      </c>
      <c r="F952" s="880">
        <v>0.9848303851254272</v>
      </c>
      <c r="G952" s="880">
        <v>0.98241089228088874</v>
      </c>
      <c r="H952" s="880">
        <v>0.96089367067744058</v>
      </c>
      <c r="I952" s="880">
        <v>0.9951270183837756</v>
      </c>
      <c r="K952">
        <v>1.0620224799432127</v>
      </c>
      <c r="L952">
        <v>0</v>
      </c>
      <c r="M952">
        <v>6.1957479367106346E-4</v>
      </c>
      <c r="N952">
        <v>6.513896510072914E-2</v>
      </c>
      <c r="O952">
        <v>8.5188075564921733E-3</v>
      </c>
      <c r="P952">
        <v>1.2745517588442329E-2</v>
      </c>
      <c r="Q952">
        <v>2.9230934478566054E-3</v>
      </c>
      <c r="R952">
        <v>6.0864959918770071E-4</v>
      </c>
      <c r="S952">
        <v>8.1225033285732065E-2</v>
      </c>
      <c r="T952">
        <v>0.81442991895737016</v>
      </c>
      <c r="U952">
        <v>1.6744281260592141E-2</v>
      </c>
      <c r="V952">
        <v>1.0412178515781297E-2</v>
      </c>
      <c r="W952">
        <v>3.8476105921776541E-2</v>
      </c>
      <c r="X952">
        <v>9.7629599352210203E-3</v>
      </c>
      <c r="Y952">
        <v>1.6565435677024726E-3</v>
      </c>
    </row>
    <row r="953" spans="1:25">
      <c r="A953" s="876"/>
      <c r="B953" s="1202">
        <v>703</v>
      </c>
      <c r="C953" s="880">
        <v>1.0071151269136567</v>
      </c>
      <c r="D953" s="880">
        <v>0.97858058316865804</v>
      </c>
      <c r="E953" s="880">
        <v>0.99704190294883921</v>
      </c>
      <c r="F953" s="880">
        <v>0.99764526435074252</v>
      </c>
      <c r="G953" s="880">
        <v>1.0170527500077693</v>
      </c>
      <c r="H953" s="880">
        <v>1.0019737201320629</v>
      </c>
      <c r="I953" s="880">
        <v>0.97857486298360929</v>
      </c>
      <c r="K953">
        <v>1.0735723856912922</v>
      </c>
      <c r="L953">
        <v>0</v>
      </c>
      <c r="M953">
        <v>6.9886392036199851E-4</v>
      </c>
      <c r="N953">
        <v>6.9004861278551197E-2</v>
      </c>
      <c r="O953">
        <v>8.8268934259942561E-3</v>
      </c>
      <c r="P953">
        <v>1.2614752869869026E-2</v>
      </c>
      <c r="Q953">
        <v>2.9539026813465517E-3</v>
      </c>
      <c r="R953">
        <v>6.8709881857107271E-4</v>
      </c>
      <c r="S953">
        <v>8.4024713303127413E-2</v>
      </c>
      <c r="T953">
        <v>0.81607573061164673</v>
      </c>
      <c r="U953">
        <v>1.6791157648257792E-2</v>
      </c>
      <c r="V953">
        <v>1.0412447993326133E-2</v>
      </c>
      <c r="W953">
        <v>4.133097258500313E-2</v>
      </c>
      <c r="X953">
        <v>9.6786619138752462E-3</v>
      </c>
      <c r="Y953">
        <v>1.8700564820857922E-3</v>
      </c>
    </row>
    <row r="954" spans="1:25">
      <c r="A954" s="876"/>
      <c r="B954" s="1202">
        <v>704</v>
      </c>
      <c r="C954" s="880">
        <v>0.99270603904662646</v>
      </c>
      <c r="D954" s="880">
        <v>1.0145373027375924</v>
      </c>
      <c r="E954" s="880">
        <v>0.95700453698228372</v>
      </c>
      <c r="F954" s="880">
        <v>1.0107298378104297</v>
      </c>
      <c r="G954" s="880">
        <v>0.97640685049888076</v>
      </c>
      <c r="H954" s="880">
        <v>1.002348869619514</v>
      </c>
      <c r="I954" s="880">
        <v>0.99961840824334991</v>
      </c>
      <c r="K954">
        <v>1.0737054851646111</v>
      </c>
      <c r="L954">
        <v>0</v>
      </c>
      <c r="M954">
        <v>7.5676111853709052E-4</v>
      </c>
      <c r="N954">
        <v>6.5953920626762821E-2</v>
      </c>
      <c r="O954">
        <v>8.7842844633019123E-3</v>
      </c>
      <c r="P954">
        <v>1.2301711840346776E-2</v>
      </c>
      <c r="Q954">
        <v>2.8298541358037876E-3</v>
      </c>
      <c r="R954">
        <v>7.4399226675049578E-4</v>
      </c>
      <c r="S954">
        <v>8.5538952179427752E-2</v>
      </c>
      <c r="T954">
        <v>0.81933932252555475</v>
      </c>
      <c r="U954">
        <v>1.7034880620040323E-2</v>
      </c>
      <c r="V954">
        <v>1.0413849079700901E-2</v>
      </c>
      <c r="W954">
        <v>4.0618860034589602E-2</v>
      </c>
      <c r="X954">
        <v>8.8777168177589048E-3</v>
      </c>
      <c r="Y954">
        <v>2.0249016931100298E-3</v>
      </c>
    </row>
    <row r="955" spans="1:25">
      <c r="A955" s="876"/>
      <c r="B955" s="1202">
        <v>705</v>
      </c>
      <c r="C955" s="880">
        <v>0.97534103036326136</v>
      </c>
      <c r="D955" s="880">
        <v>1.0172854835457259</v>
      </c>
      <c r="E955" s="880">
        <v>0.9673306101728506</v>
      </c>
      <c r="F955" s="880">
        <v>0.99196942469674909</v>
      </c>
      <c r="G955" s="880">
        <v>0.99141321128877125</v>
      </c>
      <c r="H955" s="880">
        <v>0.96955712166055508</v>
      </c>
      <c r="I955" s="880">
        <v>0.97353462739169083</v>
      </c>
      <c r="K955">
        <v>1.0705032035423874</v>
      </c>
      <c r="L955">
        <v>0</v>
      </c>
      <c r="M955">
        <v>7.2805785726680566E-4</v>
      </c>
      <c r="N955">
        <v>6.5491536133612305E-2</v>
      </c>
      <c r="O955">
        <v>8.9278113508374623E-3</v>
      </c>
      <c r="P955">
        <v>1.2366167099733621E-2</v>
      </c>
      <c r="Q955">
        <v>2.9073242951798911E-3</v>
      </c>
      <c r="R955">
        <v>7.15355330768801E-4</v>
      </c>
      <c r="S955">
        <v>8.3516483738591232E-2</v>
      </c>
      <c r="T955">
        <v>0.81849242468682082</v>
      </c>
      <c r="U955">
        <v>1.7338170280454715E-2</v>
      </c>
      <c r="V955">
        <v>1.0415592596152008E-2</v>
      </c>
      <c r="W955">
        <v>4.0042500506830746E-2</v>
      </c>
      <c r="X955">
        <v>9.0709339871406988E-3</v>
      </c>
      <c r="Y955">
        <v>1.9469613935312658E-3</v>
      </c>
    </row>
    <row r="956" spans="1:25">
      <c r="A956" s="876"/>
      <c r="B956" s="1202">
        <v>706</v>
      </c>
      <c r="C956" s="880">
        <v>0.97746156261924555</v>
      </c>
      <c r="D956" s="880">
        <v>0.96831233181209597</v>
      </c>
      <c r="E956" s="880">
        <v>0.99776975111736499</v>
      </c>
      <c r="F956" s="880">
        <v>0.98139804768138439</v>
      </c>
      <c r="G956" s="880">
        <v>0.99936901957415403</v>
      </c>
      <c r="H956" s="880">
        <v>0.96268169603724196</v>
      </c>
      <c r="I956" s="880">
        <v>0.97793114933537395</v>
      </c>
      <c r="K956">
        <v>1.07558376337814</v>
      </c>
      <c r="L956">
        <v>0</v>
      </c>
      <c r="M956">
        <v>6.9466663429646738E-4</v>
      </c>
      <c r="N956">
        <v>6.8698865271292958E-2</v>
      </c>
      <c r="O956">
        <v>9.1461132420929993E-3</v>
      </c>
      <c r="P956">
        <v>1.264851114996627E-2</v>
      </c>
      <c r="Q956">
        <v>3.0605318331689223E-3</v>
      </c>
      <c r="R956">
        <v>6.8250441599385775E-4</v>
      </c>
      <c r="S956">
        <v>8.5544206686152105E-2</v>
      </c>
      <c r="T956">
        <v>0.81601690338718258</v>
      </c>
      <c r="U956">
        <v>1.7300556372404019E-2</v>
      </c>
      <c r="V956">
        <v>1.0415376365676535E-2</v>
      </c>
      <c r="W956">
        <v>4.1127169444618056E-2</v>
      </c>
      <c r="X956">
        <v>9.7801398110719563E-3</v>
      </c>
      <c r="Y956">
        <v>1.8575520328150152E-3</v>
      </c>
    </row>
    <row r="957" spans="1:25">
      <c r="A957" s="876"/>
      <c r="B957" s="1202">
        <v>707</v>
      </c>
      <c r="C957" s="880">
        <v>1.0210987176356445</v>
      </c>
      <c r="D957" s="880">
        <v>1.0360726624087306</v>
      </c>
      <c r="E957" s="880">
        <v>0.98714572388743083</v>
      </c>
      <c r="F957" s="880">
        <v>0.97858057086143446</v>
      </c>
      <c r="G957" s="880">
        <v>1.0228554442293969</v>
      </c>
      <c r="H957" s="880">
        <v>0.98511904133454054</v>
      </c>
      <c r="I957" s="880">
        <v>0.98681822586487977</v>
      </c>
      <c r="K957">
        <v>1.0622235748947544</v>
      </c>
      <c r="L957">
        <v>0</v>
      </c>
      <c r="M957">
        <v>6.7126571838105537E-4</v>
      </c>
      <c r="N957">
        <v>6.4245639059553106E-2</v>
      </c>
      <c r="O957">
        <v>8.4451289462170349E-3</v>
      </c>
      <c r="P957">
        <v>1.248340881289664E-2</v>
      </c>
      <c r="Q957">
        <v>2.8099711422151018E-3</v>
      </c>
      <c r="R957">
        <v>6.5972373860193122E-4</v>
      </c>
      <c r="S957">
        <v>8.0659213056411688E-2</v>
      </c>
      <c r="T957">
        <v>0.81687735828207331</v>
      </c>
      <c r="U957">
        <v>1.6561208601954723E-2</v>
      </c>
      <c r="V957">
        <v>1.0411126088897892E-2</v>
      </c>
      <c r="W957">
        <v>3.8743305049046516E-2</v>
      </c>
      <c r="X957">
        <v>9.2032072966648972E-3</v>
      </c>
      <c r="Y957">
        <v>1.795550538602475E-3</v>
      </c>
    </row>
    <row r="958" spans="1:25">
      <c r="A958" s="876"/>
      <c r="B958" s="1202">
        <v>708</v>
      </c>
      <c r="C958" s="880">
        <v>1.0037275054644699</v>
      </c>
      <c r="D958" s="880">
        <v>1.0003368699677682</v>
      </c>
      <c r="E958" s="880">
        <v>1.01869567872962</v>
      </c>
      <c r="F958" s="880">
        <v>0.96708593104757201</v>
      </c>
      <c r="G958" s="880">
        <v>0.99945775033328688</v>
      </c>
      <c r="H958" s="880">
        <v>0.96419414178451768</v>
      </c>
      <c r="I958" s="880">
        <v>1.0289562146830726</v>
      </c>
      <c r="K958">
        <v>1.0710647596351801</v>
      </c>
      <c r="L958">
        <v>0</v>
      </c>
      <c r="M958">
        <v>6.3716235762816562E-4</v>
      </c>
      <c r="N958">
        <v>6.7247069099528614E-2</v>
      </c>
      <c r="O958">
        <v>8.7533331813464104E-3</v>
      </c>
      <c r="P958">
        <v>1.2827114491143331E-2</v>
      </c>
      <c r="Q958">
        <v>2.9984043155823104E-3</v>
      </c>
      <c r="R958">
        <v>6.2599759511365442E-4</v>
      </c>
      <c r="S958">
        <v>8.6297486763954531E-2</v>
      </c>
      <c r="T958">
        <v>0.81433330121533543</v>
      </c>
      <c r="U958">
        <v>1.6847828493179583E-2</v>
      </c>
      <c r="V958">
        <v>1.0412773776111751E-2</v>
      </c>
      <c r="W958">
        <v>3.9688963044250833E-2</v>
      </c>
      <c r="X958">
        <v>9.9658909234143101E-3</v>
      </c>
      <c r="Y958">
        <v>1.7037590938475985E-3</v>
      </c>
    </row>
    <row r="959" spans="1:25">
      <c r="A959" s="876"/>
      <c r="B959" s="1202">
        <v>709</v>
      </c>
      <c r="C959" s="880">
        <v>0.9718960277807458</v>
      </c>
      <c r="D959" s="880">
        <v>0.99735741514916332</v>
      </c>
      <c r="E959" s="880">
        <v>1.0285980399134578</v>
      </c>
      <c r="F959" s="880">
        <v>1.0463803617333789</v>
      </c>
      <c r="G959" s="880">
        <v>0.98660701815569918</v>
      </c>
      <c r="H959" s="880">
        <v>0.99714094639420692</v>
      </c>
      <c r="I959" s="880">
        <v>1.0036335139559573</v>
      </c>
      <c r="K959">
        <v>1.0823281069586752</v>
      </c>
      <c r="L959">
        <v>0</v>
      </c>
      <c r="M959">
        <v>6.6747988850124785E-4</v>
      </c>
      <c r="N959">
        <v>7.2690054409513968E-2</v>
      </c>
      <c r="O959">
        <v>9.0544146188667012E-3</v>
      </c>
      <c r="P959">
        <v>1.2944653399136847E-2</v>
      </c>
      <c r="Q959">
        <v>3.1314616808652729E-3</v>
      </c>
      <c r="R959">
        <v>6.5617281199143655E-4</v>
      </c>
      <c r="S959">
        <v>8.8277861191328147E-2</v>
      </c>
      <c r="T959">
        <v>0.8135418031762105</v>
      </c>
      <c r="U959">
        <v>1.7399627514237872E-2</v>
      </c>
      <c r="V959">
        <v>1.0415945894375193E-2</v>
      </c>
      <c r="W959">
        <v>4.2616404062914212E-2</v>
      </c>
      <c r="X959">
        <v>1.0481302000805747E-2</v>
      </c>
      <c r="Y959">
        <v>1.7858860869313512E-3</v>
      </c>
    </row>
    <row r="960" spans="1:25">
      <c r="A960" s="876"/>
      <c r="B960" s="1202">
        <v>710</v>
      </c>
      <c r="C960" s="880">
        <v>0.99599561685613824</v>
      </c>
      <c r="D960" s="880">
        <v>0.98427964927371636</v>
      </c>
      <c r="E960" s="880">
        <v>0.95600981006925068</v>
      </c>
      <c r="F960" s="880">
        <v>1.0233601426598793</v>
      </c>
      <c r="G960" s="880">
        <v>1.000300362113139</v>
      </c>
      <c r="H960" s="880">
        <v>1.0181805047073311</v>
      </c>
      <c r="I960" s="880">
        <v>1.0279515251309581</v>
      </c>
      <c r="K960">
        <v>1.0811538280655169</v>
      </c>
      <c r="L960">
        <v>0</v>
      </c>
      <c r="M960">
        <v>7.8023868740696245E-4</v>
      </c>
      <c r="N960">
        <v>6.7809900370251391E-2</v>
      </c>
      <c r="O960">
        <v>8.8977932935854747E-3</v>
      </c>
      <c r="P960">
        <v>1.2346068631390412E-2</v>
      </c>
      <c r="Q960">
        <v>2.8570157891567014E-3</v>
      </c>
      <c r="R960">
        <v>7.673071906964035E-4</v>
      </c>
      <c r="S960">
        <v>8.9594584598874288E-2</v>
      </c>
      <c r="T960">
        <v>0.81942109506148819</v>
      </c>
      <c r="U960">
        <v>1.697861775670341E-2</v>
      </c>
      <c r="V960">
        <v>1.0413525642272551E-2</v>
      </c>
      <c r="W960">
        <v>4.179121378457399E-2</v>
      </c>
      <c r="X960">
        <v>8.9685874036014874E-3</v>
      </c>
      <c r="Y960">
        <v>2.0883572303281774E-3</v>
      </c>
    </row>
    <row r="961" spans="1:25">
      <c r="A961" s="876"/>
      <c r="B961" s="1202">
        <v>711</v>
      </c>
      <c r="C961" s="880">
        <v>0.99777930239337409</v>
      </c>
      <c r="D961" s="880">
        <v>1.0027596376384953</v>
      </c>
      <c r="E961" s="880">
        <v>1.0183435417872606</v>
      </c>
      <c r="F961" s="880">
        <v>1.0180171307972552</v>
      </c>
      <c r="G961" s="880">
        <v>1.0270263673457463</v>
      </c>
      <c r="H961" s="880">
        <v>0.99356509453889497</v>
      </c>
      <c r="I961" s="880">
        <v>1.0102383804215418</v>
      </c>
      <c r="K961">
        <v>1.0751134303974823</v>
      </c>
      <c r="L961">
        <v>0</v>
      </c>
      <c r="M961">
        <v>6.6012689986212755E-4</v>
      </c>
      <c r="N961">
        <v>6.963107897611967E-2</v>
      </c>
      <c r="O961">
        <v>8.7941656679374723E-3</v>
      </c>
      <c r="P961">
        <v>1.2824123666494516E-2</v>
      </c>
      <c r="Q961">
        <v>3.0118797805421499E-3</v>
      </c>
      <c r="R961">
        <v>6.4889968427163977E-4</v>
      </c>
      <c r="S961">
        <v>8.6191915893632093E-2</v>
      </c>
      <c r="T961">
        <v>0.81436150917437189</v>
      </c>
      <c r="U961">
        <v>1.6948265839338252E-2</v>
      </c>
      <c r="V961">
        <v>1.0413351158687519E-2</v>
      </c>
      <c r="W961">
        <v>4.1105772762111796E-2</v>
      </c>
      <c r="X961">
        <v>1.0076503662973194E-2</v>
      </c>
      <c r="Y961">
        <v>1.7660910308639726E-3</v>
      </c>
    </row>
    <row r="962" spans="1:25">
      <c r="A962" s="876"/>
      <c r="B962" s="1202">
        <v>712</v>
      </c>
      <c r="C962" s="880">
        <v>0.98915852026710016</v>
      </c>
      <c r="D962" s="880">
        <v>0.98696202074404238</v>
      </c>
      <c r="E962" s="880">
        <v>1.0153362220665174</v>
      </c>
      <c r="F962" s="880">
        <v>0.9974337478644939</v>
      </c>
      <c r="G962" s="880">
        <v>0.99932254967070888</v>
      </c>
      <c r="H962" s="880">
        <v>1.0210742614277122</v>
      </c>
      <c r="I962" s="880">
        <v>1.0124420793705049</v>
      </c>
      <c r="K962">
        <v>1.0834106181179424</v>
      </c>
      <c r="L962">
        <v>0</v>
      </c>
      <c r="M962">
        <v>6.9452090648486689E-4</v>
      </c>
      <c r="N962">
        <v>7.2612887097728479E-2</v>
      </c>
      <c r="O962">
        <v>8.9462840666080616E-3</v>
      </c>
      <c r="P962">
        <v>1.2837693586792681E-2</v>
      </c>
      <c r="Q962">
        <v>3.0511864486461046E-3</v>
      </c>
      <c r="R962">
        <v>6.8304039019775431E-4</v>
      </c>
      <c r="S962">
        <v>8.8838756484578812E-2</v>
      </c>
      <c r="T962">
        <v>0.81460258292298704</v>
      </c>
      <c r="U962">
        <v>1.7095974527304322E-2</v>
      </c>
      <c r="V962">
        <v>1.0414200289274722E-2</v>
      </c>
      <c r="W962">
        <v>4.2953309987459137E-2</v>
      </c>
      <c r="X962">
        <v>1.0210212444935314E-2</v>
      </c>
      <c r="Y962">
        <v>1.8590107779141729E-3</v>
      </c>
    </row>
    <row r="963" spans="1:25">
      <c r="A963" s="876"/>
      <c r="B963" s="1202">
        <v>713</v>
      </c>
      <c r="C963" s="880">
        <v>0.96625403948905897</v>
      </c>
      <c r="D963" s="880">
        <v>1.0133235327815737</v>
      </c>
      <c r="E963" s="880">
        <v>0.97299113164598361</v>
      </c>
      <c r="F963" s="880">
        <v>0.99469378387768081</v>
      </c>
      <c r="G963" s="880">
        <v>1.0296494058512247</v>
      </c>
      <c r="H963" s="880">
        <v>1.0229319946168085</v>
      </c>
      <c r="I963" s="880">
        <v>1.0021687244502706</v>
      </c>
      <c r="K963">
        <v>1.0839882906871599</v>
      </c>
      <c r="L963">
        <v>0</v>
      </c>
      <c r="M963">
        <v>7.6780692119870228E-4</v>
      </c>
      <c r="N963">
        <v>7.0362404900882455E-2</v>
      </c>
      <c r="O963">
        <v>9.0305168748904558E-3</v>
      </c>
      <c r="P963">
        <v>1.2488204911738205E-2</v>
      </c>
      <c r="Q963">
        <v>2.956975407036746E-3</v>
      </c>
      <c r="R963">
        <v>7.5511348353980256E-4</v>
      </c>
      <c r="S963">
        <v>8.8915267973518883E-2</v>
      </c>
      <c r="T963">
        <v>0.81802969969501504</v>
      </c>
      <c r="U963">
        <v>1.7501224496711505E-2</v>
      </c>
      <c r="V963">
        <v>1.0416529943333822E-2</v>
      </c>
      <c r="W963">
        <v>4.2850809586907533E-2</v>
      </c>
      <c r="X963">
        <v>9.3941803556820795E-3</v>
      </c>
      <c r="Y963">
        <v>2.0551699791023937E-3</v>
      </c>
    </row>
    <row r="964" spans="1:25">
      <c r="A964" s="876"/>
      <c r="B964" s="1202">
        <v>714</v>
      </c>
      <c r="C964" s="880">
        <v>1.0185952128564597</v>
      </c>
      <c r="D964" s="880">
        <v>0.99278559751121342</v>
      </c>
      <c r="E964" s="880">
        <v>0.98363919874663652</v>
      </c>
      <c r="F964" s="880">
        <v>1.0225120056676757</v>
      </c>
      <c r="G964" s="880">
        <v>0.98484052814013512</v>
      </c>
      <c r="H964" s="880">
        <v>0.98311625309734363</v>
      </c>
      <c r="I964" s="880">
        <v>0.97998289942852157</v>
      </c>
      <c r="K964">
        <v>1.0663365896817942</v>
      </c>
      <c r="L964">
        <v>0</v>
      </c>
      <c r="M964">
        <v>6.9202840013173473E-4</v>
      </c>
      <c r="N964">
        <v>6.5514641415194877E-2</v>
      </c>
      <c r="O964">
        <v>8.6605029190019948E-3</v>
      </c>
      <c r="P964">
        <v>1.2472116057608897E-2</v>
      </c>
      <c r="Q964">
        <v>2.8623288374588236E-3</v>
      </c>
      <c r="R964">
        <v>6.8014225830170534E-4</v>
      </c>
      <c r="S964">
        <v>8.1949958235588372E-2</v>
      </c>
      <c r="T964">
        <v>0.81716219666312873</v>
      </c>
      <c r="U964">
        <v>1.6601912764276295E-2</v>
      </c>
      <c r="V964">
        <v>1.0411360084268989E-2</v>
      </c>
      <c r="W964">
        <v>3.9604459609967529E-2</v>
      </c>
      <c r="X964">
        <v>9.2578762188664874E-3</v>
      </c>
      <c r="Y964">
        <v>1.8511230182620502E-3</v>
      </c>
    </row>
    <row r="965" spans="1:25">
      <c r="A965" s="876"/>
      <c r="B965" s="1202">
        <v>715</v>
      </c>
      <c r="C965" s="880">
        <v>0.9625151086315612</v>
      </c>
      <c r="D965" s="880">
        <v>1.0133167906812039</v>
      </c>
      <c r="E965" s="880">
        <v>1.016748820763822</v>
      </c>
      <c r="F965" s="880">
        <v>0.98670349220080966</v>
      </c>
      <c r="G965" s="880">
        <v>0.96420394493309314</v>
      </c>
      <c r="H965" s="880">
        <v>0.96791695840868819</v>
      </c>
      <c r="I965" s="880">
        <v>1.036449711981863</v>
      </c>
      <c r="K965">
        <v>1.0806803686625319</v>
      </c>
      <c r="L965">
        <v>0</v>
      </c>
      <c r="M965">
        <v>6.6518222714150998E-4</v>
      </c>
      <c r="N965">
        <v>6.9784563451077211E-2</v>
      </c>
      <c r="O965">
        <v>9.0656284265984467E-3</v>
      </c>
      <c r="P965">
        <v>1.287502618733515E-2</v>
      </c>
      <c r="Q965">
        <v>3.102344339080622E-3</v>
      </c>
      <c r="R965">
        <v>6.5356034890144113E-4</v>
      </c>
      <c r="S965">
        <v>9.0211021835976277E-2</v>
      </c>
      <c r="T965">
        <v>0.81448930734175362</v>
      </c>
      <c r="U965">
        <v>1.7569208747273361E-2</v>
      </c>
      <c r="V965">
        <v>1.041692076331467E-2</v>
      </c>
      <c r="W965">
        <v>4.1240810549367478E-2</v>
      </c>
      <c r="X965">
        <v>1.0158383075395754E-2</v>
      </c>
      <c r="Y965">
        <v>1.7787758235986099E-3</v>
      </c>
    </row>
    <row r="966" spans="1:25">
      <c r="A966" s="876"/>
      <c r="B966" s="1202">
        <v>716</v>
      </c>
      <c r="C966" s="880">
        <v>0.95629120935733636</v>
      </c>
      <c r="D966" s="880">
        <v>0.96975936266644547</v>
      </c>
      <c r="E966" s="880">
        <v>1.0108106669598633</v>
      </c>
      <c r="F966" s="880">
        <v>1.010098723107423</v>
      </c>
      <c r="G966" s="880">
        <v>1.0155454949990734</v>
      </c>
      <c r="H966" s="880">
        <v>0.96124767823076629</v>
      </c>
      <c r="I966" s="880">
        <v>1.0291919389150557</v>
      </c>
      <c r="K966">
        <v>1.085439856296972</v>
      </c>
      <c r="L966">
        <v>0</v>
      </c>
      <c r="M966">
        <v>6.8921937278463761E-4</v>
      </c>
      <c r="N966">
        <v>7.0979457990420339E-2</v>
      </c>
      <c r="O966">
        <v>9.3411258713795419E-3</v>
      </c>
      <c r="P966">
        <v>1.2850073695778426E-2</v>
      </c>
      <c r="Q966">
        <v>3.1672920183042162E-3</v>
      </c>
      <c r="R966">
        <v>6.7713318008974998E-4</v>
      </c>
      <c r="S966">
        <v>9.1896586171550568E-2</v>
      </c>
      <c r="T966">
        <v>0.81496594260698596</v>
      </c>
      <c r="U966">
        <v>1.7683555699855233E-2</v>
      </c>
      <c r="V966">
        <v>1.0417578107823821E-2</v>
      </c>
      <c r="W966">
        <v>4.2116108513038632E-2</v>
      </c>
      <c r="X966">
        <v>1.0191288515218383E-2</v>
      </c>
      <c r="Y966">
        <v>1.8429332993114738E-3</v>
      </c>
    </row>
    <row r="967" spans="1:25">
      <c r="A967" s="876"/>
      <c r="B967" s="1202">
        <v>717</v>
      </c>
      <c r="C967" s="880">
        <v>0.9693416353674571</v>
      </c>
      <c r="D967" s="880">
        <v>0.99225519376776183</v>
      </c>
      <c r="E967" s="880">
        <v>0.99955082357055902</v>
      </c>
      <c r="F967" s="880">
        <v>0.99034855637091934</v>
      </c>
      <c r="G967" s="880">
        <v>0.99524215201306765</v>
      </c>
      <c r="H967" s="880">
        <v>0.98767987830725679</v>
      </c>
      <c r="I967" s="880">
        <v>1.0098614248922733</v>
      </c>
      <c r="K967">
        <v>1.0816502912965118</v>
      </c>
      <c r="L967">
        <v>0</v>
      </c>
      <c r="M967">
        <v>7.0672417474193115E-4</v>
      </c>
      <c r="N967">
        <v>7.0309169079454489E-2</v>
      </c>
      <c r="O967">
        <v>9.1031506370996777E-3</v>
      </c>
      <c r="P967">
        <v>1.2711639906756658E-2</v>
      </c>
      <c r="Q967">
        <v>3.0572385772987039E-3</v>
      </c>
      <c r="R967">
        <v>6.9464218367781317E-4</v>
      </c>
      <c r="S967">
        <v>8.8933789022976162E-2</v>
      </c>
      <c r="T967">
        <v>0.8158730267941402</v>
      </c>
      <c r="U967">
        <v>1.7445478713541386E-2</v>
      </c>
      <c r="V967">
        <v>1.0416209478435997E-2</v>
      </c>
      <c r="W967">
        <v>4.2039879210892563E-2</v>
      </c>
      <c r="X967">
        <v>9.8822048317433742E-3</v>
      </c>
      <c r="Y967">
        <v>1.8905870352367001E-3</v>
      </c>
    </row>
    <row r="968" spans="1:25">
      <c r="A968" s="876"/>
      <c r="B968" s="1202">
        <v>718</v>
      </c>
      <c r="C968" s="880">
        <v>1.0332140363404909</v>
      </c>
      <c r="D968" s="880">
        <v>0.99728462268345475</v>
      </c>
      <c r="E968" s="880">
        <v>1.0213317835418927</v>
      </c>
      <c r="F968" s="880">
        <v>1.003748856983846</v>
      </c>
      <c r="G968" s="880">
        <v>0.97518907205669059</v>
      </c>
      <c r="H968" s="880">
        <v>0.99197417633165863</v>
      </c>
      <c r="I968" s="880">
        <v>0.99127080639883758</v>
      </c>
      <c r="K968">
        <v>1.0658940742060492</v>
      </c>
      <c r="L968">
        <v>0</v>
      </c>
      <c r="M968">
        <v>6.3430671962627627E-4</v>
      </c>
      <c r="N968">
        <v>6.7530129784594176E-2</v>
      </c>
      <c r="O968">
        <v>8.5173951372921452E-3</v>
      </c>
      <c r="P968">
        <v>1.2780536984057702E-2</v>
      </c>
      <c r="Q968">
        <v>2.9245731370298529E-3</v>
      </c>
      <c r="R968">
        <v>6.2350568615379665E-4</v>
      </c>
      <c r="S968">
        <v>8.184147031740148E-2</v>
      </c>
      <c r="T968">
        <v>0.81412227008918026</v>
      </c>
      <c r="U968">
        <v>1.6367014259550328E-2</v>
      </c>
      <c r="V968">
        <v>1.0410009726967746E-2</v>
      </c>
      <c r="W968">
        <v>3.9785192719398024E-2</v>
      </c>
      <c r="X968">
        <v>9.9293061449336525E-3</v>
      </c>
      <c r="Y968">
        <v>1.6969769391164335E-3</v>
      </c>
    </row>
    <row r="969" spans="1:25">
      <c r="A969" s="876"/>
      <c r="B969" s="1202">
        <v>719</v>
      </c>
      <c r="C969" s="880">
        <v>1.0262550158935047</v>
      </c>
      <c r="D969" s="880">
        <v>1.0171306135226954</v>
      </c>
      <c r="E969" s="880">
        <v>0.99582100222126879</v>
      </c>
      <c r="F969" s="880">
        <v>0.97231741603060717</v>
      </c>
      <c r="G969" s="880">
        <v>1.0054129976492878</v>
      </c>
      <c r="H969" s="880">
        <v>0.9919874880604953</v>
      </c>
      <c r="I969" s="880">
        <v>0.99006332377518103</v>
      </c>
      <c r="K969">
        <v>1.0645357375782341</v>
      </c>
      <c r="L969">
        <v>0</v>
      </c>
      <c r="M969">
        <v>6.6688847720377999E-4</v>
      </c>
      <c r="N969">
        <v>6.5583411596335295E-2</v>
      </c>
      <c r="O969">
        <v>8.485577602795483E-3</v>
      </c>
      <c r="P969">
        <v>1.2565838189873172E-2</v>
      </c>
      <c r="Q969">
        <v>2.8443973729022107E-3</v>
      </c>
      <c r="R969">
        <v>6.5551639954345971E-4</v>
      </c>
      <c r="S969">
        <v>8.1493557796401689E-2</v>
      </c>
      <c r="T969">
        <v>0.81617444845669462</v>
      </c>
      <c r="U969">
        <v>1.6477998746957833E-2</v>
      </c>
      <c r="V969">
        <v>1.0410647741726793E-2</v>
      </c>
      <c r="W969">
        <v>3.9314581181197447E-2</v>
      </c>
      <c r="X969">
        <v>9.4125514223758304E-3</v>
      </c>
      <c r="Y969">
        <v>1.7840995486342632E-3</v>
      </c>
    </row>
    <row r="970" spans="1:25">
      <c r="A970" s="876"/>
      <c r="B970" s="1202">
        <v>720</v>
      </c>
      <c r="C970" s="880">
        <v>1.0471608381004296</v>
      </c>
      <c r="D970" s="880">
        <v>0.96730683327872624</v>
      </c>
      <c r="E970" s="880">
        <v>1.0100764275011906</v>
      </c>
      <c r="F970" s="880">
        <v>1.0026328381817058</v>
      </c>
      <c r="G970" s="880">
        <v>0.96678381598008545</v>
      </c>
      <c r="H970" s="880">
        <v>1.0019609503181228</v>
      </c>
      <c r="I970" s="880">
        <v>0.96588172233393921</v>
      </c>
      <c r="K970">
        <v>1.0652187073496295</v>
      </c>
      <c r="L970">
        <v>0</v>
      </c>
      <c r="M970">
        <v>6.5797468980115432E-4</v>
      </c>
      <c r="N970">
        <v>6.765647494951138E-2</v>
      </c>
      <c r="O970">
        <v>8.5420918750522337E-3</v>
      </c>
      <c r="P970">
        <v>1.2662209731893085E-2</v>
      </c>
      <c r="Q970">
        <v>2.8936843611113861E-3</v>
      </c>
      <c r="R970">
        <v>6.4690733438254602E-4</v>
      </c>
      <c r="S970">
        <v>8.0225972530565223E-2</v>
      </c>
      <c r="T970">
        <v>0.81502496090792698</v>
      </c>
      <c r="U970">
        <v>1.6149027208302216E-2</v>
      </c>
      <c r="V970">
        <v>1.0408756588270385E-2</v>
      </c>
      <c r="W970">
        <v>4.0164422673747736E-2</v>
      </c>
      <c r="X970">
        <v>9.741505367422831E-3</v>
      </c>
      <c r="Y970">
        <v>1.7606685112438237E-3</v>
      </c>
    </row>
    <row r="971" spans="1:25">
      <c r="A971" s="876"/>
      <c r="B971" s="1202">
        <v>721</v>
      </c>
      <c r="C971" s="880">
        <v>0.98431408508215124</v>
      </c>
      <c r="D971" s="880">
        <v>1.0086154155854781</v>
      </c>
      <c r="E971" s="880">
        <v>1.0149970966569744</v>
      </c>
      <c r="F971" s="880">
        <v>1.026306079767364</v>
      </c>
      <c r="G971" s="880">
        <v>1.023403600111368</v>
      </c>
      <c r="H971" s="880">
        <v>0.9876457291397025</v>
      </c>
      <c r="I971" s="880">
        <v>1.0436444596935013</v>
      </c>
      <c r="K971">
        <v>1.0795624395240468</v>
      </c>
      <c r="L971">
        <v>0</v>
      </c>
      <c r="M971">
        <v>6.6781619288465237E-4</v>
      </c>
      <c r="N971">
        <v>6.9705724134301261E-2</v>
      </c>
      <c r="O971">
        <v>8.8868460882342241E-3</v>
      </c>
      <c r="P971">
        <v>1.2848957608557461E-2</v>
      </c>
      <c r="Q971">
        <v>3.0348104889945091E-3</v>
      </c>
      <c r="R971">
        <v>6.5638525302742659E-4</v>
      </c>
      <c r="S971">
        <v>8.9775577025593731E-2</v>
      </c>
      <c r="T971">
        <v>0.81462978733930991</v>
      </c>
      <c r="U971">
        <v>1.7180114683151192E-2</v>
      </c>
      <c r="V971">
        <v>1.0414683984451535E-2</v>
      </c>
      <c r="W971">
        <v>4.1243080000078029E-2</v>
      </c>
      <c r="X971">
        <v>1.0067824829830445E-2</v>
      </c>
      <c r="Y971">
        <v>1.7864642814001473E-3</v>
      </c>
    </row>
    <row r="972" spans="1:25">
      <c r="A972" s="876"/>
      <c r="B972" s="1202">
        <v>722</v>
      </c>
      <c r="C972" s="880">
        <v>0.99943552762179677</v>
      </c>
      <c r="D972" s="880">
        <v>0.99656524306813798</v>
      </c>
      <c r="E972" s="880">
        <v>1.0382312855779983</v>
      </c>
      <c r="F972" s="880">
        <v>1.0317390188859685</v>
      </c>
      <c r="G972" s="880">
        <v>1.000821431713369</v>
      </c>
      <c r="H972" s="880">
        <v>1.0049968865764098</v>
      </c>
      <c r="I972" s="880">
        <v>1.0230914340780846</v>
      </c>
      <c r="K972">
        <v>1.0789665594894753</v>
      </c>
      <c r="L972">
        <v>0</v>
      </c>
      <c r="M972">
        <v>6.4126854081958634E-4</v>
      </c>
      <c r="N972">
        <v>7.1964677735902025E-2</v>
      </c>
      <c r="O972">
        <v>8.8086524928276209E-3</v>
      </c>
      <c r="P972">
        <v>1.301160587671079E-2</v>
      </c>
      <c r="Q972">
        <v>3.0753816962655264E-3</v>
      </c>
      <c r="R972">
        <v>6.3049102813645438E-4</v>
      </c>
      <c r="S972">
        <v>8.7832394914256456E-2</v>
      </c>
      <c r="T972">
        <v>0.81277502739413554</v>
      </c>
      <c r="U972">
        <v>1.6920179840106346E-2</v>
      </c>
      <c r="V972">
        <v>1.0413189701150063E-2</v>
      </c>
      <c r="W972">
        <v>4.1920288496622576E-2</v>
      </c>
      <c r="X972">
        <v>1.0539950116905261E-2</v>
      </c>
      <c r="Y972">
        <v>1.7159887372758624E-3</v>
      </c>
    </row>
    <row r="973" spans="1:25">
      <c r="A973" s="876"/>
      <c r="B973" s="1202">
        <v>723</v>
      </c>
      <c r="C973" s="880">
        <v>0.96645339481155157</v>
      </c>
      <c r="D973" s="880">
        <v>1.0077674980577667</v>
      </c>
      <c r="E973" s="880">
        <v>1.0332685759415288</v>
      </c>
      <c r="F973" s="880">
        <v>1.0225638201122937</v>
      </c>
      <c r="G973" s="880">
        <v>0.99012865501941705</v>
      </c>
      <c r="H973" s="880">
        <v>1.0256189396299036</v>
      </c>
      <c r="I973" s="880">
        <v>1.0072327387666482</v>
      </c>
      <c r="K973">
        <v>1.0875557647233234</v>
      </c>
      <c r="L973">
        <v>0</v>
      </c>
      <c r="M973">
        <v>6.7985509892064928E-4</v>
      </c>
      <c r="N973">
        <v>7.5153894174158006E-2</v>
      </c>
      <c r="O973">
        <v>9.0551379112430719E-3</v>
      </c>
      <c r="P973">
        <v>1.3004594462771557E-2</v>
      </c>
      <c r="Q973">
        <v>3.1486375529834001E-3</v>
      </c>
      <c r="R973">
        <v>6.6864963643227548E-4</v>
      </c>
      <c r="S973">
        <v>8.9690731159611264E-2</v>
      </c>
      <c r="T973">
        <v>0.81316964750130616</v>
      </c>
      <c r="U973">
        <v>1.7497614428939694E-2</v>
      </c>
      <c r="V973">
        <v>1.0416509190194576E-2</v>
      </c>
      <c r="W973">
        <v>4.3923295696548043E-2</v>
      </c>
      <c r="X973">
        <v>1.0687064217981074E-2</v>
      </c>
      <c r="Y973">
        <v>1.8198438900752429E-3</v>
      </c>
    </row>
    <row r="974" spans="1:25">
      <c r="A974" s="876"/>
      <c r="B974" s="1202">
        <v>724</v>
      </c>
      <c r="C974" s="880">
        <v>1.0144426035142378</v>
      </c>
      <c r="D974" s="880">
        <v>1.0020191918536066</v>
      </c>
      <c r="E974" s="880">
        <v>0.95933619816449178</v>
      </c>
      <c r="F974" s="880">
        <v>1.0048955166229399</v>
      </c>
      <c r="G974" s="880">
        <v>0.99099667225360766</v>
      </c>
      <c r="H974" s="880">
        <v>1.0298642048369253</v>
      </c>
      <c r="I974" s="880">
        <v>0.99515648332581097</v>
      </c>
      <c r="K974">
        <v>1.0738335678275939</v>
      </c>
      <c r="L974">
        <v>0</v>
      </c>
      <c r="M974">
        <v>7.6218613010583071E-4</v>
      </c>
      <c r="N974">
        <v>6.6943546609317395E-2</v>
      </c>
      <c r="O974">
        <v>8.6531192638939439E-3</v>
      </c>
      <c r="P974">
        <v>1.2306990183816431E-2</v>
      </c>
      <c r="Q974">
        <v>2.79171382211387E-3</v>
      </c>
      <c r="R974">
        <v>7.4968070373513903E-4</v>
      </c>
      <c r="S974">
        <v>8.4813021012155987E-2</v>
      </c>
      <c r="T974">
        <v>0.81914777639206737</v>
      </c>
      <c r="U974">
        <v>1.6669872506705166E-2</v>
      </c>
      <c r="V974">
        <v>1.0411750763360312E-2</v>
      </c>
      <c r="W974">
        <v>4.1160656536686255E-2</v>
      </c>
      <c r="X974">
        <v>8.9072424204571787E-3</v>
      </c>
      <c r="Y974">
        <v>2.04038374338948E-3</v>
      </c>
    </row>
    <row r="975" spans="1:25">
      <c r="A975" s="876"/>
      <c r="B975" s="1202">
        <v>725</v>
      </c>
      <c r="C975" s="880">
        <v>1.0064433771520753</v>
      </c>
      <c r="D975" s="880">
        <v>1.0084368306542388</v>
      </c>
      <c r="E975" s="880">
        <v>1.0031186324790469</v>
      </c>
      <c r="F975" s="880">
        <v>1.0358559947227433</v>
      </c>
      <c r="G975" s="880">
        <v>0.98003069706685542</v>
      </c>
      <c r="H975" s="880">
        <v>1.0126417056233354</v>
      </c>
      <c r="I975" s="880">
        <v>1.0077307399718287</v>
      </c>
      <c r="K975">
        <v>1.0747085751364143</v>
      </c>
      <c r="L975">
        <v>0</v>
      </c>
      <c r="M975">
        <v>6.8671400180012575E-4</v>
      </c>
      <c r="N975">
        <v>6.9109135014876893E-2</v>
      </c>
      <c r="O975">
        <v>8.6922656094150091E-3</v>
      </c>
      <c r="P975">
        <v>1.2688201878689716E-2</v>
      </c>
      <c r="Q975">
        <v>2.9332670175535465E-3</v>
      </c>
      <c r="R975">
        <v>6.7524988370885625E-4</v>
      </c>
      <c r="S975">
        <v>8.5678545021228791E-2</v>
      </c>
      <c r="T975">
        <v>0.81558514027963036</v>
      </c>
      <c r="U975">
        <v>1.6802364891907052E-2</v>
      </c>
      <c r="V975">
        <v>1.0412512420229621E-2</v>
      </c>
      <c r="W975">
        <v>4.122168317070736E-2</v>
      </c>
      <c r="X975">
        <v>9.7591163628741803E-3</v>
      </c>
      <c r="Y975">
        <v>1.8378075873911664E-3</v>
      </c>
    </row>
    <row r="976" spans="1:25">
      <c r="A976" s="876"/>
      <c r="B976" s="1202">
        <v>726</v>
      </c>
      <c r="C976" s="880">
        <v>1.0050718315667861</v>
      </c>
      <c r="D976" s="880">
        <v>0.95220655534045562</v>
      </c>
      <c r="E976" s="880">
        <v>1.0050184425258086</v>
      </c>
      <c r="F976" s="880">
        <v>0.98266279070477169</v>
      </c>
      <c r="G976" s="880">
        <v>0.99829846703302905</v>
      </c>
      <c r="H976" s="880">
        <v>1.0283827653771873</v>
      </c>
      <c r="I976" s="880">
        <v>1.0045527513806534</v>
      </c>
      <c r="K976">
        <v>1.0838222709740171</v>
      </c>
      <c r="L976">
        <v>0</v>
      </c>
      <c r="M976">
        <v>7.1715052337992984E-4</v>
      </c>
      <c r="N976">
        <v>7.262391151072084E-2</v>
      </c>
      <c r="O976">
        <v>8.9750886142550401E-3</v>
      </c>
      <c r="P976">
        <v>1.2744235098248912E-2</v>
      </c>
      <c r="Q976">
        <v>3.0213937732959987E-3</v>
      </c>
      <c r="R976">
        <v>7.0541154645221537E-4</v>
      </c>
      <c r="S976">
        <v>8.8588501405784503E-2</v>
      </c>
      <c r="T976">
        <v>0.81543202115201896</v>
      </c>
      <c r="U976">
        <v>1.6825293809687929E-2</v>
      </c>
      <c r="V976">
        <v>1.0412644231334868E-2</v>
      </c>
      <c r="W976">
        <v>4.3262035469034003E-2</v>
      </c>
      <c r="X976">
        <v>1.0028987195974651E-2</v>
      </c>
      <c r="Y976">
        <v>1.9198976905891384E-3</v>
      </c>
    </row>
    <row r="977" spans="1:25">
      <c r="A977" s="876"/>
      <c r="B977" s="1202">
        <v>727</v>
      </c>
      <c r="C977" s="880">
        <v>0.98497722068775606</v>
      </c>
      <c r="D977" s="880">
        <v>0.98864410610051146</v>
      </c>
      <c r="E977" s="880">
        <v>0.96702670700854398</v>
      </c>
      <c r="F977" s="880">
        <v>0.98009591576664956</v>
      </c>
      <c r="G977" s="880">
        <v>0.96545819459852644</v>
      </c>
      <c r="H977" s="880">
        <v>1.0306902878882753</v>
      </c>
      <c r="I977" s="880">
        <v>1.0319632488323733</v>
      </c>
      <c r="K977">
        <v>1.0859055795806938</v>
      </c>
      <c r="L977">
        <v>0</v>
      </c>
      <c r="M977">
        <v>7.7861739316664497E-4</v>
      </c>
      <c r="N977">
        <v>7.0049347664911873E-2</v>
      </c>
      <c r="O977">
        <v>8.9760974383874606E-3</v>
      </c>
      <c r="P977">
        <v>1.2463899504813103E-2</v>
      </c>
      <c r="Q977">
        <v>2.9159205512163211E-3</v>
      </c>
      <c r="R977">
        <v>7.6586522783323656E-4</v>
      </c>
      <c r="S977">
        <v>9.1221235594677139E-2</v>
      </c>
      <c r="T977">
        <v>0.81851729813638452</v>
      </c>
      <c r="U977">
        <v>1.7168548176316821E-2</v>
      </c>
      <c r="V977">
        <v>1.0414617492257503E-2</v>
      </c>
      <c r="W977">
        <v>4.2838328765249942E-2</v>
      </c>
      <c r="X977">
        <v>9.2686057390537913E-3</v>
      </c>
      <c r="Y977">
        <v>2.0844326827575668E-3</v>
      </c>
    </row>
    <row r="978" spans="1:25">
      <c r="A978" s="876"/>
      <c r="B978" s="1202">
        <v>728</v>
      </c>
      <c r="C978" s="880">
        <v>1.0124256299772125</v>
      </c>
      <c r="D978" s="880">
        <v>0.97773861674986517</v>
      </c>
      <c r="E978" s="880">
        <v>0.98861706481100875</v>
      </c>
      <c r="F978" s="880">
        <v>0.9903923243988827</v>
      </c>
      <c r="G978" s="880">
        <v>1.0043426490074641</v>
      </c>
      <c r="H978" s="880">
        <v>1.0274992632342319</v>
      </c>
      <c r="I978" s="880">
        <v>1.0145978856847588</v>
      </c>
      <c r="K978">
        <v>1.0792310373437728</v>
      </c>
      <c r="L978">
        <v>0</v>
      </c>
      <c r="M978">
        <v>7.2598861172632162E-4</v>
      </c>
      <c r="N978">
        <v>6.9857471729026052E-2</v>
      </c>
      <c r="O978">
        <v>8.7846333788375967E-3</v>
      </c>
      <c r="P978">
        <v>1.2591846002439493E-2</v>
      </c>
      <c r="Q978">
        <v>2.9146827970037955E-3</v>
      </c>
      <c r="R978">
        <v>7.1407125400709231E-4</v>
      </c>
      <c r="S978">
        <v>8.7623742182203576E-2</v>
      </c>
      <c r="T978">
        <v>0.81675796393745081</v>
      </c>
      <c r="U978">
        <v>1.6703082542796774E-2</v>
      </c>
      <c r="V978">
        <v>1.0411941677367038E-2</v>
      </c>
      <c r="W978">
        <v>4.208476706917564E-2</v>
      </c>
      <c r="X978">
        <v>9.5693568253076289E-3</v>
      </c>
      <c r="Y978">
        <v>1.9434665598816853E-3</v>
      </c>
    </row>
    <row r="979" spans="1:25">
      <c r="A979" s="876"/>
      <c r="B979" s="1202">
        <v>729</v>
      </c>
      <c r="C979" s="880">
        <v>0.9792159892002239</v>
      </c>
      <c r="D979" s="880">
        <v>1.0173410976716077</v>
      </c>
      <c r="E979" s="880">
        <v>0.9884650333887699</v>
      </c>
      <c r="F979" s="880">
        <v>1.0264261610755265</v>
      </c>
      <c r="G979" s="880">
        <v>0.96297559395712451</v>
      </c>
      <c r="H979" s="880">
        <v>1.0075907424905859</v>
      </c>
      <c r="I979" s="880">
        <v>0.97923762272797499</v>
      </c>
      <c r="K979">
        <v>1.0764431196401145</v>
      </c>
      <c r="L979">
        <v>0</v>
      </c>
      <c r="M979">
        <v>7.209078564901928E-4</v>
      </c>
      <c r="N979">
        <v>6.9309437691380232E-2</v>
      </c>
      <c r="O979">
        <v>8.892223356577484E-3</v>
      </c>
      <c r="P979">
        <v>1.2563027418524065E-2</v>
      </c>
      <c r="Q979">
        <v>2.9586982129661734E-3</v>
      </c>
      <c r="R979">
        <v>7.0880480342788406E-4</v>
      </c>
      <c r="S979">
        <v>8.5018546840110884E-2</v>
      </c>
      <c r="T979">
        <v>0.81677029737443041</v>
      </c>
      <c r="U979">
        <v>1.7269559578744393E-2</v>
      </c>
      <c r="V979">
        <v>1.0415198174901415E-2</v>
      </c>
      <c r="W979">
        <v>4.1758989512059856E-2</v>
      </c>
      <c r="X979">
        <v>9.5701115159904544E-3</v>
      </c>
      <c r="Y979">
        <v>1.9291330174900474E-3</v>
      </c>
    </row>
    <row r="980" spans="1:25">
      <c r="A980" s="876"/>
      <c r="B980" s="1202">
        <v>730</v>
      </c>
      <c r="C980" s="880">
        <v>0.96498668994729631</v>
      </c>
      <c r="D980" s="880">
        <v>0.96464494212289231</v>
      </c>
      <c r="E980" s="880">
        <v>0.98812826558460354</v>
      </c>
      <c r="F980" s="880">
        <v>0.96386279904117922</v>
      </c>
      <c r="G980" s="880">
        <v>1.024671101097719</v>
      </c>
      <c r="H980" s="880">
        <v>0.98859861717920605</v>
      </c>
      <c r="I980" s="880">
        <v>0.99486402962653153</v>
      </c>
      <c r="K980">
        <v>1.0844305325854211</v>
      </c>
      <c r="L980">
        <v>0</v>
      </c>
      <c r="M980">
        <v>7.3889042775262344E-4</v>
      </c>
      <c r="N980">
        <v>7.0945416858979732E-2</v>
      </c>
      <c r="O980">
        <v>9.2831767113277491E-3</v>
      </c>
      <c r="P980">
        <v>1.2621468895218587E-2</v>
      </c>
      <c r="Q980">
        <v>3.0754354859985219E-3</v>
      </c>
      <c r="R980">
        <v>7.2629664191112221E-4</v>
      </c>
      <c r="S980">
        <v>8.9291501228483769E-2</v>
      </c>
      <c r="T980">
        <v>0.81679762020406299</v>
      </c>
      <c r="U980">
        <v>1.7524209444667031E-2</v>
      </c>
      <c r="V980">
        <v>1.041666207653888E-2</v>
      </c>
      <c r="W980">
        <v>4.2754599992037359E-2</v>
      </c>
      <c r="X980">
        <v>9.7562954382893457E-3</v>
      </c>
      <c r="Y980">
        <v>1.9767400356584149E-3</v>
      </c>
    </row>
    <row r="981" spans="1:25">
      <c r="A981" s="876"/>
      <c r="B981" s="1202">
        <v>731</v>
      </c>
      <c r="C981" s="880">
        <v>1.0292491579708734</v>
      </c>
      <c r="D981" s="880">
        <v>1.0124313165900638</v>
      </c>
      <c r="E981" s="880">
        <v>0.97991072227829146</v>
      </c>
      <c r="F981" s="880">
        <v>1.0226331735937053</v>
      </c>
      <c r="G981" s="880">
        <v>0.99932651788735261</v>
      </c>
      <c r="H981" s="880">
        <v>0.9765860946693844</v>
      </c>
      <c r="I981" s="880">
        <v>0.9659695719263991</v>
      </c>
      <c r="K981">
        <v>1.0597575418329412</v>
      </c>
      <c r="L981">
        <v>0</v>
      </c>
      <c r="M981">
        <v>6.7855440613253412E-4</v>
      </c>
      <c r="N981">
        <v>6.3488180912984873E-2</v>
      </c>
      <c r="O981">
        <v>8.4817832105797009E-3</v>
      </c>
      <c r="P981">
        <v>1.2398258489085916E-2</v>
      </c>
      <c r="Q981">
        <v>2.7967543219736967E-3</v>
      </c>
      <c r="R981">
        <v>6.6680488415935414E-4</v>
      </c>
      <c r="S981">
        <v>7.8948376423173872E-2</v>
      </c>
      <c r="T981">
        <v>0.81746552107164461</v>
      </c>
      <c r="U981">
        <v>1.6430063347626218E-2</v>
      </c>
      <c r="V981">
        <v>1.0410372176258439E-2</v>
      </c>
      <c r="W981">
        <v>3.8478735808245096E-2</v>
      </c>
      <c r="X981">
        <v>9.0564225108302112E-3</v>
      </c>
      <c r="Y981">
        <v>1.8148230825107746E-3</v>
      </c>
    </row>
    <row r="982" spans="1:25">
      <c r="A982" s="876"/>
      <c r="B982" s="1202">
        <v>732</v>
      </c>
      <c r="C982" s="880">
        <v>1.0201491097247606</v>
      </c>
      <c r="D982" s="880">
        <v>0.97683001581899076</v>
      </c>
      <c r="E982" s="880">
        <v>1.0245133984798835</v>
      </c>
      <c r="F982" s="880">
        <v>0.96694112049965519</v>
      </c>
      <c r="G982" s="880">
        <v>0.9622621262450306</v>
      </c>
      <c r="H982" s="880">
        <v>0.9787251023606155</v>
      </c>
      <c r="I982" s="880">
        <v>0.99048038509452752</v>
      </c>
      <c r="K982">
        <v>1.069068886317007</v>
      </c>
      <c r="L982">
        <v>0</v>
      </c>
      <c r="M982">
        <v>6.3659074458770597E-4</v>
      </c>
      <c r="N982">
        <v>6.8432107443232124E-2</v>
      </c>
      <c r="O982">
        <v>8.722458441945382E-3</v>
      </c>
      <c r="P982">
        <v>1.2828857455011923E-2</v>
      </c>
      <c r="Q982">
        <v>2.9997842760303159E-3</v>
      </c>
      <c r="R982">
        <v>6.2562087828629863E-4</v>
      </c>
      <c r="S982">
        <v>8.3218277016982728E-2</v>
      </c>
      <c r="T982">
        <v>0.81386788420925116</v>
      </c>
      <c r="U982">
        <v>1.6576624637269843E-2</v>
      </c>
      <c r="V982">
        <v>1.0411214710815115E-2</v>
      </c>
      <c r="W982">
        <v>4.0230303197103974E-2</v>
      </c>
      <c r="X982">
        <v>1.0089611000837641E-2</v>
      </c>
      <c r="Y982">
        <v>1.7027337948282044E-3</v>
      </c>
    </row>
    <row r="983" spans="1:25">
      <c r="A983" s="876"/>
      <c r="B983" s="1202">
        <v>733</v>
      </c>
      <c r="C983" s="880">
        <v>0.99087472272667754</v>
      </c>
      <c r="D983" s="880">
        <v>1.0196441445157081</v>
      </c>
      <c r="E983" s="880">
        <v>1.0039811946245083</v>
      </c>
      <c r="F983" s="880">
        <v>1.0374817732454826</v>
      </c>
      <c r="G983" s="880">
        <v>1.0322143450355163</v>
      </c>
      <c r="H983" s="880">
        <v>0.98401401486226514</v>
      </c>
      <c r="I983" s="880">
        <v>0.99462781637996167</v>
      </c>
      <c r="K983">
        <v>1.07163019114237</v>
      </c>
      <c r="L983">
        <v>0</v>
      </c>
      <c r="M983">
        <v>6.7259311913742722E-4</v>
      </c>
      <c r="N983">
        <v>6.7835404795542717E-2</v>
      </c>
      <c r="O983">
        <v>8.7770249377571632E-3</v>
      </c>
      <c r="P983">
        <v>1.2681607548909684E-2</v>
      </c>
      <c r="Q983">
        <v>2.9668671787095114E-3</v>
      </c>
      <c r="R983">
        <v>6.6102874798063557E-4</v>
      </c>
      <c r="S983">
        <v>8.4405338494022777E-2</v>
      </c>
      <c r="T983">
        <v>0.81551560508511522</v>
      </c>
      <c r="U983">
        <v>1.7066364171060801E-2</v>
      </c>
      <c r="V983">
        <v>1.0414030068690334E-2</v>
      </c>
      <c r="W983">
        <v>4.0438123857861961E-2</v>
      </c>
      <c r="X983">
        <v>9.7422870319211433E-3</v>
      </c>
      <c r="Y983">
        <v>1.7991023439350821E-3</v>
      </c>
    </row>
    <row r="984" spans="1:25">
      <c r="A984" s="876"/>
      <c r="B984" s="1202">
        <v>734</v>
      </c>
      <c r="C984" s="880">
        <v>0.99412186345521625</v>
      </c>
      <c r="D984" s="880">
        <v>0.95387722437558053</v>
      </c>
      <c r="E984" s="880">
        <v>1.0073122134694845</v>
      </c>
      <c r="F984" s="880">
        <v>1.0214978093952065</v>
      </c>
      <c r="G984" s="880">
        <v>0.98175802837100945</v>
      </c>
      <c r="H984" s="880">
        <v>1.0119218901325411</v>
      </c>
      <c r="I984" s="880">
        <v>1.0085990448944615</v>
      </c>
      <c r="K984">
        <v>1.0841249251391119</v>
      </c>
      <c r="L984">
        <v>0</v>
      </c>
      <c r="M984">
        <v>7.0933804701948824E-4</v>
      </c>
      <c r="N984">
        <v>7.2327226574845693E-2</v>
      </c>
      <c r="O984">
        <v>9.065429104633203E-3</v>
      </c>
      <c r="P984">
        <v>1.2774844138002969E-2</v>
      </c>
      <c r="Q984">
        <v>3.059235624875937E-3</v>
      </c>
      <c r="R984">
        <v>6.9753652394302743E-4</v>
      </c>
      <c r="S984">
        <v>8.9233718847490692E-2</v>
      </c>
      <c r="T984">
        <v>0.81524731350024604</v>
      </c>
      <c r="U984">
        <v>1.7010619610735658E-2</v>
      </c>
      <c r="V984">
        <v>1.0413709610822263E-2</v>
      </c>
      <c r="W984">
        <v>4.3018021145754273E-2</v>
      </c>
      <c r="X984">
        <v>1.0088144029461978E-2</v>
      </c>
      <c r="Y984">
        <v>1.8984644753196015E-3</v>
      </c>
    </row>
    <row r="985" spans="1:25">
      <c r="A985" s="876"/>
      <c r="B985" s="1202">
        <v>735</v>
      </c>
      <c r="C985" s="880">
        <v>0.99450918288262491</v>
      </c>
      <c r="D985" s="880">
        <v>0.98729808711499545</v>
      </c>
      <c r="E985" s="880">
        <v>1.0361653414639105</v>
      </c>
      <c r="F985" s="880">
        <v>1.0120224597651168</v>
      </c>
      <c r="G985" s="880">
        <v>0.95979191263345021</v>
      </c>
      <c r="H985" s="880">
        <v>0.98567711123072788</v>
      </c>
      <c r="I985" s="880">
        <v>0.98932149780261835</v>
      </c>
      <c r="K985">
        <v>1.0751406464594271</v>
      </c>
      <c r="L985">
        <v>0</v>
      </c>
      <c r="M985">
        <v>6.3799346950522474E-4</v>
      </c>
      <c r="N985">
        <v>7.1116709517818066E-2</v>
      </c>
      <c r="O985">
        <v>8.8965339217895647E-3</v>
      </c>
      <c r="P985">
        <v>1.2956831010118831E-2</v>
      </c>
      <c r="Q985">
        <v>3.0975810624000477E-3</v>
      </c>
      <c r="R985">
        <v>6.2706835735234438E-4</v>
      </c>
      <c r="S985">
        <v>8.5060675814576034E-2</v>
      </c>
      <c r="T985">
        <v>0.81293920297517108</v>
      </c>
      <c r="U985">
        <v>1.7003994691065824E-2</v>
      </c>
      <c r="V985">
        <v>1.041367152625183E-2</v>
      </c>
      <c r="W985">
        <v>4.1483442835965376E-2</v>
      </c>
      <c r="X985">
        <v>1.047625486073862E-2</v>
      </c>
      <c r="Y985">
        <v>1.706673355684636E-3</v>
      </c>
    </row>
    <row r="986" spans="1:25">
      <c r="A986" s="876"/>
      <c r="B986" s="1202">
        <v>736</v>
      </c>
      <c r="C986" s="880">
        <v>1.0016549017442267</v>
      </c>
      <c r="D986" s="880">
        <v>0.98687830699289336</v>
      </c>
      <c r="E986" s="880">
        <v>1.0019684145238714</v>
      </c>
      <c r="F986" s="880">
        <v>0.9902852475809516</v>
      </c>
      <c r="G986" s="880">
        <v>0.99554957446580405</v>
      </c>
      <c r="H986" s="880">
        <v>0.99288400791416143</v>
      </c>
      <c r="I986" s="880">
        <v>0.96520728337376904</v>
      </c>
      <c r="K986">
        <v>1.0714820063601844</v>
      </c>
      <c r="L986">
        <v>0</v>
      </c>
      <c r="M986">
        <v>6.8601923382682558E-4</v>
      </c>
      <c r="N986">
        <v>6.8771298998963962E-2</v>
      </c>
      <c r="O986">
        <v>8.8350727284213695E-3</v>
      </c>
      <c r="P986">
        <v>1.2638484796766767E-2</v>
      </c>
      <c r="Q986">
        <v>2.973210223822E-3</v>
      </c>
      <c r="R986">
        <v>6.7435735618253854E-4</v>
      </c>
      <c r="S986">
        <v>8.2662867413325958E-2</v>
      </c>
      <c r="T986">
        <v>0.81567790411602381</v>
      </c>
      <c r="U986">
        <v>1.6882689673364679E-2</v>
      </c>
      <c r="V986">
        <v>1.0412974182024285E-2</v>
      </c>
      <c r="W986">
        <v>4.1052412702549501E-2</v>
      </c>
      <c r="X986">
        <v>9.7513749808802591E-3</v>
      </c>
      <c r="Y986">
        <v>1.835378421686149E-3</v>
      </c>
    </row>
    <row r="987" spans="1:25">
      <c r="A987" s="876"/>
      <c r="B987" s="1202">
        <v>737</v>
      </c>
      <c r="C987" s="880">
        <v>1.0028984900623343</v>
      </c>
      <c r="D987" s="880">
        <v>1.0162590133343992</v>
      </c>
      <c r="E987" s="880">
        <v>1.0071593691398175</v>
      </c>
      <c r="F987" s="880">
        <v>1.0282832998325135</v>
      </c>
      <c r="G987" s="880">
        <v>1.0064588847240601</v>
      </c>
      <c r="H987" s="880">
        <v>0.98644995470842423</v>
      </c>
      <c r="I987" s="880">
        <v>1.0160283161243326</v>
      </c>
      <c r="K987">
        <v>1.0715149228469081</v>
      </c>
      <c r="L987">
        <v>0</v>
      </c>
      <c r="M987">
        <v>6.6289656477950827E-4</v>
      </c>
      <c r="N987">
        <v>6.7524713391349606E-2</v>
      </c>
      <c r="O987">
        <v>8.6871627063103678E-3</v>
      </c>
      <c r="P987">
        <v>1.2719128933320991E-2</v>
      </c>
      <c r="Q987">
        <v>2.945132451368761E-3</v>
      </c>
      <c r="R987">
        <v>6.515298132617318E-4</v>
      </c>
      <c r="S987">
        <v>8.5416058315332902E-2</v>
      </c>
      <c r="T987">
        <v>0.81525961584049111</v>
      </c>
      <c r="U987">
        <v>1.6861755235967425E-2</v>
      </c>
      <c r="V987">
        <v>1.0412853836556712E-2</v>
      </c>
      <c r="W987">
        <v>4.0165812530612396E-2</v>
      </c>
      <c r="X987">
        <v>9.7608069821614324E-3</v>
      </c>
      <c r="Y987">
        <v>1.7732493749532149E-3</v>
      </c>
    </row>
    <row r="988" spans="1:25">
      <c r="A988" s="876"/>
      <c r="B988" s="1202">
        <v>738</v>
      </c>
      <c r="C988" s="880">
        <v>0.98758341412398187</v>
      </c>
      <c r="D988" s="880">
        <v>0.9837890244823515</v>
      </c>
      <c r="E988" s="880">
        <v>1.0042404368058688</v>
      </c>
      <c r="F988" s="880">
        <v>0.99799212726692843</v>
      </c>
      <c r="G988" s="880">
        <v>1.0227281365506775</v>
      </c>
      <c r="H988" s="880">
        <v>0.98561460470052431</v>
      </c>
      <c r="I988" s="880">
        <v>0.96918201299117512</v>
      </c>
      <c r="K988">
        <v>1.0744073700117991</v>
      </c>
      <c r="L988">
        <v>0</v>
      </c>
      <c r="M988">
        <v>6.8855030382881151E-4</v>
      </c>
      <c r="N988">
        <v>6.9505964961632874E-2</v>
      </c>
      <c r="O988">
        <v>8.9759742767429838E-3</v>
      </c>
      <c r="P988">
        <v>1.2679829048802891E-2</v>
      </c>
      <c r="Q988">
        <v>3.0268079866607291E-3</v>
      </c>
      <c r="R988">
        <v>6.767618017754323E-4</v>
      </c>
      <c r="S988">
        <v>8.4060412232783641E-2</v>
      </c>
      <c r="T988">
        <v>0.81549471129673778</v>
      </c>
      <c r="U988">
        <v>1.7123241059037654E-2</v>
      </c>
      <c r="V988">
        <v>1.0414357035952383E-2</v>
      </c>
      <c r="W988">
        <v>4.1426652184600857E-2</v>
      </c>
      <c r="X988">
        <v>9.8692859009363448E-3</v>
      </c>
      <c r="Y988">
        <v>1.8419225299647292E-3</v>
      </c>
    </row>
    <row r="989" spans="1:25">
      <c r="A989" s="876"/>
      <c r="B989" s="1202">
        <v>739</v>
      </c>
      <c r="C989" s="880">
        <v>1.0019640684334901</v>
      </c>
      <c r="D989" s="880">
        <v>0.96977981371073829</v>
      </c>
      <c r="E989" s="880">
        <v>0.98429914733793711</v>
      </c>
      <c r="F989" s="880">
        <v>1.0110593747707513</v>
      </c>
      <c r="G989" s="880">
        <v>0.95598070229454679</v>
      </c>
      <c r="H989" s="880">
        <v>1.0256895813972471</v>
      </c>
      <c r="I989" s="880">
        <v>0.97262951892698246</v>
      </c>
      <c r="K989">
        <v>1.0784938144246632</v>
      </c>
      <c r="L989">
        <v>0</v>
      </c>
      <c r="M989">
        <v>7.4217993091959286E-4</v>
      </c>
      <c r="N989">
        <v>7.046020759034069E-2</v>
      </c>
      <c r="O989">
        <v>8.9152256911438771E-3</v>
      </c>
      <c r="P989">
        <v>1.2524667131698109E-2</v>
      </c>
      <c r="Q989">
        <v>2.9432872254408216E-3</v>
      </c>
      <c r="R989">
        <v>7.2998269888802298E-4</v>
      </c>
      <c r="S989">
        <v>8.5159997730034881E-2</v>
      </c>
      <c r="T989">
        <v>0.81710855659367743</v>
      </c>
      <c r="U989">
        <v>1.6877480339580544E-2</v>
      </c>
      <c r="V989">
        <v>1.0412944235209944E-2</v>
      </c>
      <c r="W989">
        <v>4.2574672683546103E-2</v>
      </c>
      <c r="X989">
        <v>9.5422001683809991E-3</v>
      </c>
      <c r="Y989">
        <v>1.9867722676411839E-3</v>
      </c>
    </row>
    <row r="990" spans="1:25">
      <c r="A990" s="876"/>
      <c r="B990" s="1202">
        <v>740</v>
      </c>
      <c r="C990" s="880">
        <v>1.0102560166646184</v>
      </c>
      <c r="D990" s="880">
        <v>1.0035278181036258</v>
      </c>
      <c r="E990" s="880">
        <v>0.99089647489001287</v>
      </c>
      <c r="F990" s="880">
        <v>1.0031538212098481</v>
      </c>
      <c r="G990" s="880">
        <v>0.96827409339988013</v>
      </c>
      <c r="H990" s="880">
        <v>0.98965141768669185</v>
      </c>
      <c r="I990" s="880">
        <v>1.0454681669102539</v>
      </c>
      <c r="K990">
        <v>1.0737921824756056</v>
      </c>
      <c r="L990">
        <v>0</v>
      </c>
      <c r="M990">
        <v>6.8779687382993025E-4</v>
      </c>
      <c r="N990">
        <v>6.6609111461255366E-2</v>
      </c>
      <c r="O990">
        <v>8.6820122004019878E-3</v>
      </c>
      <c r="P990">
        <v>1.2615473128809271E-2</v>
      </c>
      <c r="Q990">
        <v>2.8929221721326684E-3</v>
      </c>
      <c r="R990">
        <v>6.7605213696945304E-4</v>
      </c>
      <c r="S990">
        <v>8.7917953163279494E-2</v>
      </c>
      <c r="T990">
        <v>0.81657314242836232</v>
      </c>
      <c r="U990">
        <v>1.6738953876051298E-2</v>
      </c>
      <c r="V990">
        <v>1.0412147890330448E-2</v>
      </c>
      <c r="W990">
        <v>4.0064846317893345E-2</v>
      </c>
      <c r="X990">
        <v>9.457373517645782E-3</v>
      </c>
      <c r="Y990">
        <v>1.8399910563037948E-3</v>
      </c>
    </row>
    <row r="991" spans="1:25">
      <c r="A991" s="876"/>
      <c r="B991" s="1202">
        <v>741</v>
      </c>
      <c r="C991" s="880">
        <v>1.0063234877970868</v>
      </c>
      <c r="D991" s="880">
        <v>0.99777137682272732</v>
      </c>
      <c r="E991" s="880">
        <v>1.0363411003376153</v>
      </c>
      <c r="F991" s="880">
        <v>1.0132085586517237</v>
      </c>
      <c r="G991" s="880">
        <v>1.0076105545380154</v>
      </c>
      <c r="H991" s="880">
        <v>0.99331481226755713</v>
      </c>
      <c r="I991" s="880">
        <v>1.0137606785445954</v>
      </c>
      <c r="K991">
        <v>1.0744879157843208</v>
      </c>
      <c r="L991">
        <v>0</v>
      </c>
      <c r="M991">
        <v>6.3159437224269204E-4</v>
      </c>
      <c r="N991">
        <v>7.0450300288909307E-2</v>
      </c>
      <c r="O991">
        <v>8.7427175453551487E-3</v>
      </c>
      <c r="P991">
        <v>1.2968105697401255E-2</v>
      </c>
      <c r="Q991">
        <v>3.0469610238219652E-3</v>
      </c>
      <c r="R991">
        <v>6.2085365499655318E-4</v>
      </c>
      <c r="S991">
        <v>8.5962292033928384E-2</v>
      </c>
      <c r="T991">
        <v>0.81292523016680684</v>
      </c>
      <c r="U991">
        <v>1.6804366658449903E-2</v>
      </c>
      <c r="V991">
        <v>1.0412523927753119E-2</v>
      </c>
      <c r="W991">
        <v>4.1089897431322714E-2</v>
      </c>
      <c r="X991">
        <v>1.0406502743269121E-2</v>
      </c>
      <c r="Y991">
        <v>1.689758984548253E-3</v>
      </c>
    </row>
    <row r="992" spans="1:25">
      <c r="A992" s="876"/>
      <c r="B992" s="1202">
        <v>742</v>
      </c>
      <c r="C992" s="880">
        <v>0.98080037618194527</v>
      </c>
      <c r="D992" s="880">
        <v>1.0024130288153272</v>
      </c>
      <c r="E992" s="880">
        <v>1.032206945709784</v>
      </c>
      <c r="F992" s="880">
        <v>1.0040703039718792</v>
      </c>
      <c r="G992" s="880">
        <v>0.95239044918636928</v>
      </c>
      <c r="H992" s="880">
        <v>1.0142939248961989</v>
      </c>
      <c r="I992" s="880">
        <v>0.98444054381181612</v>
      </c>
      <c r="K992">
        <v>1.0806734614908964</v>
      </c>
      <c r="L992">
        <v>0</v>
      </c>
      <c r="M992">
        <v>6.6588694398087543E-4</v>
      </c>
      <c r="N992">
        <v>7.3354420848912097E-2</v>
      </c>
      <c r="O992">
        <v>8.9480531682541564E-3</v>
      </c>
      <c r="P992">
        <v>1.2943419300893228E-2</v>
      </c>
      <c r="Q992">
        <v>3.1069092359589834E-3</v>
      </c>
      <c r="R992">
        <v>6.5479349422657295E-4</v>
      </c>
      <c r="S992">
        <v>8.6202526098553389E-2</v>
      </c>
      <c r="T992">
        <v>0.8132541744591345</v>
      </c>
      <c r="U992">
        <v>1.7241662296034171E-2</v>
      </c>
      <c r="V992">
        <v>1.0415037802235622E-2</v>
      </c>
      <c r="W992">
        <v>4.2902055611974098E-2</v>
      </c>
      <c r="X992">
        <v>1.0534164080032465E-2</v>
      </c>
      <c r="Y992">
        <v>1.7821320386673715E-3</v>
      </c>
    </row>
    <row r="993" spans="1:25">
      <c r="A993" s="876"/>
      <c r="B993" s="1202">
        <v>743</v>
      </c>
      <c r="C993" s="880">
        <v>0.9983377287990115</v>
      </c>
      <c r="D993" s="880">
        <v>1.0176298720798305</v>
      </c>
      <c r="E993" s="880">
        <v>1.0103652797499156</v>
      </c>
      <c r="F993" s="880">
        <v>0.99846005980774322</v>
      </c>
      <c r="G993" s="880">
        <v>1.0396930542198173</v>
      </c>
      <c r="H993" s="880">
        <v>0.97278698201800329</v>
      </c>
      <c r="I993" s="880">
        <v>0.99732068608430191</v>
      </c>
      <c r="K993">
        <v>1.0688157104245184</v>
      </c>
      <c r="L993">
        <v>0</v>
      </c>
      <c r="M993">
        <v>6.5180987033240103E-4</v>
      </c>
      <c r="N993">
        <v>6.7043942825609409E-2</v>
      </c>
      <c r="O993">
        <v>8.7205877002056037E-3</v>
      </c>
      <c r="P993">
        <v>1.27231146659547E-2</v>
      </c>
      <c r="Q993">
        <v>2.9662571416579357E-3</v>
      </c>
      <c r="R993">
        <v>6.4047513163302333E-4</v>
      </c>
      <c r="S993">
        <v>8.36864555691577E-2</v>
      </c>
      <c r="T993">
        <v>0.81500174072205944</v>
      </c>
      <c r="U993">
        <v>1.6938785721637189E-2</v>
      </c>
      <c r="V993">
        <v>1.0413296660485561E-2</v>
      </c>
      <c r="W993">
        <v>3.9792981781932628E-2</v>
      </c>
      <c r="X993">
        <v>9.7967201987814514E-3</v>
      </c>
      <c r="Y993">
        <v>1.7431621757346897E-3</v>
      </c>
    </row>
    <row r="994" spans="1:25">
      <c r="A994" s="876"/>
      <c r="B994" s="1202">
        <v>744</v>
      </c>
      <c r="C994" s="880">
        <v>1.0263921008532246</v>
      </c>
      <c r="D994" s="880">
        <v>0.99844047337426634</v>
      </c>
      <c r="E994" s="880">
        <v>0.97076048038673435</v>
      </c>
      <c r="F994" s="880">
        <v>0.99761045707875262</v>
      </c>
      <c r="G994" s="880">
        <v>1.0210681601028235</v>
      </c>
      <c r="H994" s="880">
        <v>0.99742411917601281</v>
      </c>
      <c r="I994" s="880">
        <v>1.0150614322222751</v>
      </c>
      <c r="K994">
        <v>1.0687939880099604</v>
      </c>
      <c r="L994">
        <v>0</v>
      </c>
      <c r="M994">
        <v>7.1369228067546641E-4</v>
      </c>
      <c r="N994">
        <v>6.4923333895520505E-2</v>
      </c>
      <c r="O994">
        <v>8.5687105839566142E-3</v>
      </c>
      <c r="P994">
        <v>1.2396691971001673E-2</v>
      </c>
      <c r="Q994">
        <v>2.7962932885636353E-3</v>
      </c>
      <c r="R994">
        <v>7.016048367412982E-4</v>
      </c>
      <c r="S994">
        <v>8.450689734633067E-2</v>
      </c>
      <c r="T994">
        <v>0.81821191739210353</v>
      </c>
      <c r="U994">
        <v>1.6475797944951871E-2</v>
      </c>
      <c r="V994">
        <v>1.0410635090011293E-2</v>
      </c>
      <c r="W994">
        <v>3.960000425776742E-2</v>
      </c>
      <c r="X994">
        <v>9.0062566020486477E-3</v>
      </c>
      <c r="Y994">
        <v>1.9095370816375411E-3</v>
      </c>
    </row>
    <row r="995" spans="1:25">
      <c r="A995" s="876"/>
      <c r="B995" s="1202">
        <v>745</v>
      </c>
      <c r="C995" s="880">
        <v>1.0068356541543986</v>
      </c>
      <c r="D995" s="880">
        <v>0.98391566694211507</v>
      </c>
      <c r="E995" s="880">
        <v>0.98348432357039595</v>
      </c>
      <c r="F995" s="880">
        <v>0.98417851370242371</v>
      </c>
      <c r="G995" s="880">
        <v>1.0184955461240002</v>
      </c>
      <c r="H995" s="880">
        <v>0.99334230932469114</v>
      </c>
      <c r="I995" s="880">
        <v>0.98739833280303568</v>
      </c>
      <c r="K995">
        <v>1.0721095553640956</v>
      </c>
      <c r="L995">
        <v>0</v>
      </c>
      <c r="M995">
        <v>7.1101399795744089E-4</v>
      </c>
      <c r="N995">
        <v>6.7292426247428663E-2</v>
      </c>
      <c r="O995">
        <v>8.8037346258798242E-3</v>
      </c>
      <c r="P995">
        <v>1.2504733620788824E-2</v>
      </c>
      <c r="Q995">
        <v>2.90725104634618E-3</v>
      </c>
      <c r="R995">
        <v>6.9893548608580759E-4</v>
      </c>
      <c r="S995">
        <v>8.4270719432598298E-2</v>
      </c>
      <c r="T995">
        <v>0.81717478692458101</v>
      </c>
      <c r="U995">
        <v>1.679581845972164E-2</v>
      </c>
      <c r="V995">
        <v>1.0412474786858923E-2</v>
      </c>
      <c r="W995">
        <v>4.0683514808863681E-2</v>
      </c>
      <c r="X995">
        <v>9.3739019337958137E-3</v>
      </c>
      <c r="Y995">
        <v>1.902271989104503E-3</v>
      </c>
    </row>
    <row r="996" spans="1:25">
      <c r="A996" s="876"/>
      <c r="B996" s="1202">
        <v>746</v>
      </c>
      <c r="C996" s="880">
        <v>0.98296820124847517</v>
      </c>
      <c r="D996" s="880">
        <v>1.0229647006269165</v>
      </c>
      <c r="E996" s="880">
        <v>1.00257708713577</v>
      </c>
      <c r="F996" s="880">
        <v>1.0058930742769447</v>
      </c>
      <c r="G996" s="880">
        <v>1.0085637772691916</v>
      </c>
      <c r="H996" s="880">
        <v>1.0246612667056296</v>
      </c>
      <c r="I996" s="880">
        <v>1.0060546767166021</v>
      </c>
      <c r="K996">
        <v>1.0803434500991966</v>
      </c>
      <c r="L996">
        <v>0</v>
      </c>
      <c r="M996">
        <v>7.0688028750968111E-4</v>
      </c>
      <c r="N996">
        <v>7.1031789322328107E-2</v>
      </c>
      <c r="O996">
        <v>8.832327000835586E-3</v>
      </c>
      <c r="P996">
        <v>1.2712636150126381E-2</v>
      </c>
      <c r="Q996">
        <v>2.9820750823226936E-3</v>
      </c>
      <c r="R996">
        <v>6.9520576372327501E-4</v>
      </c>
      <c r="S996">
        <v>8.7392487445576039E-2</v>
      </c>
      <c r="T996">
        <v>0.81562880972442942</v>
      </c>
      <c r="U996">
        <v>1.7203637762110771E-2</v>
      </c>
      <c r="V996">
        <v>1.041481921120172E-2</v>
      </c>
      <c r="W996">
        <v>4.2384164425825911E-2</v>
      </c>
      <c r="X996">
        <v>9.8802575838901983E-3</v>
      </c>
      <c r="Y996">
        <v>1.8921209143363353E-3</v>
      </c>
    </row>
    <row r="997" spans="1:25">
      <c r="A997" s="876"/>
      <c r="B997" s="1202">
        <v>747</v>
      </c>
      <c r="C997" s="880">
        <v>0.98199064545459647</v>
      </c>
      <c r="D997" s="880">
        <v>1.0391880507770397</v>
      </c>
      <c r="E997" s="880">
        <v>0.98566897103461526</v>
      </c>
      <c r="F997" s="880">
        <v>0.9825908606249707</v>
      </c>
      <c r="G997" s="880">
        <v>1.0267186512858413</v>
      </c>
      <c r="H997" s="880">
        <v>0.96424675952883621</v>
      </c>
      <c r="I997" s="880">
        <v>1.0209340412961707</v>
      </c>
      <c r="K997">
        <v>1.0703963217516943</v>
      </c>
      <c r="L997">
        <v>0</v>
      </c>
      <c r="M997">
        <v>6.8424369714111086E-4</v>
      </c>
      <c r="N997">
        <v>6.5162313835661498E-2</v>
      </c>
      <c r="O997">
        <v>8.7674593365433401E-3</v>
      </c>
      <c r="P997">
        <v>1.255056803811146E-2</v>
      </c>
      <c r="Q997">
        <v>2.9135041061673431E-3</v>
      </c>
      <c r="R997">
        <v>6.7222129108132677E-4</v>
      </c>
      <c r="S997">
        <v>8.5881793037654613E-2</v>
      </c>
      <c r="T997">
        <v>0.81699726555394503</v>
      </c>
      <c r="U997">
        <v>1.7220763705059438E-2</v>
      </c>
      <c r="V997">
        <v>1.0414917662837806E-2</v>
      </c>
      <c r="W997">
        <v>3.9336212145993775E-2</v>
      </c>
      <c r="X997">
        <v>9.3339819791437833E-3</v>
      </c>
      <c r="Y997">
        <v>1.8295647566343219E-3</v>
      </c>
    </row>
    <row r="998" spans="1:25">
      <c r="A998" s="876"/>
      <c r="B998" s="1202">
        <v>748</v>
      </c>
      <c r="C998" s="880">
        <v>0.97364251979009542</v>
      </c>
      <c r="D998" s="880">
        <v>1.0151541091436318</v>
      </c>
      <c r="E998" s="880">
        <v>1.000498177959257</v>
      </c>
      <c r="F998" s="880">
        <v>0.97600248660004751</v>
      </c>
      <c r="G998" s="880">
        <v>0.96963357096372282</v>
      </c>
      <c r="H998" s="880">
        <v>0.98245264023750845</v>
      </c>
      <c r="I998" s="880">
        <v>1.0422094686517887</v>
      </c>
      <c r="K998">
        <v>1.0800517184374216</v>
      </c>
      <c r="L998">
        <v>0</v>
      </c>
      <c r="M998">
        <v>6.9005965363646757E-4</v>
      </c>
      <c r="N998">
        <v>6.8845530706319311E-2</v>
      </c>
      <c r="O998">
        <v>8.9533788450171341E-3</v>
      </c>
      <c r="P998">
        <v>1.2735096628755726E-2</v>
      </c>
      <c r="Q998">
        <v>3.014928630466302E-3</v>
      </c>
      <c r="R998">
        <v>6.781799334741748E-4</v>
      </c>
      <c r="S998">
        <v>9.0146827435777691E-2</v>
      </c>
      <c r="T998">
        <v>0.81579654258238921</v>
      </c>
      <c r="U998">
        <v>1.7368416561756243E-2</v>
      </c>
      <c r="V998">
        <v>1.0415766472468667E-2</v>
      </c>
      <c r="W998">
        <v>4.1138052988141945E-2</v>
      </c>
      <c r="X998">
        <v>9.8032750895295697E-3</v>
      </c>
      <c r="Y998">
        <v>1.8457822169617175E-3</v>
      </c>
    </row>
    <row r="999" spans="1:25">
      <c r="A999" s="876"/>
      <c r="B999" s="1202">
        <v>749</v>
      </c>
      <c r="C999" s="880">
        <v>1.0136709467480627</v>
      </c>
      <c r="D999" s="880">
        <v>1.008979560273753</v>
      </c>
      <c r="E999" s="880">
        <v>0.97271437779961578</v>
      </c>
      <c r="F999" s="880">
        <v>0.96815072026982274</v>
      </c>
      <c r="G999" s="880">
        <v>0.98356097999634162</v>
      </c>
      <c r="H999" s="880">
        <v>0.99331216024874291</v>
      </c>
      <c r="I999" s="880">
        <v>1.0374000233398293</v>
      </c>
      <c r="K999">
        <v>1.0718216853983329</v>
      </c>
      <c r="L999">
        <v>0</v>
      </c>
      <c r="M999">
        <v>7.1273637611605893E-4</v>
      </c>
      <c r="N999">
        <v>6.5227014664748728E-2</v>
      </c>
      <c r="O999">
        <v>8.6278151196088806E-3</v>
      </c>
      <c r="P999">
        <v>1.2447171235731941E-2</v>
      </c>
      <c r="Q999">
        <v>2.8234142103272242E-3</v>
      </c>
      <c r="R999">
        <v>7.006058168422531E-4</v>
      </c>
      <c r="S999">
        <v>8.6844794327886332E-2</v>
      </c>
      <c r="T999">
        <v>0.8180522980648165</v>
      </c>
      <c r="U999">
        <v>1.6682562443170582E-2</v>
      </c>
      <c r="V999">
        <v>1.041182371379641E-2</v>
      </c>
      <c r="W999">
        <v>3.9731016768220079E-2</v>
      </c>
      <c r="X999">
        <v>9.079087330499995E-3</v>
      </c>
      <c r="Y999">
        <v>1.9068180787991614E-3</v>
      </c>
    </row>
    <row r="1000" spans="1:25">
      <c r="A1000" s="876"/>
      <c r="B1000" s="1202">
        <v>750</v>
      </c>
      <c r="C1000" s="880">
        <v>0.99480239421979499</v>
      </c>
      <c r="D1000" s="880">
        <v>1.0454304937654209</v>
      </c>
      <c r="E1000" s="880">
        <v>0.98194733852833671</v>
      </c>
      <c r="F1000" s="880">
        <v>1.000332256459886</v>
      </c>
      <c r="G1000" s="880">
        <v>0.97435702091266596</v>
      </c>
      <c r="H1000" s="880">
        <v>0.97739590386372888</v>
      </c>
      <c r="I1000" s="880">
        <v>1.0269530309531261</v>
      </c>
      <c r="K1000">
        <v>1.0692071974280501</v>
      </c>
      <c r="L1000">
        <v>0</v>
      </c>
      <c r="M1000">
        <v>6.8782898718540561E-4</v>
      </c>
      <c r="N1000">
        <v>6.4763879884277425E-2</v>
      </c>
      <c r="O1000">
        <v>8.6270577064501367E-3</v>
      </c>
      <c r="P1000">
        <v>1.251110555305535E-2</v>
      </c>
      <c r="Q1000">
        <v>2.857301545001076E-3</v>
      </c>
      <c r="R1000">
        <v>6.7590102337709759E-4</v>
      </c>
      <c r="S1000">
        <v>8.5497008690168311E-2</v>
      </c>
      <c r="T1000">
        <v>0.81729977700778167</v>
      </c>
      <c r="U1000">
        <v>1.6998982877614689E-2</v>
      </c>
      <c r="V1000">
        <v>1.0413642714919499E-2</v>
      </c>
      <c r="W1000">
        <v>3.9196512758052367E-2</v>
      </c>
      <c r="X1000">
        <v>9.2142768796171295E-3</v>
      </c>
      <c r="Y1000">
        <v>1.8395797749199854E-3</v>
      </c>
    </row>
    <row r="1001" spans="1:25">
      <c r="A1001" s="876"/>
      <c r="B1001" s="1202">
        <v>751</v>
      </c>
      <c r="C1001" s="880">
        <v>0.99478953686294636</v>
      </c>
      <c r="D1001" s="880">
        <v>0.98605280632555758</v>
      </c>
      <c r="E1001" s="880">
        <v>0.96557735236238995</v>
      </c>
      <c r="F1001" s="880">
        <v>1.0270144228488249</v>
      </c>
      <c r="G1001" s="880">
        <v>1.0138220695450944</v>
      </c>
      <c r="H1001" s="880">
        <v>0.97538360574554084</v>
      </c>
      <c r="I1001" s="880">
        <v>1.0222841366969686</v>
      </c>
      <c r="K1001">
        <v>1.0744862767007761</v>
      </c>
      <c r="L1001">
        <v>0</v>
      </c>
      <c r="M1001">
        <v>7.3281098458885616E-4</v>
      </c>
      <c r="N1001">
        <v>6.5569223691429424E-2</v>
      </c>
      <c r="O1001">
        <v>8.9000223639725158E-3</v>
      </c>
      <c r="P1001">
        <v>1.2400415587216364E-2</v>
      </c>
      <c r="Q1001">
        <v>2.886349728485007E-3</v>
      </c>
      <c r="R1001">
        <v>7.2013095173205615E-4</v>
      </c>
      <c r="S1001">
        <v>8.7544266798243009E-2</v>
      </c>
      <c r="T1001">
        <v>0.81863596577285525</v>
      </c>
      <c r="U1001">
        <v>1.6999202584377569E-2</v>
      </c>
      <c r="V1001">
        <v>1.0413643977944257E-2</v>
      </c>
      <c r="W1001">
        <v>4.0139269261917937E-2</v>
      </c>
      <c r="X1001">
        <v>9.05063790768138E-3</v>
      </c>
      <c r="Y1001">
        <v>1.9599590595102191E-3</v>
      </c>
    </row>
    <row r="1002" spans="1:25">
      <c r="A1002" s="876"/>
      <c r="B1002" s="1202">
        <v>752</v>
      </c>
      <c r="C1002" s="880">
        <v>0.98473198831407593</v>
      </c>
      <c r="D1002" s="880">
        <v>0.9803991259943976</v>
      </c>
      <c r="E1002" s="880">
        <v>1.0092802246276507</v>
      </c>
      <c r="F1002" s="880">
        <v>0.98335926866672618</v>
      </c>
      <c r="G1002" s="880">
        <v>1.0180840348043056</v>
      </c>
      <c r="H1002" s="880">
        <v>0.98437951751109065</v>
      </c>
      <c r="I1002" s="880">
        <v>0.97647031810199902</v>
      </c>
      <c r="K1002">
        <v>1.0760797185550726</v>
      </c>
      <c r="L1002">
        <v>0</v>
      </c>
      <c r="M1002">
        <v>6.836464558736652E-4</v>
      </c>
      <c r="N1002">
        <v>7.0099747729249859E-2</v>
      </c>
      <c r="O1002">
        <v>9.0185791224661263E-3</v>
      </c>
      <c r="P1002">
        <v>1.2735931030642919E-2</v>
      </c>
      <c r="Q1002">
        <v>3.0557683562486512E-3</v>
      </c>
      <c r="R1002">
        <v>6.7193021912407246E-4</v>
      </c>
      <c r="S1002">
        <v>8.5039941014709117E-2</v>
      </c>
      <c r="T1002">
        <v>0.81508898057821355</v>
      </c>
      <c r="U1002">
        <v>1.7172823739487187E-2</v>
      </c>
      <c r="V1002">
        <v>1.0414642071119548E-2</v>
      </c>
      <c r="W1002">
        <v>4.1637402368358903E-2</v>
      </c>
      <c r="X1002">
        <v>9.998846226607289E-3</v>
      </c>
      <c r="Y1002">
        <v>1.8287725547185207E-3</v>
      </c>
    </row>
    <row r="1003" spans="1:25">
      <c r="A1003" s="876"/>
      <c r="B1003" s="1202">
        <v>753</v>
      </c>
      <c r="C1003" s="880">
        <v>1.0139418741981887</v>
      </c>
      <c r="D1003" s="880">
        <v>0.9973639440675427</v>
      </c>
      <c r="E1003" s="880">
        <v>1.005842910398391</v>
      </c>
      <c r="F1003" s="880">
        <v>1.0173302923524612</v>
      </c>
      <c r="G1003" s="880">
        <v>0.99202566637742773</v>
      </c>
      <c r="H1003" s="880">
        <v>0.97550053103720369</v>
      </c>
      <c r="I1003" s="880">
        <v>0.99788539985750979</v>
      </c>
      <c r="K1003">
        <v>1.0678160066595201</v>
      </c>
      <c r="L1003">
        <v>0</v>
      </c>
      <c r="M1003">
        <v>6.5672091365043305E-4</v>
      </c>
      <c r="N1003">
        <v>6.6610920484346386E-2</v>
      </c>
      <c r="O1003">
        <v>8.6789184850710049E-3</v>
      </c>
      <c r="P1003">
        <v>1.2677572499400385E-2</v>
      </c>
      <c r="Q1003">
        <v>2.9343562932801961E-3</v>
      </c>
      <c r="R1003">
        <v>6.4534929617494755E-4</v>
      </c>
      <c r="S1003">
        <v>8.336972416485533E-2</v>
      </c>
      <c r="T1003">
        <v>0.81536560964600524</v>
      </c>
      <c r="U1003">
        <v>1.6678104826595794E-2</v>
      </c>
      <c r="V1003">
        <v>1.0411798088366852E-2</v>
      </c>
      <c r="W1003">
        <v>3.9657805087805115E-2</v>
      </c>
      <c r="X1003">
        <v>9.6861406564174544E-3</v>
      </c>
      <c r="Y1003">
        <v>1.7564280448498983E-3</v>
      </c>
    </row>
    <row r="1004" spans="1:25">
      <c r="A1004" s="876"/>
      <c r="B1004" s="1202">
        <v>754</v>
      </c>
      <c r="C1004" s="880">
        <v>1.0144338381987836</v>
      </c>
      <c r="D1004" s="880">
        <v>1.0077714696563373</v>
      </c>
      <c r="E1004" s="880">
        <v>0.99881323843909475</v>
      </c>
      <c r="F1004" s="880">
        <v>1.0144120676146104</v>
      </c>
      <c r="G1004" s="880">
        <v>0.97906745394075056</v>
      </c>
      <c r="H1004" s="880">
        <v>1.0129390676138406</v>
      </c>
      <c r="I1004" s="880">
        <v>1.0209789853478224</v>
      </c>
      <c r="K1004">
        <v>1.0740021289229684</v>
      </c>
      <c r="L1004">
        <v>0</v>
      </c>
      <c r="M1004">
        <v>6.8795445659435624E-4</v>
      </c>
      <c r="N1004">
        <v>6.8313257738481653E-2</v>
      </c>
      <c r="O1004">
        <v>8.6268320978815718E-3</v>
      </c>
      <c r="P1004">
        <v>1.2656990194989698E-2</v>
      </c>
      <c r="Q1004">
        <v>2.8984788256763991E-3</v>
      </c>
      <c r="R1004">
        <v>6.7647355614529076E-4</v>
      </c>
      <c r="S1004">
        <v>8.616014400145551E-2</v>
      </c>
      <c r="T1004">
        <v>0.81593259649501848</v>
      </c>
      <c r="U1004">
        <v>1.6670016544379777E-2</v>
      </c>
      <c r="V1004">
        <v>1.0411751591387401E-2</v>
      </c>
      <c r="W1004">
        <v>4.0867097903313832E-2</v>
      </c>
      <c r="X1004">
        <v>9.635306410452401E-3</v>
      </c>
      <c r="Y1004">
        <v>1.8411380203796309E-3</v>
      </c>
    </row>
    <row r="1005" spans="1:25">
      <c r="A1005" s="876"/>
      <c r="B1005" s="1202">
        <v>755</v>
      </c>
      <c r="C1005" s="880">
        <v>1.020167207874646</v>
      </c>
      <c r="D1005" s="880">
        <v>1.0284499276208054</v>
      </c>
      <c r="E1005" s="880">
        <v>1.0057766961205135</v>
      </c>
      <c r="F1005" s="880">
        <v>0.98552401370774145</v>
      </c>
      <c r="G1005" s="880">
        <v>0.99682816016198661</v>
      </c>
      <c r="H1005" s="880">
        <v>1.0219648194412678</v>
      </c>
      <c r="I1005" s="880">
        <v>1.0422153710894468</v>
      </c>
      <c r="K1005">
        <v>1.0737934691334774</v>
      </c>
      <c r="L1005">
        <v>0</v>
      </c>
      <c r="M1005">
        <v>6.7283527342456477E-4</v>
      </c>
      <c r="N1005">
        <v>6.828343009960948E-2</v>
      </c>
      <c r="O1005">
        <v>8.4860917159645215E-3</v>
      </c>
      <c r="P1005">
        <v>1.2724060040907703E-2</v>
      </c>
      <c r="Q1005">
        <v>2.8755192135591161E-3</v>
      </c>
      <c r="R1005">
        <v>6.6168937458929039E-4</v>
      </c>
      <c r="S1005">
        <v>8.6903867053615941E-2</v>
      </c>
      <c r="T1005">
        <v>0.81537094240196661</v>
      </c>
      <c r="U1005">
        <v>1.6576330561715411E-2</v>
      </c>
      <c r="V1005">
        <v>1.0411213020267649E-2</v>
      </c>
      <c r="W1005">
        <v>4.0655393096486657E-2</v>
      </c>
      <c r="X1005">
        <v>9.7168674764319327E-3</v>
      </c>
      <c r="Y1005">
        <v>1.8009003517883381E-3</v>
      </c>
    </row>
    <row r="1006" spans="1:25">
      <c r="A1006" s="876"/>
      <c r="B1006" s="1202">
        <v>756</v>
      </c>
      <c r="C1006" s="880">
        <v>0.99445789746463553</v>
      </c>
      <c r="D1006" s="880">
        <v>1.0252088517533242</v>
      </c>
      <c r="E1006" s="880">
        <v>1.0148152737917795</v>
      </c>
      <c r="F1006" s="880">
        <v>1.0057142317303061</v>
      </c>
      <c r="G1006" s="880">
        <v>1.031826100669295</v>
      </c>
      <c r="H1006" s="880">
        <v>1.0081020713560818</v>
      </c>
      <c r="I1006" s="880">
        <v>0.96571216031974294</v>
      </c>
      <c r="K1006">
        <v>1.0716775441031106</v>
      </c>
      <c r="L1006">
        <v>0</v>
      </c>
      <c r="M1006">
        <v>6.6912924618652318E-4</v>
      </c>
      <c r="N1006">
        <v>6.9826575340689173E-2</v>
      </c>
      <c r="O1006">
        <v>8.7201076345764777E-3</v>
      </c>
      <c r="P1006">
        <v>1.2741318614912197E-2</v>
      </c>
      <c r="Q1006">
        <v>2.9809351724962387E-3</v>
      </c>
      <c r="R1006">
        <v>6.5789488734859197E-4</v>
      </c>
      <c r="S1006">
        <v>8.2261182646497011E-2</v>
      </c>
      <c r="T1006">
        <v>0.81464437466284378</v>
      </c>
      <c r="U1006">
        <v>1.7004871608004631E-2</v>
      </c>
      <c r="V1006">
        <v>1.0413676567370295E-2</v>
      </c>
      <c r="W1006">
        <v>4.1319671719869194E-2</v>
      </c>
      <c r="X1006">
        <v>9.9854914863185523E-3</v>
      </c>
      <c r="Y1006">
        <v>1.7905730083715391E-3</v>
      </c>
    </row>
    <row r="1007" spans="1:25">
      <c r="A1007" s="876"/>
      <c r="B1007" s="1202">
        <v>757</v>
      </c>
      <c r="C1007" s="880">
        <v>0.98578474281749084</v>
      </c>
      <c r="D1007" s="880">
        <v>0.9717517596410965</v>
      </c>
      <c r="E1007" s="880">
        <v>1.0385241028983352</v>
      </c>
      <c r="F1007" s="880">
        <v>1.0121486771517938</v>
      </c>
      <c r="G1007" s="880">
        <v>1.0023724094354935</v>
      </c>
      <c r="H1007" s="880">
        <v>1.0318829622123675</v>
      </c>
      <c r="I1007" s="880">
        <v>1.0114754121941105</v>
      </c>
      <c r="K1007">
        <v>1.0885867070008401</v>
      </c>
      <c r="L1007">
        <v>0</v>
      </c>
      <c r="M1007">
        <v>6.7615076017374007E-4</v>
      </c>
      <c r="N1007">
        <v>7.5984384992932655E-2</v>
      </c>
      <c r="O1007">
        <v>9.0517096628633074E-3</v>
      </c>
      <c r="P1007">
        <v>1.3049930756867273E-2</v>
      </c>
      <c r="Q1007">
        <v>3.1551625299595498E-3</v>
      </c>
      <c r="R1007">
        <v>6.651036995361675E-4</v>
      </c>
      <c r="S1007">
        <v>9.0154028070824899E-2</v>
      </c>
      <c r="T1007">
        <v>0.81275176971124918</v>
      </c>
      <c r="U1007">
        <v>1.7154484271708008E-2</v>
      </c>
      <c r="V1007">
        <v>1.0414536643312563E-2</v>
      </c>
      <c r="W1007">
        <v>4.4253182114973748E-2</v>
      </c>
      <c r="X1007">
        <v>1.0818372288024364E-2</v>
      </c>
      <c r="Y1007">
        <v>1.8101930187618212E-3</v>
      </c>
    </row>
    <row r="1008" spans="1:25">
      <c r="A1008" s="876"/>
      <c r="B1008" s="1202">
        <v>758</v>
      </c>
      <c r="C1008" s="880">
        <v>1.0087599235344618</v>
      </c>
      <c r="D1008" s="880">
        <v>1.0143573356934852</v>
      </c>
      <c r="E1008" s="880">
        <v>0.97898777985274643</v>
      </c>
      <c r="F1008" s="880">
        <v>1.0067001004722582</v>
      </c>
      <c r="G1008" s="880">
        <v>1.0397323724329424</v>
      </c>
      <c r="H1008" s="880">
        <v>1.0034966401845322</v>
      </c>
      <c r="I1008" s="880">
        <v>1.0091981761766524</v>
      </c>
      <c r="K1008">
        <v>1.0716129126052401</v>
      </c>
      <c r="L1008">
        <v>0</v>
      </c>
      <c r="M1008">
        <v>7.1207476072218223E-4</v>
      </c>
      <c r="N1008">
        <v>6.6464388341304276E-2</v>
      </c>
      <c r="O1008">
        <v>8.6453039117494242E-3</v>
      </c>
      <c r="P1008">
        <v>1.2476807484311016E-2</v>
      </c>
      <c r="Q1008">
        <v>2.8484013572003474E-3</v>
      </c>
      <c r="R1008">
        <v>7.0007380072604987E-4</v>
      </c>
      <c r="S1008">
        <v>8.5032598738805407E-2</v>
      </c>
      <c r="T1008">
        <v>0.81754067825569576</v>
      </c>
      <c r="U1008">
        <v>1.6763779439910163E-2</v>
      </c>
      <c r="V1008">
        <v>1.0412290604654885E-2</v>
      </c>
      <c r="W1008">
        <v>4.0308363154786718E-2</v>
      </c>
      <c r="X1008">
        <v>9.2269321705083542E-3</v>
      </c>
      <c r="Y1008">
        <v>1.9053701063099213E-3</v>
      </c>
    </row>
    <row r="1009" spans="1:25">
      <c r="A1009" s="876"/>
      <c r="B1009" s="1202">
        <v>759</v>
      </c>
      <c r="C1009" s="880">
        <v>0.99573237132549475</v>
      </c>
      <c r="D1009" s="880">
        <v>0.98293934648397308</v>
      </c>
      <c r="E1009" s="880">
        <v>0.95958794757759658</v>
      </c>
      <c r="F1009" s="880">
        <v>0.98729883373101512</v>
      </c>
      <c r="G1009" s="880">
        <v>1.0315901591529895</v>
      </c>
      <c r="H1009" s="880">
        <v>1.0235772793869935</v>
      </c>
      <c r="I1009" s="880">
        <v>1.0146142910958567</v>
      </c>
      <c r="K1009">
        <v>1.0811065815377625</v>
      </c>
      <c r="L1009">
        <v>0</v>
      </c>
      <c r="M1009">
        <v>7.7929678871507249E-4</v>
      </c>
      <c r="N1009">
        <v>6.8494792396380177E-2</v>
      </c>
      <c r="O1009">
        <v>8.9066254963282489E-3</v>
      </c>
      <c r="P1009">
        <v>1.2364921925002976E-2</v>
      </c>
      <c r="Q1009">
        <v>2.8701073418018318E-3</v>
      </c>
      <c r="R1009">
        <v>7.6645029604121282E-4</v>
      </c>
      <c r="S1009">
        <v>8.8714141596943283E-2</v>
      </c>
      <c r="T1009">
        <v>0.81912710610145201</v>
      </c>
      <c r="U1009">
        <v>1.6983106458054963E-2</v>
      </c>
      <c r="V1009">
        <v>1.0413551446398682E-2</v>
      </c>
      <c r="W1009">
        <v>4.2106986353284283E-2</v>
      </c>
      <c r="X1009">
        <v>9.0520638692375421E-3</v>
      </c>
      <c r="Y1009">
        <v>2.0860250455519954E-3</v>
      </c>
    </row>
    <row r="1010" spans="1:25">
      <c r="A1010" s="876"/>
      <c r="B1010" s="1202">
        <v>760</v>
      </c>
      <c r="C1010" s="880">
        <v>0.98892113739249976</v>
      </c>
      <c r="D1010" s="880">
        <v>1.0058366624858519</v>
      </c>
      <c r="E1010" s="880">
        <v>0.996464553419386</v>
      </c>
      <c r="F1010" s="880">
        <v>0.99130223400895268</v>
      </c>
      <c r="G1010" s="880">
        <v>0.9553066996930063</v>
      </c>
      <c r="H1010" s="880">
        <v>0.97696617966648891</v>
      </c>
      <c r="I1010" s="880">
        <v>1.006917473290881</v>
      </c>
      <c r="K1010">
        <v>1.073368720457565</v>
      </c>
      <c r="L1010">
        <v>0</v>
      </c>
      <c r="M1010">
        <v>6.8471366976084053E-4</v>
      </c>
      <c r="N1010">
        <v>6.7454347672831302E-2</v>
      </c>
      <c r="O1010">
        <v>8.8584592036939011E-3</v>
      </c>
      <c r="P1010">
        <v>1.2640282455614878E-2</v>
      </c>
      <c r="Q1010">
        <v>2.9688494628497758E-3</v>
      </c>
      <c r="R1010">
        <v>6.7286777282556142E-4</v>
      </c>
      <c r="S1010">
        <v>8.5943590897575292E-2</v>
      </c>
      <c r="T1010">
        <v>0.81612240680644454</v>
      </c>
      <c r="U1010">
        <v>1.7100078283836525E-2</v>
      </c>
      <c r="V1010">
        <v>1.0414223880474704E-2</v>
      </c>
      <c r="W1010">
        <v>4.0418281156873091E-2</v>
      </c>
      <c r="X1010">
        <v>9.6287222674751611E-3</v>
      </c>
      <c r="Y1010">
        <v>1.8313242668294796E-3</v>
      </c>
    </row>
    <row r="1011" spans="1:25">
      <c r="A1011" s="876"/>
      <c r="B1011" s="1202">
        <v>761</v>
      </c>
      <c r="C1011" s="880">
        <v>0.98416969510996288</v>
      </c>
      <c r="D1011" s="880">
        <v>0.99970439579763259</v>
      </c>
      <c r="E1011" s="880">
        <v>1.0012589507439837</v>
      </c>
      <c r="F1011" s="880">
        <v>0.99649060451330629</v>
      </c>
      <c r="G1011" s="880">
        <v>0.99423181317942044</v>
      </c>
      <c r="H1011" s="880">
        <v>0.98497724171117274</v>
      </c>
      <c r="I1011" s="880">
        <v>1.0125151875673861</v>
      </c>
      <c r="K1011">
        <v>1.0770456824959389</v>
      </c>
      <c r="L1011">
        <v>0</v>
      </c>
      <c r="M1011">
        <v>6.8893102427066799E-4</v>
      </c>
      <c r="N1011">
        <v>6.8900236436808371E-2</v>
      </c>
      <c r="O1011">
        <v>8.9302943028057424E-3</v>
      </c>
      <c r="P1011">
        <v>1.2701387150749133E-2</v>
      </c>
      <c r="Q1011">
        <v>3.0060203276298225E-3</v>
      </c>
      <c r="R1011">
        <v>6.7711440493450144E-4</v>
      </c>
      <c r="S1011">
        <v>8.7397996771824873E-2</v>
      </c>
      <c r="T1011">
        <v>0.81573514402722902</v>
      </c>
      <c r="U1011">
        <v>1.71826352203041E-2</v>
      </c>
      <c r="V1011">
        <v>1.0414698474223411E-2</v>
      </c>
      <c r="W1011">
        <v>4.1149329129645071E-2</v>
      </c>
      <c r="X1011">
        <v>9.7968750745257779E-3</v>
      </c>
      <c r="Y1011">
        <v>1.8428821995281148E-3</v>
      </c>
    </row>
    <row r="1012" spans="1:25">
      <c r="A1012" s="876"/>
      <c r="B1012" s="1202">
        <v>762</v>
      </c>
      <c r="C1012" s="880">
        <v>1.0091578344420029</v>
      </c>
      <c r="D1012" s="880">
        <v>0.98614089925216808</v>
      </c>
      <c r="E1012" s="880">
        <v>0.97743235413479523</v>
      </c>
      <c r="F1012" s="880">
        <v>0.98988933207818486</v>
      </c>
      <c r="G1012" s="880">
        <v>1.0416194471950768</v>
      </c>
      <c r="H1012" s="880">
        <v>0.99950068696852878</v>
      </c>
      <c r="I1012" s="880">
        <v>0.97166773661097194</v>
      </c>
      <c r="K1012">
        <v>1.0707309304875487</v>
      </c>
      <c r="L1012">
        <v>0</v>
      </c>
      <c r="M1012">
        <v>7.2203334462642849E-4</v>
      </c>
      <c r="N1012">
        <v>6.7065842333693129E-2</v>
      </c>
      <c r="O1012">
        <v>8.7728861499670636E-3</v>
      </c>
      <c r="P1012">
        <v>1.2434461193854076E-2</v>
      </c>
      <c r="Q1012">
        <v>2.8797917723312845E-3</v>
      </c>
      <c r="R1012">
        <v>7.0984117816194647E-4</v>
      </c>
      <c r="S1012">
        <v>8.2857743433726219E-2</v>
      </c>
      <c r="T1012">
        <v>0.81766740510638425</v>
      </c>
      <c r="U1012">
        <v>1.6757169482118556E-2</v>
      </c>
      <c r="V1012">
        <v>1.0412252606095582E-2</v>
      </c>
      <c r="W1012">
        <v>4.0717101560785111E-2</v>
      </c>
      <c r="X1012">
        <v>9.2465153271816258E-3</v>
      </c>
      <c r="Y1012">
        <v>1.9319536878753259E-3</v>
      </c>
    </row>
    <row r="1013" spans="1:25">
      <c r="A1013" s="876"/>
      <c r="B1013" s="1202">
        <v>763</v>
      </c>
      <c r="C1013" s="880">
        <v>1.0161275254885218</v>
      </c>
      <c r="D1013" s="880">
        <v>0.97288708068292051</v>
      </c>
      <c r="E1013" s="880">
        <v>0.95151405057246208</v>
      </c>
      <c r="F1013" s="880">
        <v>1.0052856324123882</v>
      </c>
      <c r="G1013" s="880">
        <v>0.98032982219223952</v>
      </c>
      <c r="H1013" s="880">
        <v>0.99023194902979117</v>
      </c>
      <c r="I1013" s="880">
        <v>0.98606075862458442</v>
      </c>
      <c r="K1013">
        <v>1.0698589988692593</v>
      </c>
      <c r="L1013">
        <v>0</v>
      </c>
      <c r="M1013">
        <v>7.5548478708626526E-4</v>
      </c>
      <c r="N1013">
        <v>6.4713657424502372E-2</v>
      </c>
      <c r="O1013">
        <v>8.7759339344028221E-3</v>
      </c>
      <c r="P1013">
        <v>1.2226415711043319E-2</v>
      </c>
      <c r="Q1013">
        <v>2.8023907836616274E-3</v>
      </c>
      <c r="R1013">
        <v>7.4262125840845582E-4</v>
      </c>
      <c r="S1013">
        <v>8.3748094718737842E-2</v>
      </c>
      <c r="T1013">
        <v>0.81979108836091419</v>
      </c>
      <c r="U1013">
        <v>1.664223086351516E-2</v>
      </c>
      <c r="V1013">
        <v>1.0411591860285358E-2</v>
      </c>
      <c r="W1013">
        <v>4.0009941320088692E-2</v>
      </c>
      <c r="X1013">
        <v>8.7293471604299577E-3</v>
      </c>
      <c r="Y1013">
        <v>2.0211702603557752E-3</v>
      </c>
    </row>
    <row r="1014" spans="1:25">
      <c r="A1014" s="876"/>
      <c r="B1014" s="1202">
        <v>764</v>
      </c>
      <c r="C1014" s="880">
        <v>1.0339594610579357</v>
      </c>
      <c r="D1014" s="880">
        <v>0.9611338551873323</v>
      </c>
      <c r="E1014" s="880">
        <v>0.99656620782720695</v>
      </c>
      <c r="F1014" s="880">
        <v>1.0135449581606788</v>
      </c>
      <c r="G1014" s="880">
        <v>1.0451146420384312</v>
      </c>
      <c r="H1014" s="880">
        <v>0.96447699557661459</v>
      </c>
      <c r="I1014" s="880">
        <v>1.0081462200196587</v>
      </c>
      <c r="K1014">
        <v>1.0663797933047581</v>
      </c>
      <c r="L1014">
        <v>0</v>
      </c>
      <c r="M1014">
        <v>6.6222739692562013E-4</v>
      </c>
      <c r="N1014">
        <v>6.5248790270639262E-2</v>
      </c>
      <c r="O1014">
        <v>8.680844548269815E-3</v>
      </c>
      <c r="P1014">
        <v>1.2600977863921076E-2</v>
      </c>
      <c r="Q1014">
        <v>2.8996858111487262E-3</v>
      </c>
      <c r="R1014">
        <v>6.5066112678104082E-4</v>
      </c>
      <c r="S1014">
        <v>8.3742942736777085E-2</v>
      </c>
      <c r="T1014">
        <v>0.81611418766935051</v>
      </c>
      <c r="U1014">
        <v>1.6355214592890945E-2</v>
      </c>
      <c r="V1014">
        <v>1.0409941894411551E-2</v>
      </c>
      <c r="W1014">
        <v>3.9093997113297453E-2</v>
      </c>
      <c r="X1014">
        <v>9.4738919774800916E-3</v>
      </c>
      <c r="Y1014">
        <v>1.7708850967151954E-3</v>
      </c>
    </row>
    <row r="1015" spans="1:25">
      <c r="A1015" s="876"/>
      <c r="B1015" s="1202">
        <v>765</v>
      </c>
      <c r="C1015" s="880">
        <v>0.9975456196970427</v>
      </c>
      <c r="D1015" s="880">
        <v>0.99045577598662826</v>
      </c>
      <c r="E1015" s="880">
        <v>0.98899790917007313</v>
      </c>
      <c r="F1015" s="880">
        <v>1.0417436411654826</v>
      </c>
      <c r="G1015" s="880">
        <v>0.99965102929004068</v>
      </c>
      <c r="H1015" s="880">
        <v>0.97933457418837944</v>
      </c>
      <c r="I1015" s="880">
        <v>0.95958012890492195</v>
      </c>
      <c r="K1015">
        <v>1.0691130234358563</v>
      </c>
      <c r="L1015">
        <v>0</v>
      </c>
      <c r="M1015">
        <v>6.9690197676468345E-4</v>
      </c>
      <c r="N1015">
        <v>6.7081978358308147E-2</v>
      </c>
      <c r="O1015">
        <v>8.8543472298583115E-3</v>
      </c>
      <c r="P1015">
        <v>1.252099361605552E-2</v>
      </c>
      <c r="Q1015">
        <v>2.941803087454693E-3</v>
      </c>
      <c r="R1015">
        <v>6.8488798646533608E-4</v>
      </c>
      <c r="S1015">
        <v>8.1902319062121337E-2</v>
      </c>
      <c r="T1015">
        <v>0.8167270716595737</v>
      </c>
      <c r="U1015">
        <v>1.6952236100328106E-2</v>
      </c>
      <c r="V1015">
        <v>1.0413373982463777E-2</v>
      </c>
      <c r="W1015">
        <v>4.0402093046283338E-2</v>
      </c>
      <c r="X1015">
        <v>9.4647819578138649E-3</v>
      </c>
      <c r="Y1015">
        <v>1.8640393258945839E-3</v>
      </c>
    </row>
    <row r="1016" spans="1:25">
      <c r="A1016" s="876"/>
      <c r="B1016" s="1202">
        <v>766</v>
      </c>
      <c r="C1016" s="880">
        <v>1.0169671843250243</v>
      </c>
      <c r="D1016" s="880">
        <v>0.99801460511532003</v>
      </c>
      <c r="E1016" s="880">
        <v>0.96793020129978957</v>
      </c>
      <c r="F1016" s="880">
        <v>0.97442444707554687</v>
      </c>
      <c r="G1016" s="880">
        <v>1.0129491374389534</v>
      </c>
      <c r="H1016" s="880">
        <v>1.021983734368263</v>
      </c>
      <c r="I1016" s="880">
        <v>0.99028345207260104</v>
      </c>
      <c r="K1016">
        <v>1.0723536763935804</v>
      </c>
      <c r="L1016">
        <v>0</v>
      </c>
      <c r="M1016">
        <v>7.4260197176179957E-4</v>
      </c>
      <c r="N1016">
        <v>6.6987397792087788E-2</v>
      </c>
      <c r="O1016">
        <v>8.6500906149773321E-3</v>
      </c>
      <c r="P1016">
        <v>1.2369240633100154E-2</v>
      </c>
      <c r="Q1016">
        <v>2.814603891498331E-3</v>
      </c>
      <c r="R1016">
        <v>7.3032752750079339E-4</v>
      </c>
      <c r="S1016">
        <v>8.4081781473476683E-2</v>
      </c>
      <c r="T1016">
        <v>0.81844335930998935</v>
      </c>
      <c r="U1016">
        <v>1.6628490207553952E-2</v>
      </c>
      <c r="V1016">
        <v>1.0411512869594812E-2</v>
      </c>
      <c r="W1016">
        <v>4.093990710432957E-2</v>
      </c>
      <c r="X1016">
        <v>9.0518561637795304E-3</v>
      </c>
      <c r="Y1016">
        <v>1.9877107774524229E-3</v>
      </c>
    </row>
    <row r="1017" spans="1:25">
      <c r="A1017" s="876"/>
      <c r="B1017" s="1202">
        <v>767</v>
      </c>
      <c r="C1017" s="880">
        <v>1.032500882524952</v>
      </c>
      <c r="D1017" s="880">
        <v>0.98512291312842448</v>
      </c>
      <c r="E1017" s="880">
        <v>1.0146826164615612</v>
      </c>
      <c r="F1017" s="880">
        <v>1.013423489114486</v>
      </c>
      <c r="G1017" s="880">
        <v>0.98374089079808968</v>
      </c>
      <c r="H1017" s="880">
        <v>1.029182471229291</v>
      </c>
      <c r="I1017" s="880">
        <v>0.97851142872491625</v>
      </c>
      <c r="K1017">
        <v>1.0716992860254364</v>
      </c>
      <c r="L1017">
        <v>0</v>
      </c>
      <c r="M1017">
        <v>6.7224334112418109E-4</v>
      </c>
      <c r="N1017">
        <v>7.0150579312199757E-2</v>
      </c>
      <c r="O1017">
        <v>8.5792769172589236E-3</v>
      </c>
      <c r="P1017">
        <v>1.2736347868840446E-2</v>
      </c>
      <c r="Q1017">
        <v>2.9237006730100713E-3</v>
      </c>
      <c r="R1017">
        <v>6.6122014052447879E-4</v>
      </c>
      <c r="S1017">
        <v>8.2610718097886851E-2</v>
      </c>
      <c r="T1017">
        <v>0.81465501823394937</v>
      </c>
      <c r="U1017">
        <v>1.6378319042786599E-2</v>
      </c>
      <c r="V1017">
        <v>1.0410074714595503E-2</v>
      </c>
      <c r="W1017">
        <v>4.1515129735628944E-2</v>
      </c>
      <c r="X1017">
        <v>9.951521378531291E-3</v>
      </c>
      <c r="Y1017">
        <v>1.7996232513468886E-3</v>
      </c>
    </row>
    <row r="1018" spans="1:25">
      <c r="A1018" s="876"/>
      <c r="B1018" s="1202">
        <v>768</v>
      </c>
      <c r="C1018" s="880">
        <v>1.034159724535217</v>
      </c>
      <c r="D1018" s="880">
        <v>1.0195591200397116</v>
      </c>
      <c r="E1018" s="880">
        <v>1.0062254119055996</v>
      </c>
      <c r="F1018" s="880">
        <v>1.0142545903096727</v>
      </c>
      <c r="G1018" s="880">
        <v>0.9847483668373862</v>
      </c>
      <c r="H1018" s="880">
        <v>0.96122164792784492</v>
      </c>
      <c r="I1018" s="880">
        <v>1.0031289226454578</v>
      </c>
      <c r="K1018">
        <v>1.0593945052837355</v>
      </c>
      <c r="L1018">
        <v>0</v>
      </c>
      <c r="M1018">
        <v>6.2657184494834819E-4</v>
      </c>
      <c r="N1018">
        <v>6.3610063877692261E-2</v>
      </c>
      <c r="O1018">
        <v>8.4100337543854785E-3</v>
      </c>
      <c r="P1018">
        <v>1.2640813800242606E-2</v>
      </c>
      <c r="Q1018">
        <v>2.8491988886316997E-3</v>
      </c>
      <c r="R1018">
        <v>6.1554336693673704E-4</v>
      </c>
      <c r="S1018">
        <v>8.0784757129617399E-2</v>
      </c>
      <c r="T1018">
        <v>0.81533480671379721</v>
      </c>
      <c r="U1018">
        <v>1.6352047430151607E-2</v>
      </c>
      <c r="V1018">
        <v>1.0409923687393446E-2</v>
      </c>
      <c r="W1018">
        <v>3.786133149968799E-2</v>
      </c>
      <c r="X1018">
        <v>9.477250849160946E-3</v>
      </c>
      <c r="Y1018">
        <v>1.6753061309854218E-3</v>
      </c>
    </row>
    <row r="1019" spans="1:25">
      <c r="A1019" s="876"/>
      <c r="B1019" s="1202">
        <v>769</v>
      </c>
      <c r="C1019" s="880">
        <v>0.97542425945427624</v>
      </c>
      <c r="D1019" s="880">
        <v>0.99903769269677201</v>
      </c>
      <c r="E1019" s="880">
        <v>1.0152026180477196</v>
      </c>
      <c r="F1019" s="880">
        <v>0.97533172627640374</v>
      </c>
      <c r="G1019" s="880">
        <v>0.99882562464786562</v>
      </c>
      <c r="H1019" s="880">
        <v>0.9967295034809589</v>
      </c>
      <c r="I1019" s="880">
        <v>1.0047104165284977</v>
      </c>
      <c r="K1019">
        <v>1.0808373111259484</v>
      </c>
      <c r="L1019">
        <v>0</v>
      </c>
      <c r="M1019">
        <v>6.8326394397171105E-4</v>
      </c>
      <c r="N1019">
        <v>7.1375890674655246E-2</v>
      </c>
      <c r="O1019">
        <v>9.0135675647376717E-3</v>
      </c>
      <c r="P1019">
        <v>1.2827845167788704E-2</v>
      </c>
      <c r="Q1019">
        <v>3.0765262340904263E-3</v>
      </c>
      <c r="R1019">
        <v>6.7168327604466289E-4</v>
      </c>
      <c r="S1019">
        <v>8.7963959661610858E-2</v>
      </c>
      <c r="T1019">
        <v>0.81461330008139321</v>
      </c>
      <c r="U1019">
        <v>1.7336690883014753E-2</v>
      </c>
      <c r="V1019">
        <v>1.0415584091563441E-2</v>
      </c>
      <c r="W1019">
        <v>4.2225398230336816E-2</v>
      </c>
      <c r="X1019">
        <v>1.0172028747622981E-2</v>
      </c>
      <c r="Y1019">
        <v>1.8281004570611325E-3</v>
      </c>
    </row>
    <row r="1020" spans="1:25">
      <c r="A1020" s="876"/>
      <c r="B1020" s="1202">
        <v>770</v>
      </c>
      <c r="C1020" s="880">
        <v>1.0130675079612155</v>
      </c>
      <c r="D1020" s="880">
        <v>1.0301372478134245</v>
      </c>
      <c r="E1020" s="880">
        <v>0.9801318303018367</v>
      </c>
      <c r="F1020" s="880">
        <v>0.98534049448477068</v>
      </c>
      <c r="G1020" s="880">
        <v>0.96650583001071189</v>
      </c>
      <c r="H1020" s="880">
        <v>1.0047174223938686</v>
      </c>
      <c r="I1020" s="880">
        <v>0.98155052780390351</v>
      </c>
      <c r="K1020">
        <v>1.0668299346976298</v>
      </c>
      <c r="L1020">
        <v>0</v>
      </c>
      <c r="M1020">
        <v>7.0242639880680662E-4</v>
      </c>
      <c r="N1020">
        <v>6.5798054389900731E-2</v>
      </c>
      <c r="O1020">
        <v>8.5381166141622854E-3</v>
      </c>
      <c r="P1020">
        <v>1.2441504903174957E-2</v>
      </c>
      <c r="Q1020">
        <v>2.8195780325786512E-3</v>
      </c>
      <c r="R1020">
        <v>6.9058914913435853E-4</v>
      </c>
      <c r="S1020">
        <v>8.1763760015361259E-2</v>
      </c>
      <c r="T1020">
        <v>0.81744752004927834</v>
      </c>
      <c r="U1020">
        <v>1.6692499495897167E-2</v>
      </c>
      <c r="V1020">
        <v>1.0411880838773507E-2</v>
      </c>
      <c r="W1020">
        <v>3.9872579527515259E-2</v>
      </c>
      <c r="X1020">
        <v>9.1767220693667242E-3</v>
      </c>
      <c r="Y1020">
        <v>1.8795560112918953E-3</v>
      </c>
    </row>
    <row r="1021" spans="1:25">
      <c r="A1021" s="876"/>
      <c r="B1021" s="1202">
        <v>771</v>
      </c>
      <c r="C1021" s="880">
        <v>0.96435680575366756</v>
      </c>
      <c r="D1021" s="880">
        <v>1.0082556109279803</v>
      </c>
      <c r="E1021" s="880">
        <v>1.0082553214149139</v>
      </c>
      <c r="F1021" s="880">
        <v>1.0056919363280628</v>
      </c>
      <c r="G1021" s="880">
        <v>0.99199444788992119</v>
      </c>
      <c r="H1021" s="880">
        <v>0.96475857269495291</v>
      </c>
      <c r="I1021" s="880">
        <v>1.0110040396803972</v>
      </c>
      <c r="K1021">
        <v>1.077779395913788</v>
      </c>
      <c r="L1021">
        <v>0</v>
      </c>
      <c r="M1021">
        <v>6.7550679299498032E-4</v>
      </c>
      <c r="N1021">
        <v>6.9017738716259658E-2</v>
      </c>
      <c r="O1021">
        <v>9.0724832364882085E-3</v>
      </c>
      <c r="P1021">
        <v>1.2772079185536024E-2</v>
      </c>
      <c r="Q1021">
        <v>3.077331804010344E-3</v>
      </c>
      <c r="R1021">
        <v>6.6367022159592032E-4</v>
      </c>
      <c r="S1021">
        <v>8.792920365804352E-2</v>
      </c>
      <c r="T1021">
        <v>0.81517142094155259</v>
      </c>
      <c r="U1021">
        <v>1.7535655646393592E-2</v>
      </c>
      <c r="V1021">
        <v>1.0416727877136848E-2</v>
      </c>
      <c r="W1021">
        <v>4.1023301049879904E-2</v>
      </c>
      <c r="X1021">
        <v>9.9689988055313376E-3</v>
      </c>
      <c r="Y1021">
        <v>1.8062915643543443E-3</v>
      </c>
    </row>
    <row r="1022" spans="1:25">
      <c r="A1022" s="876"/>
      <c r="B1022" s="1202">
        <v>772</v>
      </c>
      <c r="C1022" s="880">
        <v>1.0024366761760839</v>
      </c>
      <c r="D1022" s="880">
        <v>0.99623264916493759</v>
      </c>
      <c r="E1022" s="880">
        <v>0.95784282894300654</v>
      </c>
      <c r="F1022" s="880">
        <v>1.0246253722775105</v>
      </c>
      <c r="G1022" s="880">
        <v>0.97101063728180759</v>
      </c>
      <c r="H1022" s="880">
        <v>1.0091596535234433</v>
      </c>
      <c r="I1022" s="880">
        <v>1.0122113920553226</v>
      </c>
      <c r="K1022">
        <v>1.075598676938097</v>
      </c>
      <c r="L1022">
        <v>0</v>
      </c>
      <c r="M1022">
        <v>7.605128815835158E-4</v>
      </c>
      <c r="N1022">
        <v>6.6463740867187426E-2</v>
      </c>
      <c r="O1022">
        <v>8.783844622444378E-3</v>
      </c>
      <c r="P1022">
        <v>1.2323323742115293E-2</v>
      </c>
      <c r="Q1022">
        <v>2.8283151165686294E-3</v>
      </c>
      <c r="R1022">
        <v>7.4778431911566373E-4</v>
      </c>
      <c r="S1022">
        <v>8.680318673703287E-2</v>
      </c>
      <c r="T1022">
        <v>0.81927043572287794</v>
      </c>
      <c r="U1022">
        <v>1.6869523300424336E-2</v>
      </c>
      <c r="V1022">
        <v>1.0412898492705401E-2</v>
      </c>
      <c r="W1022">
        <v>4.0908657255956729E-2</v>
      </c>
      <c r="X1022">
        <v>8.9122572336530863E-3</v>
      </c>
      <c r="Y1022">
        <v>2.0352224095982908E-3</v>
      </c>
    </row>
    <row r="1023" spans="1:25">
      <c r="A1023" s="876"/>
      <c r="B1023" s="1202">
        <v>773</v>
      </c>
      <c r="C1023" s="880">
        <v>0.9993802669170363</v>
      </c>
      <c r="D1023" s="880">
        <v>0.96539084814399467</v>
      </c>
      <c r="E1023" s="880">
        <v>1.0066270228407395</v>
      </c>
      <c r="F1023" s="880">
        <v>0.97498488261006466</v>
      </c>
      <c r="G1023" s="880">
        <v>1.0072189755107326</v>
      </c>
      <c r="H1023" s="880">
        <v>0.96911119440410765</v>
      </c>
      <c r="I1023" s="880">
        <v>1.0139204995853932</v>
      </c>
      <c r="K1023">
        <v>1.0751759697732328</v>
      </c>
      <c r="L1023">
        <v>0</v>
      </c>
      <c r="M1023">
        <v>6.7240831591386298E-4</v>
      </c>
      <c r="N1023">
        <v>6.8363568398062541E-2</v>
      </c>
      <c r="O1023">
        <v>8.9599905199902533E-3</v>
      </c>
      <c r="P1023">
        <v>1.2738822786027783E-2</v>
      </c>
      <c r="Q1023">
        <v>3.0243379411737958E-3</v>
      </c>
      <c r="R1023">
        <v>6.6071653255848136E-4</v>
      </c>
      <c r="S1023">
        <v>8.7115806502875037E-2</v>
      </c>
      <c r="T1023">
        <v>0.81530247025104674</v>
      </c>
      <c r="U1023">
        <v>1.6921115440991827E-2</v>
      </c>
      <c r="V1023">
        <v>1.0413195079624021E-2</v>
      </c>
      <c r="W1023">
        <v>4.0679533632673161E-2</v>
      </c>
      <c r="X1023">
        <v>9.8705684076441612E-3</v>
      </c>
      <c r="Y1023">
        <v>1.7982525964777647E-3</v>
      </c>
    </row>
    <row r="1024" spans="1:25">
      <c r="A1024" s="876"/>
      <c r="B1024" s="1202">
        <v>774</v>
      </c>
      <c r="C1024" s="880">
        <v>0.98032058598437877</v>
      </c>
      <c r="D1024" s="880">
        <v>0.98175379986497902</v>
      </c>
      <c r="E1024" s="880">
        <v>0.97652100984202028</v>
      </c>
      <c r="F1024" s="880">
        <v>1.0077526223817805</v>
      </c>
      <c r="G1024" s="880">
        <v>0.99591952606308198</v>
      </c>
      <c r="H1024" s="880">
        <v>1.0172913219580559</v>
      </c>
      <c r="I1024" s="880">
        <v>1.0247147809632433</v>
      </c>
      <c r="K1024">
        <v>1.0854352807751655</v>
      </c>
      <c r="L1024">
        <v>0</v>
      </c>
      <c r="M1024">
        <v>7.5975350865020394E-4</v>
      </c>
      <c r="N1024">
        <v>7.0390854156696062E-2</v>
      </c>
      <c r="O1024">
        <v>9.0524820411884473E-3</v>
      </c>
      <c r="P1024">
        <v>1.2540276029854568E-2</v>
      </c>
      <c r="Q1024">
        <v>2.9678207142212428E-3</v>
      </c>
      <c r="R1024">
        <v>7.4715291766545909E-4</v>
      </c>
      <c r="S1024">
        <v>9.0823495122548795E-2</v>
      </c>
      <c r="T1024">
        <v>0.81774169403624075</v>
      </c>
      <c r="U1024">
        <v>1.7250100740230537E-2</v>
      </c>
      <c r="V1024">
        <v>1.0415086312185674E-2</v>
      </c>
      <c r="W1024">
        <v>4.2762878059599475E-2</v>
      </c>
      <c r="X1024">
        <v>9.469690210391778E-3</v>
      </c>
      <c r="Y1024">
        <v>2.0335039429922657E-3</v>
      </c>
    </row>
    <row r="1025" spans="1:25">
      <c r="A1025" s="876"/>
      <c r="B1025" s="1202">
        <v>775</v>
      </c>
      <c r="C1025" s="880">
        <v>1.0097957147171093</v>
      </c>
      <c r="D1025" s="880">
        <v>0.98430547785714251</v>
      </c>
      <c r="E1025" s="880">
        <v>0.99263831347882048</v>
      </c>
      <c r="F1025" s="880">
        <v>0.99429521124449116</v>
      </c>
      <c r="G1025" s="880">
        <v>1.000645434753876</v>
      </c>
      <c r="H1025" s="880">
        <v>1.0053230863586835</v>
      </c>
      <c r="I1025" s="880">
        <v>1.0122114718326534</v>
      </c>
      <c r="K1025">
        <v>1.0756178180379801</v>
      </c>
      <c r="L1025">
        <v>0</v>
      </c>
      <c r="M1025">
        <v>7.0365808477036631E-4</v>
      </c>
      <c r="N1025">
        <v>6.8535910811629075E-2</v>
      </c>
      <c r="O1025">
        <v>8.7760710339728817E-3</v>
      </c>
      <c r="P1025">
        <v>1.2611656560483903E-2</v>
      </c>
      <c r="Q1025">
        <v>2.9251714038836985E-3</v>
      </c>
      <c r="R1025">
        <v>6.9184664175677758E-4</v>
      </c>
      <c r="S1025">
        <v>8.6551191477696368E-2</v>
      </c>
      <c r="T1025">
        <v>0.81643202762516909</v>
      </c>
      <c r="U1025">
        <v>1.6746584105568164E-2</v>
      </c>
      <c r="V1025">
        <v>1.0412191754109628E-2</v>
      </c>
      <c r="W1025">
        <v>4.1174414641551055E-2</v>
      </c>
      <c r="X1025">
        <v>9.5814315752513531E-3</v>
      </c>
      <c r="Y1025">
        <v>1.8829784916777879E-3</v>
      </c>
    </row>
    <row r="1026" spans="1:25">
      <c r="A1026" s="876"/>
      <c r="B1026" s="1202">
        <v>776</v>
      </c>
      <c r="C1026" s="880">
        <v>0.97358415067518089</v>
      </c>
      <c r="D1026" s="880">
        <v>0.9646662105344862</v>
      </c>
      <c r="E1026" s="880">
        <v>0.96878184263375899</v>
      </c>
      <c r="F1026" s="880">
        <v>1.0063675810894308</v>
      </c>
      <c r="G1026" s="880">
        <v>0.99735792422637426</v>
      </c>
      <c r="H1026" s="880">
        <v>0.9781772772014421</v>
      </c>
      <c r="I1026" s="880">
        <v>0.99536397847912861</v>
      </c>
      <c r="K1026">
        <v>1.0801075541297795</v>
      </c>
      <c r="L1026">
        <v>0</v>
      </c>
      <c r="M1026">
        <v>7.5466565140922903E-4</v>
      </c>
      <c r="N1026">
        <v>6.8208289104161574E-2</v>
      </c>
      <c r="O1026">
        <v>9.2010909121050793E-3</v>
      </c>
      <c r="P1026">
        <v>1.2440683079784859E-2</v>
      </c>
      <c r="Q1026">
        <v>2.9888410836360654E-3</v>
      </c>
      <c r="R1026">
        <v>7.4166593166255057E-4</v>
      </c>
      <c r="S1026">
        <v>8.8158175477034043E-2</v>
      </c>
      <c r="T1026">
        <v>0.81837368915974207</v>
      </c>
      <c r="U1026">
        <v>1.7369457847300453E-2</v>
      </c>
      <c r="V1026">
        <v>1.0415772458490321E-2</v>
      </c>
      <c r="W1026">
        <v>4.1661235675269005E-2</v>
      </c>
      <c r="X1026">
        <v>9.2847488761257403E-3</v>
      </c>
      <c r="Y1026">
        <v>2.0185701758767987E-3</v>
      </c>
    </row>
    <row r="1027" spans="1:25">
      <c r="A1027" s="876"/>
      <c r="B1027" s="1202">
        <v>777</v>
      </c>
      <c r="C1027" s="880">
        <v>1.0124229366138735</v>
      </c>
      <c r="D1027" s="880">
        <v>1.0313966457507406</v>
      </c>
      <c r="E1027" s="880">
        <v>0.9839635950428377</v>
      </c>
      <c r="F1027" s="880">
        <v>0.98707384757751693</v>
      </c>
      <c r="G1027" s="880">
        <v>0.99916201308597052</v>
      </c>
      <c r="H1027" s="880">
        <v>0.99844894016362429</v>
      </c>
      <c r="I1027" s="880">
        <v>1.0007725142394261</v>
      </c>
      <c r="K1027">
        <v>1.0676464727143087</v>
      </c>
      <c r="L1027">
        <v>0</v>
      </c>
      <c r="M1027">
        <v>6.9244138168435938E-4</v>
      </c>
      <c r="N1027">
        <v>6.5634469248646479E-2</v>
      </c>
      <c r="O1027">
        <v>8.5380037891042444E-3</v>
      </c>
      <c r="P1027">
        <v>1.2492375695298577E-2</v>
      </c>
      <c r="Q1027">
        <v>2.8307855630194303E-3</v>
      </c>
      <c r="R1027">
        <v>6.8069809878515007E-4</v>
      </c>
      <c r="S1027">
        <v>8.314951690607103E-2</v>
      </c>
      <c r="T1027">
        <v>0.81713582816044261</v>
      </c>
      <c r="U1027">
        <v>1.6703126978248137E-2</v>
      </c>
      <c r="V1027">
        <v>1.0411941932812401E-2</v>
      </c>
      <c r="W1027">
        <v>3.9667990810472079E-2</v>
      </c>
      <c r="X1027">
        <v>9.2415410802669153E-3</v>
      </c>
      <c r="Y1027">
        <v>1.8526358328252205E-3</v>
      </c>
    </row>
    <row r="1028" spans="1:25">
      <c r="A1028" s="876"/>
      <c r="B1028" s="1202">
        <v>778</v>
      </c>
      <c r="C1028" s="880">
        <v>1.0211396636561967</v>
      </c>
      <c r="D1028" s="880">
        <v>1.0140240733873773</v>
      </c>
      <c r="E1028" s="880">
        <v>1.0132138092540499</v>
      </c>
      <c r="F1028" s="880">
        <v>1.0344963683268678</v>
      </c>
      <c r="G1028" s="880">
        <v>1.0062071953793816</v>
      </c>
      <c r="H1028" s="880">
        <v>0.99649616855515566</v>
      </c>
      <c r="I1028" s="880">
        <v>1.0310454450265985</v>
      </c>
      <c r="K1028">
        <v>1.0705700967809573</v>
      </c>
      <c r="L1028">
        <v>0</v>
      </c>
      <c r="M1028">
        <v>6.5009990187066724E-4</v>
      </c>
      <c r="N1028">
        <v>6.7491469420384906E-2</v>
      </c>
      <c r="O1028">
        <v>8.5419876488548249E-3</v>
      </c>
      <c r="P1028">
        <v>1.2767675541894041E-2</v>
      </c>
      <c r="Q1028">
        <v>2.913017233933285E-3</v>
      </c>
      <c r="R1028">
        <v>6.3906673033018856E-4</v>
      </c>
      <c r="S1028">
        <v>8.5583358081910962E-2</v>
      </c>
      <c r="T1028">
        <v>0.81477290594026908</v>
      </c>
      <c r="U1028">
        <v>1.6560544524735977E-2</v>
      </c>
      <c r="V1028">
        <v>1.0411122271327733E-2</v>
      </c>
      <c r="W1028">
        <v>3.9981241240871448E-2</v>
      </c>
      <c r="X1028">
        <v>9.8184790766477192E-3</v>
      </c>
      <c r="Y1028">
        <v>1.7393289716677381E-3</v>
      </c>
    </row>
    <row r="1029" spans="1:25">
      <c r="A1029" s="876"/>
      <c r="B1029" s="1202">
        <v>779</v>
      </c>
      <c r="C1029" s="880">
        <v>1.031195210279271</v>
      </c>
      <c r="D1029" s="880">
        <v>1.0107119343743931</v>
      </c>
      <c r="E1029" s="880">
        <v>1.0366441515052527</v>
      </c>
      <c r="F1029" s="880">
        <v>1.0088656750041229</v>
      </c>
      <c r="G1029" s="880">
        <v>0.99872078734679293</v>
      </c>
      <c r="H1029" s="880">
        <v>0.97691026282897686</v>
      </c>
      <c r="I1029" s="880">
        <v>0.97955649880668583</v>
      </c>
      <c r="K1029">
        <v>1.0620655492500486</v>
      </c>
      <c r="L1029">
        <v>0</v>
      </c>
      <c r="M1029">
        <v>6.0165555899488671E-4</v>
      </c>
      <c r="N1029">
        <v>6.715331974138955E-2</v>
      </c>
      <c r="O1029">
        <v>8.4734450099511749E-3</v>
      </c>
      <c r="P1029">
        <v>1.28811141267782E-2</v>
      </c>
      <c r="Q1029">
        <v>2.9568368554992097E-3</v>
      </c>
      <c r="R1029">
        <v>5.9124233075339198E-4</v>
      </c>
      <c r="S1029">
        <v>7.9986242218951523E-2</v>
      </c>
      <c r="T1029">
        <v>0.81290114011599091</v>
      </c>
      <c r="U1029">
        <v>1.6399056839463595E-2</v>
      </c>
      <c r="V1029">
        <v>1.0410193929637693E-2</v>
      </c>
      <c r="W1029">
        <v>3.9159027215324028E-2</v>
      </c>
      <c r="X1029">
        <v>1.0146419703974851E-2</v>
      </c>
      <c r="Y1029">
        <v>1.6091667213287814E-3</v>
      </c>
    </row>
    <row r="1030" spans="1:25">
      <c r="A1030" s="876"/>
      <c r="B1030" s="1202">
        <v>780</v>
      </c>
      <c r="C1030" s="880">
        <v>0.98309120487651525</v>
      </c>
      <c r="D1030" s="880">
        <v>1.0282427835366261</v>
      </c>
      <c r="E1030" s="880">
        <v>1.011162632145806</v>
      </c>
      <c r="F1030" s="880">
        <v>1.0228773914674261</v>
      </c>
      <c r="G1030" s="880">
        <v>1.0264823017926317</v>
      </c>
      <c r="H1030" s="880">
        <v>1.0092411728828024</v>
      </c>
      <c r="I1030" s="880">
        <v>0.988514206238015</v>
      </c>
      <c r="K1030">
        <v>1.0760822684501699</v>
      </c>
      <c r="L1030">
        <v>0</v>
      </c>
      <c r="M1030">
        <v>6.8180371704033892E-4</v>
      </c>
      <c r="N1030">
        <v>7.0347131840994934E-2</v>
      </c>
      <c r="O1030">
        <v>8.8070770778746112E-3</v>
      </c>
      <c r="P1030">
        <v>1.2752724625202543E-2</v>
      </c>
      <c r="Q1030">
        <v>3.0003651292593511E-3</v>
      </c>
      <c r="R1030">
        <v>6.7036702702020893E-4</v>
      </c>
      <c r="S1030">
        <v>8.5092498157005758E-2</v>
      </c>
      <c r="T1030">
        <v>0.81493765808876106</v>
      </c>
      <c r="U1030">
        <v>1.720148525596514E-2</v>
      </c>
      <c r="V1030">
        <v>1.0414806837123848E-2</v>
      </c>
      <c r="W1030">
        <v>4.1730939283657079E-2</v>
      </c>
      <c r="X1030">
        <v>9.9845007832271033E-3</v>
      </c>
      <c r="Y1030">
        <v>1.824518061117943E-3</v>
      </c>
    </row>
    <row r="1031" spans="1:25">
      <c r="A1031" s="876"/>
      <c r="B1031" s="1202">
        <v>781</v>
      </c>
      <c r="C1031" s="880">
        <v>0.98708047362902251</v>
      </c>
      <c r="D1031" s="880">
        <v>0.99954606090958942</v>
      </c>
      <c r="E1031" s="880">
        <v>1.0130287558295565</v>
      </c>
      <c r="F1031" s="880">
        <v>1.0327525308014673</v>
      </c>
      <c r="G1031" s="880">
        <v>0.97761284478224808</v>
      </c>
      <c r="H1031" s="880">
        <v>0.97282098524246452</v>
      </c>
      <c r="I1031" s="880">
        <v>0.95655217230694622</v>
      </c>
      <c r="K1031">
        <v>1.0699314347484847</v>
      </c>
      <c r="L1031">
        <v>0</v>
      </c>
      <c r="M1031">
        <v>6.6185075638963101E-4</v>
      </c>
      <c r="N1031">
        <v>6.8644324670108892E-2</v>
      </c>
      <c r="O1031">
        <v>8.9047121116056956E-3</v>
      </c>
      <c r="P1031">
        <v>1.2723423772142433E-2</v>
      </c>
      <c r="Q1031">
        <v>3.0329041085329846E-3</v>
      </c>
      <c r="R1031">
        <v>6.5035689948627295E-4</v>
      </c>
      <c r="S1031">
        <v>8.1909112322103531E-2</v>
      </c>
      <c r="T1031">
        <v>0.81478776369624639</v>
      </c>
      <c r="U1031">
        <v>1.7131965749236311E-2</v>
      </c>
      <c r="V1031">
        <v>1.0414407191440272E-2</v>
      </c>
      <c r="W1031">
        <v>4.066928303508513E-2</v>
      </c>
      <c r="X1031">
        <v>9.9549748585797404E-3</v>
      </c>
      <c r="Y1031">
        <v>1.770057090307338E-3</v>
      </c>
    </row>
    <row r="1032" spans="1:25">
      <c r="A1032" s="876"/>
      <c r="B1032" s="1202">
        <v>782</v>
      </c>
      <c r="C1032" s="880">
        <v>1.0438387818055672</v>
      </c>
      <c r="D1032" s="880">
        <v>0.98814170505321919</v>
      </c>
      <c r="E1032" s="880">
        <v>1.0030467982753526</v>
      </c>
      <c r="F1032" s="880">
        <v>0.96035515625149037</v>
      </c>
      <c r="G1032" s="880">
        <v>0.99704949903343831</v>
      </c>
      <c r="H1032" s="880">
        <v>0.98293993787468115</v>
      </c>
      <c r="I1032" s="880">
        <v>0.99107590215985542</v>
      </c>
      <c r="K1032">
        <v>1.0627647440974619</v>
      </c>
      <c r="L1032">
        <v>0</v>
      </c>
      <c r="M1032">
        <v>6.4978074130113937E-4</v>
      </c>
      <c r="N1032">
        <v>6.534582455217483E-2</v>
      </c>
      <c r="O1032">
        <v>8.4722384059020186E-3</v>
      </c>
      <c r="P1032">
        <v>1.2616096925648154E-2</v>
      </c>
      <c r="Q1032">
        <v>2.8544700581620533E-3</v>
      </c>
      <c r="R1032">
        <v>6.3862209325487402E-4</v>
      </c>
      <c r="S1032">
        <v>8.1056525368135304E-2</v>
      </c>
      <c r="T1032">
        <v>0.81559093231392399</v>
      </c>
      <c r="U1032">
        <v>1.620042209650558E-2</v>
      </c>
      <c r="V1032">
        <v>1.0409052041247455E-2</v>
      </c>
      <c r="W1032">
        <v>3.8978884529117179E-2</v>
      </c>
      <c r="X1032">
        <v>9.5133376385684257E-3</v>
      </c>
      <c r="Y1032">
        <v>1.7381188161233047E-3</v>
      </c>
    </row>
    <row r="1033" spans="1:25">
      <c r="A1033" s="876"/>
      <c r="B1033" s="1202">
        <v>783</v>
      </c>
      <c r="C1033" s="880">
        <v>0.9869101057932862</v>
      </c>
      <c r="D1033" s="880">
        <v>0.99124467282869122</v>
      </c>
      <c r="E1033" s="880">
        <v>1.006069558629954</v>
      </c>
      <c r="F1033" s="880">
        <v>1.0275908613563858</v>
      </c>
      <c r="G1033" s="880">
        <v>0.9765801605887251</v>
      </c>
      <c r="H1033" s="880">
        <v>0.99590601453885197</v>
      </c>
      <c r="I1033" s="880">
        <v>1.0027051515738947</v>
      </c>
      <c r="K1033">
        <v>1.0783382981045659</v>
      </c>
      <c r="L1033">
        <v>0</v>
      </c>
      <c r="M1033">
        <v>6.907523749057798E-4</v>
      </c>
      <c r="N1033">
        <v>7.0137977195514595E-2</v>
      </c>
      <c r="O1033">
        <v>8.9459643972764624E-3</v>
      </c>
      <c r="P1033">
        <v>1.2736566433805205E-2</v>
      </c>
      <c r="Q1033">
        <v>3.0239380625412993E-3</v>
      </c>
      <c r="R1033">
        <v>6.790418546291665E-4</v>
      </c>
      <c r="S1033">
        <v>8.7075919677168684E-2</v>
      </c>
      <c r="T1033">
        <v>0.81534735701228667</v>
      </c>
      <c r="U1033">
        <v>1.7134923197852446E-2</v>
      </c>
      <c r="V1033">
        <v>1.0414424192878148E-2</v>
      </c>
      <c r="W1033">
        <v>4.1751242397319394E-2</v>
      </c>
      <c r="X1033">
        <v>9.9335679759855744E-3</v>
      </c>
      <c r="Y1033">
        <v>1.8481280822133723E-3</v>
      </c>
    </row>
    <row r="1034" spans="1:25">
      <c r="A1034" s="876"/>
      <c r="B1034" s="1202">
        <v>784</v>
      </c>
      <c r="C1034" s="880">
        <v>1.0103185623507442</v>
      </c>
      <c r="D1034" s="880">
        <v>0.98299179104204149</v>
      </c>
      <c r="E1034" s="880">
        <v>0.98110652891991024</v>
      </c>
      <c r="F1034" s="880">
        <v>1.0127659905787767</v>
      </c>
      <c r="G1034" s="880">
        <v>1.0254383927168549</v>
      </c>
      <c r="H1034" s="880">
        <v>0.99832740423886668</v>
      </c>
      <c r="I1034" s="880">
        <v>1.0141624032975873</v>
      </c>
      <c r="K1034">
        <v>1.0744310977471887</v>
      </c>
      <c r="L1034">
        <v>0</v>
      </c>
      <c r="M1034">
        <v>7.160420859834136E-4</v>
      </c>
      <c r="N1034">
        <v>6.7274058840283743E-2</v>
      </c>
      <c r="O1034">
        <v>8.7777884315860463E-3</v>
      </c>
      <c r="P1034">
        <v>1.2513699802269839E-2</v>
      </c>
      <c r="Q1034">
        <v>2.891490375663365E-3</v>
      </c>
      <c r="R1034">
        <v>7.0393973915959963E-4</v>
      </c>
      <c r="S1034">
        <v>8.6477547021803006E-2</v>
      </c>
      <c r="T1034">
        <v>0.81736818682875878</v>
      </c>
      <c r="U1034">
        <v>1.6737917619375219E-2</v>
      </c>
      <c r="V1034">
        <v>1.0412141933218166E-2</v>
      </c>
      <c r="W1034">
        <v>4.0739464044872942E-2</v>
      </c>
      <c r="X1034">
        <v>9.335013279862114E-3</v>
      </c>
      <c r="Y1034">
        <v>1.9158919163197816E-3</v>
      </c>
    </row>
    <row r="1035" spans="1:25">
      <c r="A1035" s="876"/>
      <c r="B1035" s="1202">
        <v>785</v>
      </c>
      <c r="C1035" s="880">
        <v>0.99140353118609803</v>
      </c>
      <c r="D1035" s="880">
        <v>1.024094849147126</v>
      </c>
      <c r="E1035" s="880">
        <v>0.99867594905151424</v>
      </c>
      <c r="F1035" s="880">
        <v>1.0372128048873488</v>
      </c>
      <c r="G1035" s="880">
        <v>0.96732168688034315</v>
      </c>
      <c r="H1035" s="880">
        <v>0.98126994792470645</v>
      </c>
      <c r="I1035" s="880">
        <v>1.0003466988920622</v>
      </c>
      <c r="K1035">
        <v>1.0709592854819885</v>
      </c>
      <c r="L1035">
        <v>0</v>
      </c>
      <c r="M1035">
        <v>6.7632712825109464E-4</v>
      </c>
      <c r="N1035">
        <v>6.7091844447091736E-2</v>
      </c>
      <c r="O1035">
        <v>8.7520339294140867E-3</v>
      </c>
      <c r="P1035">
        <v>1.2639393608033607E-2</v>
      </c>
      <c r="Q1035">
        <v>2.9436451582141648E-3</v>
      </c>
      <c r="R1035">
        <v>6.6466234186402071E-4</v>
      </c>
      <c r="S1035">
        <v>8.4564279772774961E-2</v>
      </c>
      <c r="T1035">
        <v>0.81594368645896764</v>
      </c>
      <c r="U1035">
        <v>1.7057261078867427E-2</v>
      </c>
      <c r="V1035">
        <v>1.041397773788889E-2</v>
      </c>
      <c r="W1035">
        <v>4.0140184657521116E-2</v>
      </c>
      <c r="X1035">
        <v>9.6156516309306751E-3</v>
      </c>
      <c r="Y1035">
        <v>1.8089917886717547E-3</v>
      </c>
    </row>
    <row r="1036" spans="1:25">
      <c r="A1036" s="876"/>
      <c r="B1036" s="1202">
        <v>786</v>
      </c>
      <c r="C1036" s="880">
        <v>1.0373966806645474</v>
      </c>
      <c r="D1036" s="880">
        <v>0.97054918506101107</v>
      </c>
      <c r="E1036" s="880">
        <v>0.96008907724076287</v>
      </c>
      <c r="F1036" s="880">
        <v>1.0403031011932924</v>
      </c>
      <c r="G1036" s="880">
        <v>0.98310037329138378</v>
      </c>
      <c r="H1036" s="880">
        <v>1.0144935249216458</v>
      </c>
      <c r="I1036" s="880">
        <v>0.96928177063440146</v>
      </c>
      <c r="K1036">
        <v>1.0677828783244747</v>
      </c>
      <c r="L1036">
        <v>0</v>
      </c>
      <c r="M1036">
        <v>7.4560937545026262E-4</v>
      </c>
      <c r="N1036">
        <v>6.5627652410231177E-2</v>
      </c>
      <c r="O1036">
        <v>8.6070720951441082E-3</v>
      </c>
      <c r="P1036">
        <v>1.2265311733403334E-2</v>
      </c>
      <c r="Q1036">
        <v>2.7723522441165179E-3</v>
      </c>
      <c r="R1036">
        <v>7.3321981989876662E-4</v>
      </c>
      <c r="S1036">
        <v>8.1555691204362929E-2</v>
      </c>
      <c r="T1036">
        <v>0.81908596639346032</v>
      </c>
      <c r="U1036">
        <v>1.6301024652517263E-2</v>
      </c>
      <c r="V1036">
        <v>1.0409630373562469E-2</v>
      </c>
      <c r="W1036">
        <v>4.0330192919073964E-2</v>
      </c>
      <c r="X1036">
        <v>8.8447912102387286E-3</v>
      </c>
      <c r="Y1036">
        <v>1.9955826439157728E-3</v>
      </c>
    </row>
    <row r="1037" spans="1:25">
      <c r="A1037" s="876"/>
      <c r="B1037" s="1202">
        <v>787</v>
      </c>
      <c r="C1037" s="880">
        <v>1.0109486512820718</v>
      </c>
      <c r="D1037" s="880">
        <v>0.97837503629969658</v>
      </c>
      <c r="E1037" s="880">
        <v>0.984130506965603</v>
      </c>
      <c r="F1037" s="880">
        <v>1.0318487962338296</v>
      </c>
      <c r="G1037" s="880">
        <v>1.0017156082601641</v>
      </c>
      <c r="H1037" s="880">
        <v>0.99053304521740004</v>
      </c>
      <c r="I1037" s="880">
        <v>1.0240428629832308</v>
      </c>
      <c r="K1037">
        <v>1.0745656633936147</v>
      </c>
      <c r="L1037">
        <v>0</v>
      </c>
      <c r="M1037">
        <v>7.0728636265163182E-4</v>
      </c>
      <c r="N1037">
        <v>6.7071699766432957E-2</v>
      </c>
      <c r="O1037">
        <v>8.794408948759283E-3</v>
      </c>
      <c r="P1037">
        <v>1.2548531950595888E-2</v>
      </c>
      <c r="Q1037">
        <v>2.9048398240187831E-3</v>
      </c>
      <c r="R1037">
        <v>6.952421350664668E-4</v>
      </c>
      <c r="S1037">
        <v>8.7185354303344967E-2</v>
      </c>
      <c r="T1037">
        <v>0.81712226213915884</v>
      </c>
      <c r="U1037">
        <v>1.6727485460816011E-2</v>
      </c>
      <c r="V1037">
        <v>1.0412081962034058E-2</v>
      </c>
      <c r="W1037">
        <v>4.053193916596684E-2</v>
      </c>
      <c r="X1037">
        <v>9.3868841949281863E-3</v>
      </c>
      <c r="Y1037">
        <v>1.8922199051426929E-3</v>
      </c>
    </row>
    <row r="1038" spans="1:25">
      <c r="A1038" s="876"/>
      <c r="B1038" s="1202">
        <v>788</v>
      </c>
      <c r="C1038" s="880">
        <v>0.97552028598113161</v>
      </c>
      <c r="D1038" s="880">
        <v>1.0003264546319968</v>
      </c>
      <c r="E1038" s="880">
        <v>0.99987589714630576</v>
      </c>
      <c r="F1038" s="880">
        <v>0.98698525710570262</v>
      </c>
      <c r="G1038" s="880">
        <v>1.0122348519360502</v>
      </c>
      <c r="H1038" s="880">
        <v>0.99064914207109689</v>
      </c>
      <c r="I1038" s="880">
        <v>1.0050674309057643</v>
      </c>
      <c r="K1038">
        <v>1.0792533693800148</v>
      </c>
      <c r="L1038">
        <v>0</v>
      </c>
      <c r="M1038">
        <v>7.0084893729868594E-4</v>
      </c>
      <c r="N1038">
        <v>6.9798134873088419E-2</v>
      </c>
      <c r="O1038">
        <v>9.0064862677948446E-3</v>
      </c>
      <c r="P1038">
        <v>1.2696099294567578E-2</v>
      </c>
      <c r="Q1038">
        <v>3.0275974899193524E-3</v>
      </c>
      <c r="R1038">
        <v>6.8889618039270656E-4</v>
      </c>
      <c r="S1038">
        <v>8.7706130822976985E-2</v>
      </c>
      <c r="T1038">
        <v>0.81584677869508904</v>
      </c>
      <c r="U1038">
        <v>1.7334984324743681E-2</v>
      </c>
      <c r="V1038">
        <v>1.0415574281099039E-2</v>
      </c>
      <c r="W1038">
        <v>4.172503339237274E-2</v>
      </c>
      <c r="X1038">
        <v>9.8335543868043138E-3</v>
      </c>
      <c r="Y1038">
        <v>1.8749483084641134E-3</v>
      </c>
    </row>
    <row r="1039" spans="1:25">
      <c r="A1039" s="876"/>
      <c r="B1039" s="1202">
        <v>789</v>
      </c>
      <c r="C1039" s="880">
        <v>0.96784982203798275</v>
      </c>
      <c r="D1039" s="880">
        <v>1.0114768807305561</v>
      </c>
      <c r="E1039" s="880">
        <v>0.99006079308645312</v>
      </c>
      <c r="F1039" s="880">
        <v>1.0455293043743192</v>
      </c>
      <c r="G1039" s="880">
        <v>1.0397292421148345</v>
      </c>
      <c r="H1039" s="880">
        <v>1.0115066515520796</v>
      </c>
      <c r="I1039" s="880">
        <v>0.98909211901667959</v>
      </c>
      <c r="K1039">
        <v>1.0813945166181835</v>
      </c>
      <c r="L1039">
        <v>0</v>
      </c>
      <c r="M1039">
        <v>7.3200101792338253E-4</v>
      </c>
      <c r="N1039">
        <v>7.0731673512096832E-2</v>
      </c>
      <c r="O1039">
        <v>9.0243908835848444E-3</v>
      </c>
      <c r="P1039">
        <v>1.2609733906743505E-2</v>
      </c>
      <c r="Q1039">
        <v>3.0062328714689909E-3</v>
      </c>
      <c r="R1039">
        <v>7.197644653966249E-4</v>
      </c>
      <c r="S1039">
        <v>8.7275016761271487E-2</v>
      </c>
      <c r="T1039">
        <v>0.81664088159847836</v>
      </c>
      <c r="U1039">
        <v>1.7472368626719369E-2</v>
      </c>
      <c r="V1039">
        <v>1.0416364060052559E-2</v>
      </c>
      <c r="W1039">
        <v>4.2569031159963376E-2</v>
      </c>
      <c r="X1039">
        <v>9.7020981858129234E-3</v>
      </c>
      <c r="Y1039">
        <v>1.9589616045173623E-3</v>
      </c>
    </row>
    <row r="1040" spans="1:25">
      <c r="A1040" s="876"/>
      <c r="B1040" s="1202">
        <v>790</v>
      </c>
      <c r="C1040" s="880">
        <v>0.98596124794461515</v>
      </c>
      <c r="D1040" s="880">
        <v>0.98836734057108644</v>
      </c>
      <c r="E1040" s="880">
        <v>0.99111693213605256</v>
      </c>
      <c r="F1040" s="880">
        <v>0.98895853941029899</v>
      </c>
      <c r="G1040" s="880">
        <v>0.98826061583071634</v>
      </c>
      <c r="H1040" s="880">
        <v>0.98319172622958506</v>
      </c>
      <c r="I1040" s="880">
        <v>1.0060217091513366</v>
      </c>
      <c r="K1040">
        <v>1.0767594459207417</v>
      </c>
      <c r="L1040">
        <v>0</v>
      </c>
      <c r="M1040">
        <v>7.0551277517134935E-4</v>
      </c>
      <c r="N1040">
        <v>6.8365236214197267E-2</v>
      </c>
      <c r="O1040">
        <v>8.9684793751497321E-3</v>
      </c>
      <c r="P1040">
        <v>1.2611970048108805E-2</v>
      </c>
      <c r="Q1040">
        <v>2.9856386010194812E-3</v>
      </c>
      <c r="R1040">
        <v>6.9339994268819544E-4</v>
      </c>
      <c r="S1040">
        <v>8.7108122477007638E-2</v>
      </c>
      <c r="T1040">
        <v>0.81655527642787185</v>
      </c>
      <c r="U1040">
        <v>1.7151413304736997E-2</v>
      </c>
      <c r="V1040">
        <v>1.0414518989293528E-2</v>
      </c>
      <c r="W1040">
        <v>4.1114899667765381E-2</v>
      </c>
      <c r="X1040">
        <v>9.6087975833071427E-3</v>
      </c>
      <c r="Y1040">
        <v>1.8872060647675928E-3</v>
      </c>
    </row>
    <row r="1041" spans="1:25">
      <c r="A1041" s="876"/>
      <c r="B1041" s="1202">
        <v>791</v>
      </c>
      <c r="C1041" s="880">
        <v>1.0047251358887481</v>
      </c>
      <c r="D1041" s="880">
        <v>1.0023983759671586</v>
      </c>
      <c r="E1041" s="880">
        <v>0.98680801871868762</v>
      </c>
      <c r="F1041" s="880">
        <v>0.99529143532572828</v>
      </c>
      <c r="G1041" s="880">
        <v>0.99077801521541142</v>
      </c>
      <c r="H1041" s="880">
        <v>1.0155142027331474</v>
      </c>
      <c r="I1041" s="880">
        <v>1.0352313743067278</v>
      </c>
      <c r="K1041">
        <v>1.0781343747539296</v>
      </c>
      <c r="L1041">
        <v>0</v>
      </c>
      <c r="M1041">
        <v>7.1621105265104066E-4</v>
      </c>
      <c r="N1041">
        <v>6.8513876260867107E-2</v>
      </c>
      <c r="O1041">
        <v>8.7350480212814614E-3</v>
      </c>
      <c r="P1041">
        <v>1.2590719123630367E-2</v>
      </c>
      <c r="Q1041">
        <v>2.8983399313452954E-3</v>
      </c>
      <c r="R1041">
        <v>7.0429357087215926E-4</v>
      </c>
      <c r="S1041">
        <v>8.8536986157644174E-2</v>
      </c>
      <c r="T1041">
        <v>0.81690477226784353</v>
      </c>
      <c r="U1041">
        <v>1.6831099633029267E-2</v>
      </c>
      <c r="V1041">
        <v>1.0412677607179269E-2</v>
      </c>
      <c r="W1041">
        <v>4.1326899406076895E-2</v>
      </c>
      <c r="X1041">
        <v>9.479018897208558E-3</v>
      </c>
      <c r="Y1041">
        <v>1.9168549296007765E-3</v>
      </c>
    </row>
    <row r="1042" spans="1:25">
      <c r="A1042" s="876"/>
      <c r="B1042" s="1202">
        <v>792</v>
      </c>
      <c r="C1042" s="880">
        <v>0.97965136856647161</v>
      </c>
      <c r="D1042" s="880">
        <v>0.97406051899453117</v>
      </c>
      <c r="E1042" s="880">
        <v>1.0001628738491313</v>
      </c>
      <c r="F1042" s="880">
        <v>1.0134011533134837</v>
      </c>
      <c r="G1042" s="880">
        <v>0.99649908427055822</v>
      </c>
      <c r="H1042" s="880">
        <v>0.99249607390687211</v>
      </c>
      <c r="I1042" s="880">
        <v>0.97993492698221873</v>
      </c>
      <c r="K1042">
        <v>1.0793406392968894</v>
      </c>
      <c r="L1042">
        <v>0</v>
      </c>
      <c r="M1042">
        <v>7.0874656222796525E-4</v>
      </c>
      <c r="N1042">
        <v>7.0652395834111453E-2</v>
      </c>
      <c r="O1042">
        <v>9.0968309868931993E-3</v>
      </c>
      <c r="P1042">
        <v>1.2679084165200714E-2</v>
      </c>
      <c r="Q1042">
        <v>3.0527425656328524E-3</v>
      </c>
      <c r="R1042">
        <v>6.967052896382905E-4</v>
      </c>
      <c r="S1042">
        <v>8.6356859692391791E-2</v>
      </c>
      <c r="T1042">
        <v>0.81582360971579204</v>
      </c>
      <c r="U1042">
        <v>1.7261884593391386E-2</v>
      </c>
      <c r="V1042">
        <v>1.0415154053835069E-2</v>
      </c>
      <c r="W1042">
        <v>4.2227414497391993E-2</v>
      </c>
      <c r="X1042">
        <v>9.8905023352810224E-3</v>
      </c>
      <c r="Y1042">
        <v>1.8962021295584224E-3</v>
      </c>
    </row>
    <row r="1043" spans="1:25">
      <c r="A1043" s="876"/>
      <c r="B1043" s="1202">
        <v>793</v>
      </c>
      <c r="C1043" s="880">
        <v>1.0045663140527687</v>
      </c>
      <c r="D1043" s="880">
        <v>0.97867957961491003</v>
      </c>
      <c r="E1043" s="880">
        <v>0.97567852653444376</v>
      </c>
      <c r="F1043" s="880">
        <v>1.0407025536582373</v>
      </c>
      <c r="G1043" s="880">
        <v>0.99514213201384605</v>
      </c>
      <c r="H1043" s="880">
        <v>1.000268307329963</v>
      </c>
      <c r="I1043" s="880">
        <v>1.0056445124750344</v>
      </c>
      <c r="K1043">
        <v>1.0756500603849559</v>
      </c>
      <c r="L1043">
        <v>0</v>
      </c>
      <c r="M1043">
        <v>7.3152139384707036E-4</v>
      </c>
      <c r="N1043">
        <v>6.7578303809095339E-2</v>
      </c>
      <c r="O1043">
        <v>8.8488109169957314E-3</v>
      </c>
      <c r="P1043">
        <v>1.2469615766996409E-2</v>
      </c>
      <c r="Q1043">
        <v>2.8978746512892178E-3</v>
      </c>
      <c r="R1043">
        <v>7.19185427407031E-4</v>
      </c>
      <c r="S1043">
        <v>8.6502000147697017E-2</v>
      </c>
      <c r="T1043">
        <v>0.81781039468508632</v>
      </c>
      <c r="U1043">
        <v>1.6833760628234704E-2</v>
      </c>
      <c r="V1043">
        <v>1.0412692904400098E-2</v>
      </c>
      <c r="W1043">
        <v>4.1078309213753009E-2</v>
      </c>
      <c r="X1043">
        <v>9.2732479738589467E-3</v>
      </c>
      <c r="Y1043">
        <v>1.95738565398951E-3</v>
      </c>
    </row>
    <row r="1044" spans="1:25">
      <c r="A1044" s="876"/>
      <c r="B1044" s="1202">
        <v>794</v>
      </c>
      <c r="C1044" s="880">
        <v>0.98220463126840307</v>
      </c>
      <c r="D1044" s="880">
        <v>0.99573289173635671</v>
      </c>
      <c r="E1044" s="880">
        <v>0.96845707133311143</v>
      </c>
      <c r="F1044" s="880">
        <v>1.0219776318744072</v>
      </c>
      <c r="G1044" s="880">
        <v>1.007540090671009</v>
      </c>
      <c r="H1044" s="880">
        <v>1.0007744904040092</v>
      </c>
      <c r="I1044" s="880">
        <v>0.96402447075370068</v>
      </c>
      <c r="K1044">
        <v>1.0751575562983879</v>
      </c>
      <c r="L1044">
        <v>0</v>
      </c>
      <c r="M1044">
        <v>7.5301364321081498E-4</v>
      </c>
      <c r="N1044">
        <v>6.8014255524479067E-2</v>
      </c>
      <c r="O1044">
        <v>8.9671795965466979E-3</v>
      </c>
      <c r="P1044">
        <v>1.238180774879535E-2</v>
      </c>
      <c r="Q1044">
        <v>2.9188531968369178E-3</v>
      </c>
      <c r="R1044">
        <v>7.4030546631278084E-4</v>
      </c>
      <c r="S1044">
        <v>8.4099954500988963E-2</v>
      </c>
      <c r="T1044">
        <v>0.8184002548115642</v>
      </c>
      <c r="U1044">
        <v>1.721701194191505E-2</v>
      </c>
      <c r="V1044">
        <v>1.0414896095136624E-2</v>
      </c>
      <c r="W1044">
        <v>4.1552159246857269E-2</v>
      </c>
      <c r="X1044">
        <v>9.1890243744933882E-3</v>
      </c>
      <c r="Y1044">
        <v>2.0148674376720076E-3</v>
      </c>
    </row>
    <row r="1045" spans="1:25">
      <c r="A1045" s="876"/>
      <c r="B1045" s="1202">
        <v>795</v>
      </c>
      <c r="C1045" s="880">
        <v>1.0417459062877801</v>
      </c>
      <c r="D1045" s="880">
        <v>0.99965990475296695</v>
      </c>
      <c r="E1045" s="880">
        <v>0.99179470598164021</v>
      </c>
      <c r="F1045" s="880">
        <v>0.9632019688305361</v>
      </c>
      <c r="G1045" s="880">
        <v>0.99560830121053634</v>
      </c>
      <c r="H1045" s="880">
        <v>0.99325940318369654</v>
      </c>
      <c r="I1045" s="880">
        <v>0.99774736028846445</v>
      </c>
      <c r="K1045">
        <v>1.0637778456537399</v>
      </c>
      <c r="L1045">
        <v>0</v>
      </c>
      <c r="M1045">
        <v>6.6954840263474082E-4</v>
      </c>
      <c r="N1045">
        <v>6.5027846105990286E-2</v>
      </c>
      <c r="O1045">
        <v>8.4369264769635476E-3</v>
      </c>
      <c r="P1045">
        <v>1.253107839092955E-2</v>
      </c>
      <c r="Q1045">
        <v>2.8129981371884422E-3</v>
      </c>
      <c r="R1045">
        <v>6.5816003253570848E-4</v>
      </c>
      <c r="S1045">
        <v>8.1648797882804644E-2</v>
      </c>
      <c r="T1045">
        <v>0.81650035951336464</v>
      </c>
      <c r="U1045">
        <v>1.6232968868783688E-2</v>
      </c>
      <c r="V1045">
        <v>1.0409239142360036E-2</v>
      </c>
      <c r="W1045">
        <v>3.9089549927417068E-2</v>
      </c>
      <c r="X1045">
        <v>9.3081749318708069E-3</v>
      </c>
      <c r="Y1045">
        <v>1.7912946461657827E-3</v>
      </c>
    </row>
    <row r="1046" spans="1:25">
      <c r="A1046" s="876"/>
      <c r="B1046" s="1202">
        <v>796</v>
      </c>
      <c r="C1046" s="880">
        <v>1.0207223835679651</v>
      </c>
      <c r="D1046" s="880">
        <v>1.0123774771844212</v>
      </c>
      <c r="E1046" s="880">
        <v>1.009282931465141</v>
      </c>
      <c r="F1046" s="880">
        <v>1.0087057869515241</v>
      </c>
      <c r="G1046" s="880">
        <v>1.0027820005532857</v>
      </c>
      <c r="H1046" s="880">
        <v>1.0319111697091998</v>
      </c>
      <c r="I1046" s="880">
        <v>1.0080008664181732</v>
      </c>
      <c r="K1046">
        <v>1.0740965509062239</v>
      </c>
      <c r="L1046">
        <v>0</v>
      </c>
      <c r="M1046">
        <v>6.7967403264357026E-4</v>
      </c>
      <c r="N1046">
        <v>6.9746244978706892E-2</v>
      </c>
      <c r="O1046">
        <v>8.5528794621692137E-3</v>
      </c>
      <c r="P1046">
        <v>1.2727237785800019E-2</v>
      </c>
      <c r="Q1046">
        <v>2.9049501344833337E-3</v>
      </c>
      <c r="R1046">
        <v>6.6853614745957185E-4</v>
      </c>
      <c r="S1046">
        <v>8.5014697333799585E-2</v>
      </c>
      <c r="T1046">
        <v>0.81508876289506638</v>
      </c>
      <c r="U1046">
        <v>1.6567314617752158E-2</v>
      </c>
      <c r="V1046">
        <v>1.0411161190453872E-2</v>
      </c>
      <c r="W1046">
        <v>4.1427354818782576E-2</v>
      </c>
      <c r="X1046">
        <v>9.8475505638905055E-3</v>
      </c>
      <c r="Y1046">
        <v>1.8195350105031736E-3</v>
      </c>
    </row>
    <row r="1047" spans="1:25">
      <c r="A1047" s="876"/>
      <c r="B1047" s="1202">
        <v>797</v>
      </c>
      <c r="C1047" s="880">
        <v>1.0433522255972292</v>
      </c>
      <c r="D1047" s="880">
        <v>0.98060794525613937</v>
      </c>
      <c r="E1047" s="880">
        <v>0.99624887007371143</v>
      </c>
      <c r="F1047" s="880">
        <v>0.97055488174365434</v>
      </c>
      <c r="G1047" s="880">
        <v>1.0189199849294102</v>
      </c>
      <c r="H1047" s="880">
        <v>0.99083292556809899</v>
      </c>
      <c r="I1047" s="880">
        <v>1.0300397111778226</v>
      </c>
      <c r="K1047">
        <v>1.0679518964349592</v>
      </c>
      <c r="L1047">
        <v>0</v>
      </c>
      <c r="M1047">
        <v>6.6746839706042832E-4</v>
      </c>
      <c r="N1047">
        <v>6.5729637387047735E-2</v>
      </c>
      <c r="O1047">
        <v>8.5109061776029674E-3</v>
      </c>
      <c r="P1047">
        <v>1.2611877655655175E-2</v>
      </c>
      <c r="Q1047">
        <v>2.8463283530114074E-3</v>
      </c>
      <c r="R1047">
        <v>6.5610374174281095E-4</v>
      </c>
      <c r="S1047">
        <v>8.4886389369664444E-2</v>
      </c>
      <c r="T1047">
        <v>0.81613984676939044</v>
      </c>
      <c r="U1047">
        <v>1.6207976990965347E-2</v>
      </c>
      <c r="V1047">
        <v>1.0409095471949174E-2</v>
      </c>
      <c r="W1047">
        <v>3.9390671694338138E-2</v>
      </c>
      <c r="X1047">
        <v>9.4448331201683819E-3</v>
      </c>
      <c r="Y1047">
        <v>1.7856981004835931E-3</v>
      </c>
    </row>
    <row r="1048" spans="1:25">
      <c r="A1048" s="876"/>
      <c r="B1048" s="1202">
        <v>798</v>
      </c>
      <c r="C1048" s="880">
        <v>1.0123971597177606</v>
      </c>
      <c r="D1048" s="880">
        <v>0.9788351888095399</v>
      </c>
      <c r="E1048" s="880">
        <v>0.98852123273937276</v>
      </c>
      <c r="F1048" s="880">
        <v>0.99299053626178557</v>
      </c>
      <c r="G1048" s="880">
        <v>0.97340283003772465</v>
      </c>
      <c r="H1048" s="880">
        <v>0.98903129891590802</v>
      </c>
      <c r="I1048" s="880">
        <v>1.0030453089676172</v>
      </c>
      <c r="K1048">
        <v>1.0722541029509973</v>
      </c>
      <c r="L1048">
        <v>0</v>
      </c>
      <c r="M1048">
        <v>6.9855162249070552E-4</v>
      </c>
      <c r="N1048">
        <v>6.7153606343331299E-2</v>
      </c>
      <c r="O1048">
        <v>8.7796198539343978E-3</v>
      </c>
      <c r="P1048">
        <v>1.2558273452409223E-2</v>
      </c>
      <c r="Q1048">
        <v>2.9129831576623307E-3</v>
      </c>
      <c r="R1048">
        <v>6.8663765958271194E-4</v>
      </c>
      <c r="S1048">
        <v>8.5201650084296768E-2</v>
      </c>
      <c r="T1048">
        <v>0.8167657381522847</v>
      </c>
      <c r="U1048">
        <v>1.6703552260722222E-2</v>
      </c>
      <c r="V1048">
        <v>1.0411944377626981E-2</v>
      </c>
      <c r="W1048">
        <v>4.045853107755238E-2</v>
      </c>
      <c r="X1048">
        <v>9.45131679474546E-3</v>
      </c>
      <c r="Y1048">
        <v>1.8688013593404931E-3</v>
      </c>
    </row>
    <row r="1049" spans="1:25">
      <c r="A1049" s="876"/>
      <c r="B1049" s="1202">
        <v>799</v>
      </c>
      <c r="C1049" s="880">
        <v>0.97244962613209052</v>
      </c>
      <c r="D1049" s="880">
        <v>0.99552131802572152</v>
      </c>
      <c r="E1049" s="880">
        <v>1.0061977494910106</v>
      </c>
      <c r="F1049" s="880">
        <v>0.99535965500981582</v>
      </c>
      <c r="G1049" s="880">
        <v>1.0291629320368156</v>
      </c>
      <c r="H1049" s="880">
        <v>0.98525920809252443</v>
      </c>
      <c r="I1049" s="880">
        <v>1.004979900313707</v>
      </c>
      <c r="K1049">
        <v>1.0798936788338995</v>
      </c>
      <c r="L1049">
        <v>0</v>
      </c>
      <c r="M1049">
        <v>6.9175506395861288E-4</v>
      </c>
      <c r="N1049">
        <v>7.0254310999320543E-2</v>
      </c>
      <c r="O1049">
        <v>9.0581595714195242E-3</v>
      </c>
      <c r="P1049">
        <v>1.2753643564670456E-2</v>
      </c>
      <c r="Q1049">
        <v>3.063243457511976E-3</v>
      </c>
      <c r="R1049">
        <v>6.7989705733642798E-4</v>
      </c>
      <c r="S1049">
        <v>8.7987033685832036E-2</v>
      </c>
      <c r="T1049">
        <v>0.81533703420730974</v>
      </c>
      <c r="U1049">
        <v>1.7389722214418712E-2</v>
      </c>
      <c r="V1049">
        <v>1.0415888951935555E-2</v>
      </c>
      <c r="W1049">
        <v>4.1816840370758279E-2</v>
      </c>
      <c r="X1049">
        <v>9.9792041552784552E-3</v>
      </c>
      <c r="Y1049">
        <v>1.8504556620650412E-3</v>
      </c>
    </row>
    <row r="1050" spans="1:25">
      <c r="A1050" s="876"/>
      <c r="B1050" s="1202">
        <v>800</v>
      </c>
      <c r="C1050" s="880">
        <v>1.0087298126104065</v>
      </c>
      <c r="D1050" s="880">
        <v>1.0148180502593505</v>
      </c>
      <c r="E1050" s="880">
        <v>1.00485077978381</v>
      </c>
      <c r="F1050" s="880">
        <v>0.98083692658352495</v>
      </c>
      <c r="G1050" s="880">
        <v>1.0288024030470406</v>
      </c>
      <c r="H1050" s="880">
        <v>1.0004836137163891</v>
      </c>
      <c r="I1050" s="880">
        <v>1.0090165284191162</v>
      </c>
      <c r="K1050">
        <v>1.0717991054629252</v>
      </c>
      <c r="L1050">
        <v>0</v>
      </c>
      <c r="M1050">
        <v>6.7220780102651299E-4</v>
      </c>
      <c r="N1050">
        <v>6.8000128170881927E-2</v>
      </c>
      <c r="O1050">
        <v>8.6434715790655644E-3</v>
      </c>
      <c r="P1050">
        <v>1.2691382480579484E-2</v>
      </c>
      <c r="Q1050">
        <v>2.9232429060870434E-3</v>
      </c>
      <c r="R1050">
        <v>6.6084424450541749E-4</v>
      </c>
      <c r="S1050">
        <v>8.4893713073887642E-2</v>
      </c>
      <c r="T1050">
        <v>0.81544552934041648</v>
      </c>
      <c r="U1050">
        <v>1.676427984436267E-2</v>
      </c>
      <c r="V1050">
        <v>1.0412293481322011E-2</v>
      </c>
      <c r="W1050">
        <v>4.051228095360053E-2</v>
      </c>
      <c r="X1050">
        <v>9.725547002945447E-3</v>
      </c>
      <c r="Y1050">
        <v>1.7986001862970928E-3</v>
      </c>
    </row>
    <row r="1051" spans="1:25">
      <c r="A1051" s="876"/>
      <c r="B1051" s="1202">
        <v>801</v>
      </c>
      <c r="C1051" s="880">
        <v>1.0469421784608377</v>
      </c>
      <c r="D1051" s="880">
        <v>1.0057963609679046</v>
      </c>
      <c r="E1051" s="880">
        <v>1.0147064949145517</v>
      </c>
      <c r="F1051" s="880">
        <v>0.97907069292851079</v>
      </c>
      <c r="G1051" s="880">
        <v>1.0221929714503128</v>
      </c>
      <c r="H1051" s="880">
        <v>0.98468914573446231</v>
      </c>
      <c r="I1051" s="880">
        <v>1.0362955537177969</v>
      </c>
      <c r="K1051">
        <v>1.064497651623165</v>
      </c>
      <c r="L1051">
        <v>0</v>
      </c>
      <c r="M1051">
        <v>6.2730468655172386E-4</v>
      </c>
      <c r="N1051">
        <v>6.5414897127089533E-2</v>
      </c>
      <c r="O1051">
        <v>8.367706272139383E-3</v>
      </c>
      <c r="P1051">
        <v>1.2750141420273234E-2</v>
      </c>
      <c r="Q1051">
        <v>2.8561039707366378E-3</v>
      </c>
      <c r="R1051">
        <v>6.1653714421483084E-4</v>
      </c>
      <c r="S1051">
        <v>8.3823331674358431E-2</v>
      </c>
      <c r="T1051">
        <v>0.81465310233619359</v>
      </c>
      <c r="U1051">
        <v>1.6152400021569049E-2</v>
      </c>
      <c r="V1051">
        <v>1.040877597750841E-2</v>
      </c>
      <c r="W1051">
        <v>3.8711925816821542E-2</v>
      </c>
      <c r="X1051">
        <v>9.6920236836739102E-3</v>
      </c>
      <c r="Y1051">
        <v>1.6780108651378014E-3</v>
      </c>
    </row>
    <row r="1052" spans="1:25">
      <c r="A1052" s="876"/>
      <c r="B1052" s="1202">
        <v>802</v>
      </c>
      <c r="C1052" s="880">
        <v>1.0173719286858822</v>
      </c>
      <c r="D1052" s="880">
        <v>1.0072362530144952</v>
      </c>
      <c r="E1052" s="880">
        <v>0.99441108776869847</v>
      </c>
      <c r="F1052" s="880">
        <v>1.0049764380400588</v>
      </c>
      <c r="G1052" s="880">
        <v>1.0085691411743003</v>
      </c>
      <c r="H1052" s="880">
        <v>1.0033241897678813</v>
      </c>
      <c r="I1052" s="880">
        <v>0.98991405791666298</v>
      </c>
      <c r="K1052">
        <v>1.0691732052856682</v>
      </c>
      <c r="L1052">
        <v>0</v>
      </c>
      <c r="M1052">
        <v>6.8597509176073824E-4</v>
      </c>
      <c r="N1052">
        <v>6.7179055985757533E-2</v>
      </c>
      <c r="O1052">
        <v>8.6043539098923007E-3</v>
      </c>
      <c r="P1052">
        <v>1.2576356695784793E-2</v>
      </c>
      <c r="Q1052">
        <v>2.8780248201539871E-3</v>
      </c>
      <c r="R1052">
        <v>6.7441796805462059E-4</v>
      </c>
      <c r="S1052">
        <v>8.2986149863093814E-2</v>
      </c>
      <c r="T1052">
        <v>0.81628851226543553</v>
      </c>
      <c r="U1052">
        <v>1.6621874841578801E-2</v>
      </c>
      <c r="V1052">
        <v>1.0411474839945541E-2</v>
      </c>
      <c r="W1052">
        <v>4.0310107003237727E-2</v>
      </c>
      <c r="X1052">
        <v>9.4933087972723668E-3</v>
      </c>
      <c r="Y1052">
        <v>1.8355433872212579E-3</v>
      </c>
    </row>
    <row r="1053" spans="1:25">
      <c r="A1053" s="876"/>
      <c r="B1053" s="1202">
        <v>803</v>
      </c>
      <c r="C1053" s="880">
        <v>1.0337317163380737</v>
      </c>
      <c r="D1053" s="880">
        <v>0.99953079750888152</v>
      </c>
      <c r="E1053" s="880">
        <v>1.0120226404454107</v>
      </c>
      <c r="F1053" s="880">
        <v>1.0207658753196811</v>
      </c>
      <c r="G1053" s="880">
        <v>1.0055021636320849</v>
      </c>
      <c r="H1053" s="880">
        <v>1.0163418498608494</v>
      </c>
      <c r="I1053" s="880">
        <v>0.98594397864203498</v>
      </c>
      <c r="K1053">
        <v>1.068462585376559</v>
      </c>
      <c r="L1053">
        <v>0</v>
      </c>
      <c r="M1053">
        <v>6.6166346151326255E-4</v>
      </c>
      <c r="N1053">
        <v>6.8462401601985079E-2</v>
      </c>
      <c r="O1053">
        <v>8.5029209121389466E-3</v>
      </c>
      <c r="P1053">
        <v>1.2707019245151541E-2</v>
      </c>
      <c r="Q1053">
        <v>2.893145370712032E-3</v>
      </c>
      <c r="R1053">
        <v>6.5066490973916271E-4</v>
      </c>
      <c r="S1053">
        <v>8.2100968488429252E-2</v>
      </c>
      <c r="T1053">
        <v>0.81486856410901332</v>
      </c>
      <c r="U1053">
        <v>1.6358817862198477E-2</v>
      </c>
      <c r="V1053">
        <v>1.0409962608468541E-2</v>
      </c>
      <c r="W1053">
        <v>4.0589190465173702E-2</v>
      </c>
      <c r="X1053">
        <v>9.8096978723822767E-3</v>
      </c>
      <c r="Y1053">
        <v>1.7708953926801514E-3</v>
      </c>
    </row>
    <row r="1054" spans="1:25">
      <c r="A1054" s="876"/>
      <c r="B1054" s="1202">
        <v>804</v>
      </c>
      <c r="C1054" s="880">
        <v>0.96953032027115182</v>
      </c>
      <c r="D1054" s="880">
        <v>0.97702509926579573</v>
      </c>
      <c r="E1054" s="880">
        <v>1.0210101550505337</v>
      </c>
      <c r="F1054" s="880">
        <v>0.99604950579466256</v>
      </c>
      <c r="G1054" s="880">
        <v>0.95441417961267927</v>
      </c>
      <c r="H1054" s="880">
        <v>0.96996825979049506</v>
      </c>
      <c r="I1054" s="880">
        <v>0.98897200767371474</v>
      </c>
      <c r="K1054">
        <v>1.0793609327940541</v>
      </c>
      <c r="L1054">
        <v>0</v>
      </c>
      <c r="M1054">
        <v>6.6869534698569145E-4</v>
      </c>
      <c r="N1054">
        <v>7.1094111099821611E-2</v>
      </c>
      <c r="O1054">
        <v>9.1768750356083853E-3</v>
      </c>
      <c r="P1054">
        <v>1.2865725717018689E-2</v>
      </c>
      <c r="Q1054">
        <v>3.1451563738588506E-3</v>
      </c>
      <c r="R1054">
        <v>6.5706804498957372E-4</v>
      </c>
      <c r="S1054">
        <v>8.7097657893241434E-2</v>
      </c>
      <c r="T1054">
        <v>0.81414800509417795</v>
      </c>
      <c r="U1054">
        <v>1.7442083566012598E-2</v>
      </c>
      <c r="V1054">
        <v>1.041618996080536E-2</v>
      </c>
      <c r="W1054">
        <v>4.1893986430263749E-2</v>
      </c>
      <c r="X1054">
        <v>1.0304446309201716E-2</v>
      </c>
      <c r="Y1054">
        <v>1.7883226160388017E-3</v>
      </c>
    </row>
    <row r="1055" spans="1:25">
      <c r="A1055" s="876"/>
      <c r="B1055" s="1202">
        <v>805</v>
      </c>
      <c r="C1055" s="880">
        <v>0.99235373173462182</v>
      </c>
      <c r="D1055" s="880">
        <v>1.0251353623713657</v>
      </c>
      <c r="E1055" s="880">
        <v>1.046851775373866</v>
      </c>
      <c r="F1055" s="880">
        <v>1.0354932947260058</v>
      </c>
      <c r="G1055" s="880">
        <v>0.99196148792714822</v>
      </c>
      <c r="H1055" s="880">
        <v>0.98742783785947696</v>
      </c>
      <c r="I1055" s="880">
        <v>0.95715939447759668</v>
      </c>
      <c r="K1055">
        <v>1.0692539520843169</v>
      </c>
      <c r="L1055">
        <v>0</v>
      </c>
      <c r="M1055">
        <v>6.1377630259387586E-4</v>
      </c>
      <c r="N1055">
        <v>7.0721703544581765E-2</v>
      </c>
      <c r="O1055">
        <v>8.7389308343967798E-3</v>
      </c>
      <c r="P1055">
        <v>1.2988180777037471E-2</v>
      </c>
      <c r="Q1055">
        <v>3.0834481076974481E-3</v>
      </c>
      <c r="R1055">
        <v>6.0325558713938867E-4</v>
      </c>
      <c r="S1055">
        <v>8.1004800048652195E-2</v>
      </c>
      <c r="T1055">
        <v>0.81209155242854447</v>
      </c>
      <c r="U1055">
        <v>1.7040928375804863E-2</v>
      </c>
      <c r="V1055">
        <v>1.0413883846338349E-2</v>
      </c>
      <c r="W1055">
        <v>4.0960989429031411E-2</v>
      </c>
      <c r="X1055">
        <v>1.0578192562644528E-2</v>
      </c>
      <c r="Y1055">
        <v>1.6418628450425609E-3</v>
      </c>
    </row>
    <row r="1056" spans="1:25">
      <c r="A1056" s="876"/>
      <c r="B1056" s="1202">
        <v>806</v>
      </c>
      <c r="C1056" s="880">
        <v>1.0017927797311805</v>
      </c>
      <c r="D1056" s="880">
        <v>0.96672276234762322</v>
      </c>
      <c r="E1056" s="880">
        <v>1.003761363065244</v>
      </c>
      <c r="F1056" s="880">
        <v>1.0278091194044783</v>
      </c>
      <c r="G1056" s="880">
        <v>1.0136908158792393</v>
      </c>
      <c r="H1056" s="880">
        <v>0.99322347303064662</v>
      </c>
      <c r="I1056" s="880">
        <v>0.99534621571200388</v>
      </c>
      <c r="K1056">
        <v>1.0765069383943673</v>
      </c>
      <c r="L1056">
        <v>0</v>
      </c>
      <c r="M1056">
        <v>6.9113475944261257E-4</v>
      </c>
      <c r="N1056">
        <v>6.9673837135857522E-2</v>
      </c>
      <c r="O1056">
        <v>8.9318220942569953E-3</v>
      </c>
      <c r="P1056">
        <v>1.2700782880068805E-2</v>
      </c>
      <c r="Q1056">
        <v>3.0064973671231855E-3</v>
      </c>
      <c r="R1056">
        <v>6.7940790098620387E-4</v>
      </c>
      <c r="S1056">
        <v>8.6127367048310075E-2</v>
      </c>
      <c r="T1056">
        <v>0.81553332433984582</v>
      </c>
      <c r="U1056">
        <v>1.6880366087775281E-2</v>
      </c>
      <c r="V1056">
        <v>1.0412960824464725E-2</v>
      </c>
      <c r="W1056">
        <v>4.154028344678122E-2</v>
      </c>
      <c r="X1056">
        <v>9.8622996886099882E-3</v>
      </c>
      <c r="Y1056">
        <v>1.8491243397300787E-3</v>
      </c>
    </row>
    <row r="1057" spans="1:25">
      <c r="A1057" s="876"/>
      <c r="B1057" s="1202">
        <v>807</v>
      </c>
      <c r="C1057" s="880">
        <v>1.0055253548242129</v>
      </c>
      <c r="D1057" s="880">
        <v>0.97289035896305176</v>
      </c>
      <c r="E1057" s="880">
        <v>0.98230760522556781</v>
      </c>
      <c r="F1057" s="880">
        <v>1.0126243040521818</v>
      </c>
      <c r="G1057" s="880">
        <v>1.0215165415539216</v>
      </c>
      <c r="H1057" s="880">
        <v>0.98086632965726317</v>
      </c>
      <c r="I1057" s="880">
        <v>1.0250845454180093</v>
      </c>
      <c r="K1057">
        <v>1.0750057035833651</v>
      </c>
      <c r="L1057">
        <v>0</v>
      </c>
      <c r="M1057">
        <v>7.0898487345378691E-4</v>
      </c>
      <c r="N1057">
        <v>6.6841156525403095E-2</v>
      </c>
      <c r="O1057">
        <v>8.8684506300800228E-3</v>
      </c>
      <c r="P1057">
        <v>1.2540456267169717E-2</v>
      </c>
      <c r="Q1057">
        <v>2.9226429356892913E-3</v>
      </c>
      <c r="R1057">
        <v>6.9679782377880513E-4</v>
      </c>
      <c r="S1057">
        <v>8.7633884400599008E-2</v>
      </c>
      <c r="T1057">
        <v>0.8172704723676385</v>
      </c>
      <c r="U1057">
        <v>1.6817705078067086E-2</v>
      </c>
      <c r="V1057">
        <v>1.0412600606114004E-2</v>
      </c>
      <c r="W1057">
        <v>4.0443629394576665E-2</v>
      </c>
      <c r="X1057">
        <v>9.3704384507180879E-3</v>
      </c>
      <c r="Y1057">
        <v>1.8964539769850315E-3</v>
      </c>
    </row>
    <row r="1058" spans="1:25">
      <c r="A1058" s="876"/>
      <c r="B1058" s="1202">
        <v>808</v>
      </c>
      <c r="C1058" s="880">
        <v>1.0236106218289498</v>
      </c>
      <c r="D1058" s="880">
        <v>1.0177244379860735</v>
      </c>
      <c r="E1058" s="880">
        <v>1.0129520645846117</v>
      </c>
      <c r="F1058" s="880">
        <v>1.0238404861123214</v>
      </c>
      <c r="G1058" s="880">
        <v>0.96640867265543062</v>
      </c>
      <c r="H1058" s="880">
        <v>0.96373878815275371</v>
      </c>
      <c r="I1058" s="880">
        <v>1.0390453343834098</v>
      </c>
      <c r="K1058">
        <v>1.0653496361599599</v>
      </c>
      <c r="L1058">
        <v>0</v>
      </c>
      <c r="M1058">
        <v>6.2634511136979017E-4</v>
      </c>
      <c r="N1058">
        <v>6.4934002965375368E-2</v>
      </c>
      <c r="O1058">
        <v>8.5048560948467397E-3</v>
      </c>
      <c r="P1058">
        <v>1.2752850654320861E-2</v>
      </c>
      <c r="Q1058">
        <v>2.9003806372354464E-3</v>
      </c>
      <c r="R1058">
        <v>6.1535086095724004E-4</v>
      </c>
      <c r="S1058">
        <v>8.4705704750722324E-2</v>
      </c>
      <c r="T1058">
        <v>0.81479392150207797</v>
      </c>
      <c r="U1058">
        <v>1.6520567982908491E-2</v>
      </c>
      <c r="V1058">
        <v>1.0410892458817031E-2</v>
      </c>
      <c r="W1058">
        <v>3.8473052072056098E-2</v>
      </c>
      <c r="X1058">
        <v>9.6896190988419346E-3</v>
      </c>
      <c r="Y1058">
        <v>1.67478219316881E-3</v>
      </c>
    </row>
    <row r="1059" spans="1:25">
      <c r="A1059" s="876"/>
      <c r="B1059" s="1202">
        <v>809</v>
      </c>
      <c r="C1059" s="880">
        <v>0.98598200380165713</v>
      </c>
      <c r="D1059" s="880">
        <v>1.0234247025689005</v>
      </c>
      <c r="E1059" s="880">
        <v>1.0098957749520414</v>
      </c>
      <c r="F1059" s="880">
        <v>0.99005124779782738</v>
      </c>
      <c r="G1059" s="880">
        <v>1.0054473397797929</v>
      </c>
      <c r="H1059" s="880">
        <v>1.0039699646557418</v>
      </c>
      <c r="I1059" s="880">
        <v>1.0028706650948425</v>
      </c>
      <c r="K1059">
        <v>1.0763252069177853</v>
      </c>
      <c r="L1059">
        <v>0</v>
      </c>
      <c r="M1059">
        <v>6.797559870065997E-4</v>
      </c>
      <c r="N1059">
        <v>6.9854332010738318E-2</v>
      </c>
      <c r="O1059">
        <v>8.8032234990535821E-3</v>
      </c>
      <c r="P1059">
        <v>1.2755150928115468E-2</v>
      </c>
      <c r="Q1059">
        <v>2.9942187987267591E-3</v>
      </c>
      <c r="R1059">
        <v>6.6829768832178161E-4</v>
      </c>
      <c r="S1059">
        <v>8.6086939909569948E-2</v>
      </c>
      <c r="T1059">
        <v>0.81503948460562892</v>
      </c>
      <c r="U1059">
        <v>1.7151052251207364E-2</v>
      </c>
      <c r="V1059">
        <v>1.0414516913710847E-2</v>
      </c>
      <c r="W1059">
        <v>4.1474276340314684E-2</v>
      </c>
      <c r="X1059">
        <v>9.9445839560665696E-3</v>
      </c>
      <c r="Y1059">
        <v>1.8188860033381427E-3</v>
      </c>
    </row>
    <row r="1060" spans="1:25">
      <c r="A1060" s="876"/>
      <c r="B1060" s="1202">
        <v>810</v>
      </c>
      <c r="C1060" s="880">
        <v>1.0180001465579245</v>
      </c>
      <c r="D1060" s="880">
        <v>0.99392464633837896</v>
      </c>
      <c r="E1060" s="880">
        <v>1.0098990643726617</v>
      </c>
      <c r="F1060" s="880">
        <v>1.0027032079536309</v>
      </c>
      <c r="G1060" s="880">
        <v>1.0248461019688175</v>
      </c>
      <c r="H1060" s="880">
        <v>0.99637266660729562</v>
      </c>
      <c r="I1060" s="880">
        <v>1.0051626276781487</v>
      </c>
      <c r="K1060">
        <v>1.0711768606299594</v>
      </c>
      <c r="L1060">
        <v>0</v>
      </c>
      <c r="M1060">
        <v>6.6362780807574051E-4</v>
      </c>
      <c r="N1060">
        <v>6.8191238515391786E-2</v>
      </c>
      <c r="O1060">
        <v>8.6602647913363705E-3</v>
      </c>
      <c r="P1060">
        <v>1.2726261434010035E-2</v>
      </c>
      <c r="Q1060">
        <v>2.9392000405369968E-3</v>
      </c>
      <c r="R1060">
        <v>6.5238017060423347E-4</v>
      </c>
      <c r="S1060">
        <v>8.4526196653141747E-2</v>
      </c>
      <c r="T1060">
        <v>0.81503922014025132</v>
      </c>
      <c r="U1060">
        <v>1.6611617319634779E-2</v>
      </c>
      <c r="V1060">
        <v>1.0411415872692138E-2</v>
      </c>
      <c r="W1060">
        <v>4.048676534447268E-2</v>
      </c>
      <c r="X1060">
        <v>9.8203643886440612E-3</v>
      </c>
      <c r="Y1060">
        <v>1.7755637673192816E-3</v>
      </c>
    </row>
    <row r="1061" spans="1:25">
      <c r="A1061" s="876"/>
      <c r="B1061" s="1202">
        <v>811</v>
      </c>
      <c r="C1061" s="880">
        <v>0.97465161112934184</v>
      </c>
      <c r="D1061" s="880">
        <v>1.0275979195561962</v>
      </c>
      <c r="E1061" s="880">
        <v>1.0192659772452664</v>
      </c>
      <c r="F1061" s="880">
        <v>1.0248044986736264</v>
      </c>
      <c r="G1061" s="880">
        <v>1.0378083641937339</v>
      </c>
      <c r="H1061" s="880">
        <v>1.0051318695928306</v>
      </c>
      <c r="I1061" s="880">
        <v>1.0185460746457335</v>
      </c>
      <c r="K1061">
        <v>1.0804676401212641</v>
      </c>
      <c r="L1061">
        <v>0</v>
      </c>
      <c r="M1061">
        <v>6.7351593660159041E-4</v>
      </c>
      <c r="N1061">
        <v>7.1259270033014341E-2</v>
      </c>
      <c r="O1061">
        <v>8.8863029176828711E-3</v>
      </c>
      <c r="P1061">
        <v>1.286675666715841E-2</v>
      </c>
      <c r="Q1061">
        <v>3.0517656846943226E-3</v>
      </c>
      <c r="R1061">
        <v>6.6217259501597783E-4</v>
      </c>
      <c r="S1061">
        <v>8.8313110243691956E-2</v>
      </c>
      <c r="T1061">
        <v>0.81428762637116514</v>
      </c>
      <c r="U1061">
        <v>1.7350434424827775E-2</v>
      </c>
      <c r="V1061">
        <v>1.0415663098843867E-2</v>
      </c>
      <c r="W1061">
        <v>4.2040755787937728E-2</v>
      </c>
      <c r="X1061">
        <v>1.0205082715336601E-2</v>
      </c>
      <c r="Y1061">
        <v>1.80221551849621E-3</v>
      </c>
    </row>
    <row r="1062" spans="1:25">
      <c r="A1062" s="876"/>
      <c r="B1062" s="1202">
        <v>812</v>
      </c>
      <c r="C1062" s="880">
        <v>1.0152165395182591</v>
      </c>
      <c r="D1062" s="880">
        <v>1.0028338114347128</v>
      </c>
      <c r="E1062" s="880">
        <v>1.0309713177797704</v>
      </c>
      <c r="F1062" s="880">
        <v>0.98755704126725186</v>
      </c>
      <c r="G1062" s="880">
        <v>1.0248960599461057</v>
      </c>
      <c r="H1062" s="880">
        <v>1.0033160922606987</v>
      </c>
      <c r="I1062" s="880">
        <v>1.0035258159941403</v>
      </c>
      <c r="K1062">
        <v>1.0723565386155005</v>
      </c>
      <c r="L1062">
        <v>0</v>
      </c>
      <c r="M1062">
        <v>6.378740879758334E-4</v>
      </c>
      <c r="N1062">
        <v>6.9986520818613479E-2</v>
      </c>
      <c r="O1062">
        <v>8.6427773136547991E-3</v>
      </c>
      <c r="P1062">
        <v>1.290106025619204E-2</v>
      </c>
      <c r="Q1062">
        <v>2.9973456934776436E-3</v>
      </c>
      <c r="R1062">
        <v>6.2713071889537644E-4</v>
      </c>
      <c r="S1062">
        <v>8.4489632840126463E-2</v>
      </c>
      <c r="T1062">
        <v>0.8133526035750609</v>
      </c>
      <c r="U1062">
        <v>1.6657164464614412E-2</v>
      </c>
      <c r="V1062">
        <v>1.0411677708840671E-2</v>
      </c>
      <c r="W1062">
        <v>4.0966175353309833E-2</v>
      </c>
      <c r="X1062">
        <v>1.0255480877443842E-2</v>
      </c>
      <c r="Y1062">
        <v>1.7068430832472919E-3</v>
      </c>
    </row>
    <row r="1063" spans="1:25">
      <c r="A1063" s="876"/>
      <c r="B1063" s="1202">
        <v>813</v>
      </c>
      <c r="C1063" s="880">
        <v>1.0419798611227604</v>
      </c>
      <c r="D1063" s="880">
        <v>1.0322493022890471</v>
      </c>
      <c r="E1063" s="880">
        <v>0.98110868517686367</v>
      </c>
      <c r="F1063" s="880">
        <v>1.0235387154558877</v>
      </c>
      <c r="G1063" s="880">
        <v>1.0298257344007893</v>
      </c>
      <c r="H1063" s="880">
        <v>0.978018512223364</v>
      </c>
      <c r="I1063" s="880">
        <v>0.96642194880362853</v>
      </c>
      <c r="K1063">
        <v>1.055399169231322</v>
      </c>
      <c r="L1063">
        <v>0</v>
      </c>
      <c r="M1063">
        <v>6.6270533136851388E-4</v>
      </c>
      <c r="N1063">
        <v>6.2237201178376021E-2</v>
      </c>
      <c r="O1063">
        <v>8.2921697187913878E-3</v>
      </c>
      <c r="P1063">
        <v>1.2383610792922909E-2</v>
      </c>
      <c r="Q1063">
        <v>2.74149102431315E-3</v>
      </c>
      <c r="R1063">
        <v>6.5123088463138912E-4</v>
      </c>
      <c r="S1063">
        <v>7.7319648867058E-2</v>
      </c>
      <c r="T1063">
        <v>0.81736801136111448</v>
      </c>
      <c r="U1063">
        <v>1.6229324094355093E-2</v>
      </c>
      <c r="V1063">
        <v>1.0409218189703202E-2</v>
      </c>
      <c r="W1063">
        <v>3.7689214426411717E-2</v>
      </c>
      <c r="X1063">
        <v>8.9683182352490818E-3</v>
      </c>
      <c r="Y1063">
        <v>1.7724357897632185E-3</v>
      </c>
    </row>
    <row r="1064" spans="1:25">
      <c r="A1064" s="876"/>
      <c r="B1064" s="1202">
        <v>814</v>
      </c>
      <c r="C1064" s="880">
        <v>0.98622751141615239</v>
      </c>
      <c r="D1064" s="880">
        <v>1.0020508539605151</v>
      </c>
      <c r="E1064" s="880">
        <v>1.0103546083076793</v>
      </c>
      <c r="F1064" s="880">
        <v>1.0290256030750677</v>
      </c>
      <c r="G1064" s="880">
        <v>0.98593922438424042</v>
      </c>
      <c r="H1064" s="880">
        <v>0.98644590299451651</v>
      </c>
      <c r="I1064" s="880">
        <v>1.0194144700760128</v>
      </c>
      <c r="K1064">
        <v>1.0773920117098394</v>
      </c>
      <c r="L1064">
        <v>0</v>
      </c>
      <c r="M1064">
        <v>6.7460226055459011E-4</v>
      </c>
      <c r="N1064">
        <v>6.9404391688302203E-2</v>
      </c>
      <c r="O1064">
        <v>8.9005273644760935E-3</v>
      </c>
      <c r="P1064">
        <v>1.2781950550509904E-2</v>
      </c>
      <c r="Q1064">
        <v>3.0239585069570755E-3</v>
      </c>
      <c r="R1064">
        <v>6.6304664855577466E-4</v>
      </c>
      <c r="S1064">
        <v>8.7761713965417876E-2</v>
      </c>
      <c r="T1064">
        <v>0.81500259852489509</v>
      </c>
      <c r="U1064">
        <v>1.7146782735425775E-2</v>
      </c>
      <c r="V1064">
        <v>1.0414492369613343E-2</v>
      </c>
      <c r="W1064">
        <v>4.1194291368301238E-2</v>
      </c>
      <c r="X1064">
        <v>9.9682658438384527E-3</v>
      </c>
      <c r="Y1064">
        <v>1.8045944040998648E-3</v>
      </c>
    </row>
    <row r="1065" spans="1:25">
      <c r="A1065" s="876"/>
      <c r="B1065" s="1202">
        <v>815</v>
      </c>
      <c r="C1065" s="880">
        <v>0.97869948791867112</v>
      </c>
      <c r="D1065" s="880">
        <v>0.95574392882191239</v>
      </c>
      <c r="E1065" s="880">
        <v>0.99965492083631891</v>
      </c>
      <c r="F1065" s="880">
        <v>1.0000278730000451</v>
      </c>
      <c r="G1065" s="880">
        <v>1.0008077812948388</v>
      </c>
      <c r="H1065" s="880">
        <v>0.9721592141704366</v>
      </c>
      <c r="I1065" s="880">
        <v>0.9732823490212017</v>
      </c>
      <c r="K1065">
        <v>1.0779061116866757</v>
      </c>
      <c r="L1065">
        <v>0</v>
      </c>
      <c r="M1065">
        <v>7.0272808049631872E-4</v>
      </c>
      <c r="N1065">
        <v>6.9918276279588853E-2</v>
      </c>
      <c r="O1065">
        <v>9.1986446472911432E-3</v>
      </c>
      <c r="P1065">
        <v>1.2669268599694219E-2</v>
      </c>
      <c r="Q1065">
        <v>3.0808942165534751E-3</v>
      </c>
      <c r="R1065">
        <v>6.905565466205193E-4</v>
      </c>
      <c r="S1065">
        <v>8.5932095397346295E-2</v>
      </c>
      <c r="T1065">
        <v>0.81586462105902602</v>
      </c>
      <c r="U1065">
        <v>1.727867345870894E-2</v>
      </c>
      <c r="V1065">
        <v>1.0415250567718326E-2</v>
      </c>
      <c r="W1065">
        <v>4.180317466416815E-2</v>
      </c>
      <c r="X1065">
        <v>9.877917052459044E-3</v>
      </c>
      <c r="Y1065">
        <v>1.8794672779966401E-3</v>
      </c>
    </row>
    <row r="1066" spans="1:25">
      <c r="A1066" s="876"/>
      <c r="B1066" s="1202">
        <v>816</v>
      </c>
      <c r="C1066" s="880">
        <v>1.0163403440014682</v>
      </c>
      <c r="D1066" s="880">
        <v>0.96854629023083016</v>
      </c>
      <c r="E1066" s="880">
        <v>0.96607772373759848</v>
      </c>
      <c r="F1066" s="880">
        <v>1.0037154085684965</v>
      </c>
      <c r="G1066" s="880">
        <v>1.006420268967313</v>
      </c>
      <c r="H1066" s="880">
        <v>0.97652021533866784</v>
      </c>
      <c r="I1066" s="880">
        <v>0.98195073877241168</v>
      </c>
      <c r="K1066">
        <v>1.0682509636896766</v>
      </c>
      <c r="L1066">
        <v>0</v>
      </c>
      <c r="M1066">
        <v>7.2424011033506131E-4</v>
      </c>
      <c r="N1066">
        <v>6.4906392622734607E-2</v>
      </c>
      <c r="O1066">
        <v>8.7951039225411878E-3</v>
      </c>
      <c r="P1066">
        <v>1.2340529218927204E-2</v>
      </c>
      <c r="Q1066">
        <v>2.8499325122078082E-3</v>
      </c>
      <c r="R1066">
        <v>7.1173958639267625E-4</v>
      </c>
      <c r="S1066">
        <v>8.3086273188687595E-2</v>
      </c>
      <c r="T1066">
        <v>0.81859498926576446</v>
      </c>
      <c r="U1066">
        <v>1.6638746032035853E-2</v>
      </c>
      <c r="V1066">
        <v>1.0411571827090018E-2</v>
      </c>
      <c r="W1066">
        <v>3.9719575046896369E-2</v>
      </c>
      <c r="X1066">
        <v>8.9832300474642062E-3</v>
      </c>
      <c r="Y1066">
        <v>1.9371205292692674E-3</v>
      </c>
    </row>
    <row r="1067" spans="1:25">
      <c r="A1067" s="876"/>
      <c r="B1067" s="1202">
        <v>817</v>
      </c>
      <c r="C1067" s="880">
        <v>0.97853801589725919</v>
      </c>
      <c r="D1067" s="880">
        <v>0.99601358770886084</v>
      </c>
      <c r="E1067" s="880">
        <v>1.0255496168237856</v>
      </c>
      <c r="F1067" s="880">
        <v>0.99368124862319906</v>
      </c>
      <c r="G1067" s="880">
        <v>1.0040570714830577</v>
      </c>
      <c r="H1067" s="880">
        <v>0.97189153265500772</v>
      </c>
      <c r="I1067" s="880">
        <v>1.0139471934049793</v>
      </c>
      <c r="K1067">
        <v>1.0776206261620804</v>
      </c>
      <c r="L1067">
        <v>0</v>
      </c>
      <c r="M1067">
        <v>6.5080772920699578E-4</v>
      </c>
      <c r="N1067">
        <v>7.0175450210932078E-2</v>
      </c>
      <c r="O1067">
        <v>8.9994266192147659E-3</v>
      </c>
      <c r="P1067">
        <v>1.2909632865569417E-2</v>
      </c>
      <c r="Q1067">
        <v>3.1027495022612622E-3</v>
      </c>
      <c r="R1067">
        <v>6.394977829408705E-4</v>
      </c>
      <c r="S1067">
        <v>8.7701773770885422E-2</v>
      </c>
      <c r="T1067">
        <v>0.81378510796211978</v>
      </c>
      <c r="U1067">
        <v>1.7281524673771986E-2</v>
      </c>
      <c r="V1067">
        <v>1.0415266958453046E-2</v>
      </c>
      <c r="W1067">
        <v>4.1226454838974538E-2</v>
      </c>
      <c r="X1067">
        <v>1.0294046551386464E-2</v>
      </c>
      <c r="Y1067">
        <v>1.7405021547775594E-3</v>
      </c>
    </row>
    <row r="1068" spans="1:25">
      <c r="A1068" s="876"/>
      <c r="B1068" s="1202">
        <v>818</v>
      </c>
      <c r="C1068" s="880">
        <v>1.0021442012114783</v>
      </c>
      <c r="D1068" s="880">
        <v>1.0171188804194611</v>
      </c>
      <c r="E1068" s="880">
        <v>0.99319299460283794</v>
      </c>
      <c r="F1068" s="880">
        <v>0.98740246931418407</v>
      </c>
      <c r="G1068" s="880">
        <v>0.99876274677755361</v>
      </c>
      <c r="H1068" s="880">
        <v>1.0017036410499609</v>
      </c>
      <c r="I1068" s="880">
        <v>0.97506500358390502</v>
      </c>
      <c r="K1068">
        <v>1.0699965880031141</v>
      </c>
      <c r="L1068">
        <v>0</v>
      </c>
      <c r="M1068">
        <v>6.9345058444610487E-4</v>
      </c>
      <c r="N1068">
        <v>6.7651455044802036E-2</v>
      </c>
      <c r="O1068">
        <v>8.6897874083828423E-3</v>
      </c>
      <c r="P1068">
        <v>1.256338801907679E-2</v>
      </c>
      <c r="Q1068">
        <v>2.9051389115233358E-3</v>
      </c>
      <c r="R1068">
        <v>6.8174026617719532E-4</v>
      </c>
      <c r="S1068">
        <v>8.2525435807012201E-2</v>
      </c>
      <c r="T1068">
        <v>0.81638711182082424</v>
      </c>
      <c r="U1068">
        <v>1.6874446656987459E-2</v>
      </c>
      <c r="V1068">
        <v>1.0412926795527055E-2</v>
      </c>
      <c r="W1068">
        <v>4.0627559819464323E-2</v>
      </c>
      <c r="X1068">
        <v>9.5155757688651851E-3</v>
      </c>
      <c r="Y1068">
        <v>1.8554722689159793E-3</v>
      </c>
    </row>
    <row r="1069" spans="1:25">
      <c r="A1069" s="876"/>
      <c r="B1069" s="1202">
        <v>819</v>
      </c>
      <c r="C1069" s="880">
        <v>1.0216639063678215</v>
      </c>
      <c r="D1069" s="880">
        <v>1.0057960513184372</v>
      </c>
      <c r="E1069" s="880">
        <v>0.9955275835739813</v>
      </c>
      <c r="F1069" s="880">
        <v>0.99230193689947055</v>
      </c>
      <c r="G1069" s="880">
        <v>0.97888314040032942</v>
      </c>
      <c r="H1069" s="880">
        <v>1.0271522597097749</v>
      </c>
      <c r="I1069" s="880">
        <v>0.98369609467411756</v>
      </c>
      <c r="K1069">
        <v>1.0714042547519651</v>
      </c>
      <c r="L1069">
        <v>0</v>
      </c>
      <c r="M1069">
        <v>6.9820610576210506E-4</v>
      </c>
      <c r="N1069">
        <v>6.8642275080331855E-2</v>
      </c>
      <c r="O1069">
        <v>8.5747436276546827E-3</v>
      </c>
      <c r="P1069">
        <v>1.2584829400190439E-2</v>
      </c>
      <c r="Q1069">
        <v>2.8710442690538522E-3</v>
      </c>
      <c r="R1069">
        <v>6.8671700566300023E-4</v>
      </c>
      <c r="S1069">
        <v>8.2994743135222482E-2</v>
      </c>
      <c r="T1069">
        <v>0.81619818082489659</v>
      </c>
      <c r="U1069">
        <v>1.6552046872314746E-2</v>
      </c>
      <c r="V1069">
        <v>1.0411073421008294E-2</v>
      </c>
      <c r="W1069">
        <v>4.1156532253161647E-2</v>
      </c>
      <c r="X1069">
        <v>9.5612576550153268E-3</v>
      </c>
      <c r="Y1069">
        <v>1.8690173132146098E-3</v>
      </c>
    </row>
    <row r="1070" spans="1:25">
      <c r="A1070" s="876"/>
      <c r="B1070" s="1202">
        <v>820</v>
      </c>
      <c r="C1070" s="880">
        <v>0.97244429390097209</v>
      </c>
      <c r="D1070" s="880">
        <v>0.96926462762358256</v>
      </c>
      <c r="E1070" s="880">
        <v>0.96623170466807895</v>
      </c>
      <c r="F1070" s="880">
        <v>0.99355676814364813</v>
      </c>
      <c r="G1070" s="880">
        <v>1.0305008254534569</v>
      </c>
      <c r="H1070" s="880">
        <v>0.98928476139034804</v>
      </c>
      <c r="I1070" s="880">
        <v>1.0361597389384922</v>
      </c>
      <c r="K1070">
        <v>1.0851992665511496</v>
      </c>
      <c r="L1070">
        <v>0</v>
      </c>
      <c r="M1070">
        <v>7.662759602293772E-4</v>
      </c>
      <c r="N1070">
        <v>6.8722138280064737E-2</v>
      </c>
      <c r="O1070">
        <v>9.1884696883315006E-3</v>
      </c>
      <c r="P1070">
        <v>1.2471672459709812E-2</v>
      </c>
      <c r="Q1070">
        <v>2.9780340750781152E-3</v>
      </c>
      <c r="R1070">
        <v>7.5321982226356601E-4</v>
      </c>
      <c r="S1070">
        <v>9.2091154421166332E-2</v>
      </c>
      <c r="T1070">
        <v>0.81858238112887582</v>
      </c>
      <c r="U1070">
        <v>1.7389817567971099E-2</v>
      </c>
      <c r="V1070">
        <v>1.0415889500092998E-2</v>
      </c>
      <c r="W1070">
        <v>4.2050089861808727E-2</v>
      </c>
      <c r="X1070">
        <v>9.2726596486618056E-3</v>
      </c>
      <c r="Y1070">
        <v>2.0500160573537493E-3</v>
      </c>
    </row>
    <row r="1071" spans="1:25">
      <c r="A1071" s="876"/>
      <c r="B1071" s="1202">
        <v>821</v>
      </c>
      <c r="C1071" s="880">
        <v>0.98742494058198993</v>
      </c>
      <c r="D1071" s="880">
        <v>0.98803455361405657</v>
      </c>
      <c r="E1071" s="880">
        <v>0.98512370128339444</v>
      </c>
      <c r="F1071" s="880">
        <v>0.99769442626087756</v>
      </c>
      <c r="G1071" s="880">
        <v>0.99399023416229748</v>
      </c>
      <c r="H1071" s="880">
        <v>0.97767227854730276</v>
      </c>
      <c r="I1071" s="880">
        <v>0.99084722319877472</v>
      </c>
      <c r="K1071">
        <v>1.07409348807297</v>
      </c>
      <c r="L1071">
        <v>0</v>
      </c>
      <c r="M1071">
        <v>7.0952031861929701E-4</v>
      </c>
      <c r="N1071">
        <v>6.7475764598465479E-2</v>
      </c>
      <c r="O1071">
        <v>8.9567952709254835E-3</v>
      </c>
      <c r="P1071">
        <v>1.2539306969598372E-2</v>
      </c>
      <c r="Q1071">
        <v>2.9636471451004571E-3</v>
      </c>
      <c r="R1071">
        <v>6.972702143490235E-4</v>
      </c>
      <c r="S1071">
        <v>8.5482121345470272E-2</v>
      </c>
      <c r="T1071">
        <v>0.8170415582662881</v>
      </c>
      <c r="U1071">
        <v>1.7125989197705718E-2</v>
      </c>
      <c r="V1071">
        <v>1.041437283413347E-2</v>
      </c>
      <c r="W1071">
        <v>4.0748117738062514E-2</v>
      </c>
      <c r="X1071">
        <v>9.4603251430966651E-3</v>
      </c>
      <c r="Y1071">
        <v>1.8977396683936571E-3</v>
      </c>
    </row>
    <row r="1072" spans="1:25">
      <c r="A1072" s="876"/>
      <c r="B1072" s="1202">
        <v>822</v>
      </c>
      <c r="C1072" s="880">
        <v>0.99888535280466539</v>
      </c>
      <c r="D1072" s="880">
        <v>1.0063264107376702</v>
      </c>
      <c r="E1072" s="880">
        <v>0.99008628188407433</v>
      </c>
      <c r="F1072" s="880">
        <v>0.97369457259764225</v>
      </c>
      <c r="G1072" s="880">
        <v>1.0301816167069635</v>
      </c>
      <c r="H1072" s="880">
        <v>0.99817014633559553</v>
      </c>
      <c r="I1072" s="880">
        <v>1.017766902911053</v>
      </c>
      <c r="K1072">
        <v>1.0749979802741414</v>
      </c>
      <c r="L1072">
        <v>0</v>
      </c>
      <c r="M1072">
        <v>7.017704669499995E-4</v>
      </c>
      <c r="N1072">
        <v>6.7800974303121667E-2</v>
      </c>
      <c r="O1072">
        <v>8.7678181099274458E-3</v>
      </c>
      <c r="P1072">
        <v>1.2595467937196897E-2</v>
      </c>
      <c r="Q1072">
        <v>2.9197285694668681E-3</v>
      </c>
      <c r="R1072">
        <v>6.8988696409782026E-4</v>
      </c>
      <c r="S1072">
        <v>8.6752122864774475E-2</v>
      </c>
      <c r="T1072">
        <v>0.81663881516290004</v>
      </c>
      <c r="U1072">
        <v>1.6929499284848638E-2</v>
      </c>
      <c r="V1072">
        <v>1.0413243275693953E-2</v>
      </c>
      <c r="W1072">
        <v>4.0804507475068648E-2</v>
      </c>
      <c r="X1072">
        <v>9.5100418988968097E-3</v>
      </c>
      <c r="Y1072">
        <v>1.877644895097673E-3</v>
      </c>
    </row>
    <row r="1073" spans="1:25">
      <c r="A1073" s="876"/>
      <c r="B1073" s="1202">
        <v>823</v>
      </c>
      <c r="C1073" s="880">
        <v>1.0321128147525296</v>
      </c>
      <c r="D1073" s="880">
        <v>0.9987389930439734</v>
      </c>
      <c r="E1073" s="880">
        <v>1.0149979210100528</v>
      </c>
      <c r="F1073" s="880">
        <v>0.95794861407990861</v>
      </c>
      <c r="G1073" s="880">
        <v>1.0085732029141206</v>
      </c>
      <c r="H1073" s="880">
        <v>0.97719875360171093</v>
      </c>
      <c r="I1073" s="880">
        <v>1.0075534354842151</v>
      </c>
      <c r="K1073">
        <v>1.0649621676257333</v>
      </c>
      <c r="L1073">
        <v>0</v>
      </c>
      <c r="M1073">
        <v>6.3345712033914016E-4</v>
      </c>
      <c r="N1073">
        <v>6.6108070572408431E-2</v>
      </c>
      <c r="O1073">
        <v>8.5198581180805869E-3</v>
      </c>
      <c r="P1073">
        <v>1.2740250070163946E-2</v>
      </c>
      <c r="Q1073">
        <v>2.9073542032155945E-3</v>
      </c>
      <c r="R1073">
        <v>6.2250628633397052E-4</v>
      </c>
      <c r="S1073">
        <v>8.2698070150264036E-2</v>
      </c>
      <c r="T1073">
        <v>0.81462972120549915</v>
      </c>
      <c r="U1073">
        <v>1.6384477185284289E-2</v>
      </c>
      <c r="V1073">
        <v>1.0410110115811406E-2</v>
      </c>
      <c r="W1073">
        <v>3.9114419299401099E-2</v>
      </c>
      <c r="X1073">
        <v>9.7665306373513078E-3</v>
      </c>
      <c r="Y1073">
        <v>1.6942569022589289E-3</v>
      </c>
    </row>
    <row r="1074" spans="1:25">
      <c r="A1074" s="876"/>
      <c r="B1074" s="1202">
        <v>824</v>
      </c>
      <c r="C1074" s="880">
        <v>1.0099161630323203</v>
      </c>
      <c r="D1074" s="880">
        <v>0.98486255336654205</v>
      </c>
      <c r="E1074" s="880">
        <v>0.99633737346530593</v>
      </c>
      <c r="F1074" s="880">
        <v>1.0048642080156489</v>
      </c>
      <c r="G1074" s="880">
        <v>1.000533292850035</v>
      </c>
      <c r="H1074" s="880">
        <v>1.0118627963962838</v>
      </c>
      <c r="I1074" s="880">
        <v>0.98337964903216302</v>
      </c>
      <c r="K1074">
        <v>1.0741156776219067</v>
      </c>
      <c r="L1074">
        <v>0</v>
      </c>
      <c r="M1074">
        <v>7.0244882820369621E-4</v>
      </c>
      <c r="N1074">
        <v>6.9217959381355124E-2</v>
      </c>
      <c r="O1074">
        <v>8.7723732076941795E-3</v>
      </c>
      <c r="P1074">
        <v>1.2611731286559489E-2</v>
      </c>
      <c r="Q1074">
        <v>2.9349891873451327E-3</v>
      </c>
      <c r="R1074">
        <v>6.9073340013358568E-4</v>
      </c>
      <c r="S1074">
        <v>8.4281636869661766E-2</v>
      </c>
      <c r="T1074">
        <v>0.81613269027300339</v>
      </c>
      <c r="U1074">
        <v>1.6744586813203809E-2</v>
      </c>
      <c r="V1074">
        <v>1.0412180272306745E-2</v>
      </c>
      <c r="W1074">
        <v>4.1478646249257435E-2</v>
      </c>
      <c r="X1074">
        <v>9.6606508946297156E-3</v>
      </c>
      <c r="Y1074">
        <v>1.8799486149594625E-3</v>
      </c>
    </row>
    <row r="1075" spans="1:25">
      <c r="A1075" s="876"/>
      <c r="B1075" s="1202">
        <v>825</v>
      </c>
      <c r="C1075" s="880">
        <v>0.97517103831786733</v>
      </c>
      <c r="D1075" s="880">
        <v>1.0314770532128743</v>
      </c>
      <c r="E1075" s="880">
        <v>0.98360446491367015</v>
      </c>
      <c r="F1075" s="880">
        <v>0.98817075647034669</v>
      </c>
      <c r="G1075" s="880">
        <v>1.0083861103389178</v>
      </c>
      <c r="H1075" s="880">
        <v>1.0285292665193615</v>
      </c>
      <c r="I1075" s="880">
        <v>1.0096881426897255</v>
      </c>
      <c r="K1075">
        <v>1.0816146217855438</v>
      </c>
      <c r="L1075">
        <v>0</v>
      </c>
      <c r="M1075">
        <v>7.4107925344630296E-4</v>
      </c>
      <c r="N1075">
        <v>7.0201570174746264E-2</v>
      </c>
      <c r="O1075">
        <v>8.8637913185844221E-3</v>
      </c>
      <c r="P1075">
        <v>1.2565929718516852E-2</v>
      </c>
      <c r="Q1075">
        <v>2.9377474245705121E-3</v>
      </c>
      <c r="R1075">
        <v>7.2887860752484789E-4</v>
      </c>
      <c r="S1075">
        <v>8.8186928377767829E-2</v>
      </c>
      <c r="T1075">
        <v>0.81716502020855952</v>
      </c>
      <c r="U1075">
        <v>1.7341192674387215E-2</v>
      </c>
      <c r="V1075">
        <v>1.0415609970939972E-2</v>
      </c>
      <c r="W1075">
        <v>4.2438789717638169E-2</v>
      </c>
      <c r="X1075">
        <v>9.526475550839365E-3</v>
      </c>
      <c r="Y1075">
        <v>1.9837672949142406E-3</v>
      </c>
    </row>
    <row r="1076" spans="1:25">
      <c r="A1076" s="876"/>
      <c r="B1076" s="1202">
        <v>826</v>
      </c>
      <c r="C1076" s="880">
        <v>0.99988182482251675</v>
      </c>
      <c r="D1076" s="880">
        <v>0.97269889310585422</v>
      </c>
      <c r="E1076" s="880">
        <v>1.0140814215690648</v>
      </c>
      <c r="F1076" s="880">
        <v>1.0323315004011753</v>
      </c>
      <c r="G1076" s="880">
        <v>0.97142624714707826</v>
      </c>
      <c r="H1076" s="880">
        <v>0.98519369652381727</v>
      </c>
      <c r="I1076" s="880">
        <v>0.99068260862192892</v>
      </c>
      <c r="K1076">
        <v>1.0749106563795772</v>
      </c>
      <c r="L1076">
        <v>0</v>
      </c>
      <c r="M1076">
        <v>6.6986444544821601E-4</v>
      </c>
      <c r="N1076">
        <v>6.9721058520500701E-2</v>
      </c>
      <c r="O1076">
        <v>8.9194444996384126E-3</v>
      </c>
      <c r="P1076">
        <v>1.2776347638112917E-2</v>
      </c>
      <c r="Q1076">
        <v>3.0348983771477369E-3</v>
      </c>
      <c r="R1076">
        <v>6.5840059822913719E-4</v>
      </c>
      <c r="S1076">
        <v>8.5334853557240214E-2</v>
      </c>
      <c r="T1076">
        <v>0.81470326176033736</v>
      </c>
      <c r="U1076">
        <v>1.6912627518711094E-2</v>
      </c>
      <c r="V1076">
        <v>1.0413146285240069E-2</v>
      </c>
      <c r="W1076">
        <v>4.1277746580357225E-2</v>
      </c>
      <c r="X1076">
        <v>1.0036786102829206E-2</v>
      </c>
      <c r="Y1076">
        <v>1.7919493866808362E-3</v>
      </c>
    </row>
    <row r="1077" spans="1:25">
      <c r="A1077" s="876"/>
      <c r="B1077" s="1202">
        <v>827</v>
      </c>
      <c r="C1077" s="880">
        <v>0.9872194713218494</v>
      </c>
      <c r="D1077" s="880">
        <v>1.0428324647973077</v>
      </c>
      <c r="E1077" s="880">
        <v>1.0010694742481672</v>
      </c>
      <c r="F1077" s="880">
        <v>1.030140177208495</v>
      </c>
      <c r="G1077" s="880">
        <v>1.018328030081572</v>
      </c>
      <c r="H1077" s="880">
        <v>1.0300632964424077</v>
      </c>
      <c r="I1077" s="880">
        <v>0.9546043666191899</v>
      </c>
      <c r="K1077">
        <v>1.0734080763514022</v>
      </c>
      <c r="L1077">
        <v>0</v>
      </c>
      <c r="M1077">
        <v>7.0259280532428646E-4</v>
      </c>
      <c r="N1077">
        <v>7.0275185266118367E-2</v>
      </c>
      <c r="O1077">
        <v>8.7048183254952623E-3</v>
      </c>
      <c r="P1077">
        <v>1.2624845944682403E-2</v>
      </c>
      <c r="Q1077">
        <v>2.9387385344885422E-3</v>
      </c>
      <c r="R1077">
        <v>6.9103385847360185E-4</v>
      </c>
      <c r="S1077">
        <v>8.1963740253263362E-2</v>
      </c>
      <c r="T1077">
        <v>0.81575043398505764</v>
      </c>
      <c r="U1077">
        <v>1.7129553617200925E-2</v>
      </c>
      <c r="V1077">
        <v>1.0414393324855185E-2</v>
      </c>
      <c r="W1077">
        <v>4.197592793933335E-2</v>
      </c>
      <c r="X1077">
        <v>9.7612317442430929E-3</v>
      </c>
      <c r="Y1077">
        <v>1.8807663635149209E-3</v>
      </c>
    </row>
    <row r="1078" spans="1:25">
      <c r="A1078" s="876"/>
      <c r="B1078" s="1202">
        <v>828</v>
      </c>
      <c r="C1078" s="880">
        <v>0.96295992351000337</v>
      </c>
      <c r="D1078" s="880">
        <v>1.0342475898311296</v>
      </c>
      <c r="E1078" s="880">
        <v>1.0092656861095513</v>
      </c>
      <c r="F1078" s="880">
        <v>1.0018439530761842</v>
      </c>
      <c r="G1078" s="880">
        <v>1.034636986324823</v>
      </c>
      <c r="H1078" s="880">
        <v>0.99734468909567808</v>
      </c>
      <c r="I1078" s="880">
        <v>0.98323136528449051</v>
      </c>
      <c r="K1078">
        <v>1.0779462470025643</v>
      </c>
      <c r="L1078">
        <v>0</v>
      </c>
      <c r="M1078">
        <v>6.8848025224987788E-4</v>
      </c>
      <c r="N1078">
        <v>7.060344103566428E-2</v>
      </c>
      <c r="O1078">
        <v>8.9634001372679087E-3</v>
      </c>
      <c r="P1078">
        <v>1.2750674137136327E-2</v>
      </c>
      <c r="Q1078">
        <v>3.0491447198566345E-3</v>
      </c>
      <c r="R1078">
        <v>6.7678888299773168E-4</v>
      </c>
      <c r="S1078">
        <v>8.573109647979206E-2</v>
      </c>
      <c r="T1078">
        <v>0.81509014976621197</v>
      </c>
      <c r="U1078">
        <v>1.7561093097532947E-2</v>
      </c>
      <c r="V1078">
        <v>1.0416874109007958E-2</v>
      </c>
      <c r="W1078">
        <v>4.1936997407213537E-2</v>
      </c>
      <c r="X1078">
        <v>1.0013071246008516E-2</v>
      </c>
      <c r="Y1078">
        <v>1.8419962361245058E-3</v>
      </c>
    </row>
    <row r="1079" spans="1:25">
      <c r="A1079" s="876"/>
      <c r="B1079" s="1202">
        <v>829</v>
      </c>
      <c r="C1079" s="880">
        <v>0.9806057785766803</v>
      </c>
      <c r="D1079" s="880">
        <v>0.99696760985524724</v>
      </c>
      <c r="E1079" s="880">
        <v>0.99967242069346463</v>
      </c>
      <c r="F1079" s="880">
        <v>0.98486732897464702</v>
      </c>
      <c r="G1079" s="880">
        <v>0.99622334179148908</v>
      </c>
      <c r="H1079" s="880">
        <v>0.98277865139221454</v>
      </c>
      <c r="I1079" s="880">
        <v>0.96806179129656478</v>
      </c>
      <c r="K1079">
        <v>1.0738985908057033</v>
      </c>
      <c r="L1079">
        <v>0</v>
      </c>
      <c r="M1079">
        <v>6.9321095451202496E-4</v>
      </c>
      <c r="N1079">
        <v>6.8984482942203509E-2</v>
      </c>
      <c r="O1079">
        <v>8.9758646515060957E-3</v>
      </c>
      <c r="P1079">
        <v>1.2641246235891253E-2</v>
      </c>
      <c r="Q1079">
        <v>3.0159284795452891E-3</v>
      </c>
      <c r="R1079">
        <v>6.8129672619905094E-4</v>
      </c>
      <c r="S1079">
        <v>8.3901414590874551E-2</v>
      </c>
      <c r="T1079">
        <v>0.81586320800173129</v>
      </c>
      <c r="U1079">
        <v>1.724508384041714E-2</v>
      </c>
      <c r="V1079">
        <v>1.0415057471613443E-2</v>
      </c>
      <c r="W1079">
        <v>4.1244378501347684E-2</v>
      </c>
      <c r="X1079">
        <v>9.7695752195777093E-3</v>
      </c>
      <c r="Y1079">
        <v>1.854265099308385E-3</v>
      </c>
    </row>
    <row r="1080" spans="1:25">
      <c r="A1080" s="876"/>
      <c r="B1080" s="1202">
        <v>830</v>
      </c>
      <c r="C1080" s="880">
        <v>0.99097859477825079</v>
      </c>
      <c r="D1080" s="880">
        <v>1.029056492560432</v>
      </c>
      <c r="E1080" s="880">
        <v>1.0072434078930685</v>
      </c>
      <c r="F1080" s="880">
        <v>0.96960627464585403</v>
      </c>
      <c r="G1080" s="880">
        <v>1.0169429907435219</v>
      </c>
      <c r="H1080" s="880">
        <v>1.0449254868710662</v>
      </c>
      <c r="I1080" s="880">
        <v>1.0256126550223181</v>
      </c>
      <c r="K1080">
        <v>1.0827056900774912</v>
      </c>
      <c r="L1080">
        <v>0</v>
      </c>
      <c r="M1080">
        <v>7.0580796941914969E-4</v>
      </c>
      <c r="N1080">
        <v>7.1983726022175856E-2</v>
      </c>
      <c r="O1080">
        <v>8.7333049194500776E-3</v>
      </c>
      <c r="P1080">
        <v>1.276973912089162E-2</v>
      </c>
      <c r="Q1080">
        <v>2.9637669547241501E-3</v>
      </c>
      <c r="R1080">
        <v>6.9437228665479946E-4</v>
      </c>
      <c r="S1080">
        <v>8.8849404147133049E-2</v>
      </c>
      <c r="T1080">
        <v>0.8152528515177786</v>
      </c>
      <c r="U1080">
        <v>1.7064575314804292E-2</v>
      </c>
      <c r="V1080">
        <v>1.0414019785120812E-2</v>
      </c>
      <c r="W1080">
        <v>4.2815723020770136E-2</v>
      </c>
      <c r="X1080">
        <v>9.9801624928941967E-3</v>
      </c>
      <c r="Y1080">
        <v>1.8898524645115868E-3</v>
      </c>
    </row>
    <row r="1081" spans="1:25">
      <c r="A1081" s="876"/>
      <c r="B1081" s="1202">
        <v>831</v>
      </c>
      <c r="C1081" s="880">
        <v>0.95899473363612819</v>
      </c>
      <c r="D1081" s="880">
        <v>0.97631283044636674</v>
      </c>
      <c r="E1081" s="880">
        <v>0.9954623858037418</v>
      </c>
      <c r="F1081" s="880">
        <v>0.98241644203000522</v>
      </c>
      <c r="G1081" s="880">
        <v>1.0329905718462327</v>
      </c>
      <c r="H1081" s="880">
        <v>0.99924873383632373</v>
      </c>
      <c r="I1081" s="880">
        <v>0.99987087137176489</v>
      </c>
      <c r="K1081">
        <v>1.0869523214346661</v>
      </c>
      <c r="L1081">
        <v>0</v>
      </c>
      <c r="M1081">
        <v>7.3528173788328037E-4</v>
      </c>
      <c r="N1081">
        <v>7.2241559206361494E-2</v>
      </c>
      <c r="O1081">
        <v>9.28130983363268E-3</v>
      </c>
      <c r="P1081">
        <v>1.2696581875695405E-2</v>
      </c>
      <c r="Q1081">
        <v>3.1004919416392413E-3</v>
      </c>
      <c r="R1081">
        <v>7.2287193589831678E-4</v>
      </c>
      <c r="S1081">
        <v>9.0162868847384905E-2</v>
      </c>
      <c r="T1081">
        <v>0.8162034545658553</v>
      </c>
      <c r="U1081">
        <v>1.7633703578156232E-2</v>
      </c>
      <c r="V1081">
        <v>1.0417291523724035E-2</v>
      </c>
      <c r="W1081">
        <v>4.3316529311700491E-2</v>
      </c>
      <c r="X1081">
        <v>9.9435214376555128E-3</v>
      </c>
      <c r="Y1081">
        <v>1.9674191148455929E-3</v>
      </c>
    </row>
    <row r="1082" spans="1:25">
      <c r="A1082" s="876"/>
      <c r="B1082" s="1202">
        <v>832</v>
      </c>
      <c r="C1082" s="880">
        <v>1.0322758490334281</v>
      </c>
      <c r="D1082" s="880">
        <v>0.99988435358568817</v>
      </c>
      <c r="E1082" s="880">
        <v>0.9583101888125537</v>
      </c>
      <c r="F1082" s="880">
        <v>0.99321563292847903</v>
      </c>
      <c r="G1082" s="880">
        <v>1.0005103612265649</v>
      </c>
      <c r="H1082" s="880">
        <v>0.97302515553552194</v>
      </c>
      <c r="I1082" s="880">
        <v>1.0016223704101801</v>
      </c>
      <c r="K1082">
        <v>1.0624198939501681</v>
      </c>
      <c r="L1082">
        <v>0</v>
      </c>
      <c r="M1082">
        <v>7.1000570092227453E-4</v>
      </c>
      <c r="N1082">
        <v>6.2100743645217359E-2</v>
      </c>
      <c r="O1082">
        <v>8.5133072186258582E-3</v>
      </c>
      <c r="P1082">
        <v>1.2257377765520478E-2</v>
      </c>
      <c r="Q1082">
        <v>2.7432733110631644E-3</v>
      </c>
      <c r="R1082">
        <v>6.9767785474018809E-4</v>
      </c>
      <c r="S1082">
        <v>8.2006586277701091E-2</v>
      </c>
      <c r="T1082">
        <v>0.81923204059931465</v>
      </c>
      <c r="U1082">
        <v>1.6381889474394531E-2</v>
      </c>
      <c r="V1082">
        <v>1.0410095239878941E-2</v>
      </c>
      <c r="W1082">
        <v>3.8210631275136193E-2</v>
      </c>
      <c r="X1082">
        <v>8.6774278583373211E-3</v>
      </c>
      <c r="Y1082">
        <v>1.8988491311597879E-3</v>
      </c>
    </row>
    <row r="1083" spans="1:25">
      <c r="A1083" s="876"/>
      <c r="B1083" s="1202">
        <v>833</v>
      </c>
      <c r="C1083" s="880">
        <v>0.98249585373989379</v>
      </c>
      <c r="D1083" s="880">
        <v>1.0152664800853599</v>
      </c>
      <c r="E1083" s="880">
        <v>0.97214956541278263</v>
      </c>
      <c r="F1083" s="880">
        <v>0.99652130663397898</v>
      </c>
      <c r="G1083" s="880">
        <v>1.0149436411127661</v>
      </c>
      <c r="H1083" s="880">
        <v>0.97662081273403312</v>
      </c>
      <c r="I1083" s="880">
        <v>0.98962059116613932</v>
      </c>
      <c r="K1083">
        <v>1.0716464119085676</v>
      </c>
      <c r="L1083">
        <v>0</v>
      </c>
      <c r="M1083">
        <v>7.214665602291797E-4</v>
      </c>
      <c r="N1083">
        <v>6.588978276991618E-2</v>
      </c>
      <c r="O1083">
        <v>8.8721764151199235E-3</v>
      </c>
      <c r="P1083">
        <v>1.2419704092302532E-2</v>
      </c>
      <c r="Q1083">
        <v>2.9030466009934437E-3</v>
      </c>
      <c r="R1083">
        <v>7.0897188601790637E-4</v>
      </c>
      <c r="S1083">
        <v>8.4613769977731373E-2</v>
      </c>
      <c r="T1083">
        <v>0.81809842591723103</v>
      </c>
      <c r="U1083">
        <v>1.7211908632063597E-2</v>
      </c>
      <c r="V1083">
        <v>1.0414866757820378E-2</v>
      </c>
      <c r="W1083">
        <v>4.0150537959907563E-2</v>
      </c>
      <c r="X1083">
        <v>9.1550996984714472E-3</v>
      </c>
      <c r="Y1083">
        <v>1.9295877612213266E-3</v>
      </c>
    </row>
    <row r="1084" spans="1:25">
      <c r="A1084" s="876"/>
      <c r="B1084" s="1202">
        <v>834</v>
      </c>
      <c r="C1084" s="880">
        <v>1.0029739708963596</v>
      </c>
      <c r="D1084" s="880">
        <v>1.0147814906011829</v>
      </c>
      <c r="E1084" s="880">
        <v>0.97498965175142216</v>
      </c>
      <c r="F1084" s="880">
        <v>1.0012901079710403</v>
      </c>
      <c r="G1084" s="880">
        <v>0.99429180924930938</v>
      </c>
      <c r="H1084" s="880">
        <v>0.96362348295514011</v>
      </c>
      <c r="I1084" s="880">
        <v>0.97755374965453867</v>
      </c>
      <c r="K1084">
        <v>1.0641481268186854</v>
      </c>
      <c r="L1084">
        <v>0</v>
      </c>
      <c r="M1084">
        <v>6.9336544040842928E-4</v>
      </c>
      <c r="N1084">
        <v>6.3871330185149955E-2</v>
      </c>
      <c r="O1084">
        <v>8.6932412928069445E-3</v>
      </c>
      <c r="P1084">
        <v>1.2396447409141665E-2</v>
      </c>
      <c r="Q1084">
        <v>2.8526489537875044E-3</v>
      </c>
      <c r="R1084">
        <v>6.8119589423255443E-4</v>
      </c>
      <c r="S1084">
        <v>8.1445543635417117E-2</v>
      </c>
      <c r="T1084">
        <v>0.81786658709091686</v>
      </c>
      <c r="U1084">
        <v>1.6860486270485486E-2</v>
      </c>
      <c r="V1084">
        <v>1.0412846541675007E-2</v>
      </c>
      <c r="W1084">
        <v>3.8843603247633744E-2</v>
      </c>
      <c r="X1084">
        <v>9.0635710699117199E-3</v>
      </c>
      <c r="Y1084">
        <v>1.8539906679348305E-3</v>
      </c>
    </row>
    <row r="1085" spans="1:25">
      <c r="A1085" s="876"/>
      <c r="B1085" s="1202">
        <v>835</v>
      </c>
      <c r="C1085" s="880">
        <v>0.96773782034871292</v>
      </c>
      <c r="D1085" s="880">
        <v>0.99080141182260495</v>
      </c>
      <c r="E1085" s="880">
        <v>1.0275257517479137</v>
      </c>
      <c r="F1085" s="880">
        <v>0.99841642948692955</v>
      </c>
      <c r="G1085" s="880">
        <v>0.97052408701807724</v>
      </c>
      <c r="H1085" s="880">
        <v>1.027458754125796</v>
      </c>
      <c r="I1085" s="880">
        <v>0.98127270543466627</v>
      </c>
      <c r="K1085">
        <v>1.0869650492431513</v>
      </c>
      <c r="L1085">
        <v>0</v>
      </c>
      <c r="M1085">
        <v>6.9473254656093148E-4</v>
      </c>
      <c r="N1085">
        <v>7.5445430863004287E-2</v>
      </c>
      <c r="O1085">
        <v>9.1253750643347353E-3</v>
      </c>
      <c r="P1085">
        <v>1.293391521772996E-2</v>
      </c>
      <c r="Q1085">
        <v>3.1510990460077984E-3</v>
      </c>
      <c r="R1085">
        <v>6.8331662206409978E-4</v>
      </c>
      <c r="S1085">
        <v>8.8071874510844084E-2</v>
      </c>
      <c r="T1085">
        <v>0.81362734990288976</v>
      </c>
      <c r="U1085">
        <v>1.7474390801280059E-2</v>
      </c>
      <c r="V1085">
        <v>1.0416375684895314E-2</v>
      </c>
      <c r="W1085">
        <v>4.4263651227473513E-2</v>
      </c>
      <c r="X1085">
        <v>1.0607240259194397E-2</v>
      </c>
      <c r="Y1085">
        <v>1.859762589994555E-3</v>
      </c>
    </row>
    <row r="1086" spans="1:25">
      <c r="A1086" s="876"/>
      <c r="B1086" s="1202">
        <v>836</v>
      </c>
      <c r="C1086" s="880">
        <v>1.0004360800303433</v>
      </c>
      <c r="D1086" s="880">
        <v>0.988459759810285</v>
      </c>
      <c r="E1086" s="880">
        <v>0.98116861490314711</v>
      </c>
      <c r="F1086" s="880">
        <v>1.0257072693562705</v>
      </c>
      <c r="G1086" s="880">
        <v>1.0349504122916915</v>
      </c>
      <c r="H1086" s="880">
        <v>1.012323333205088</v>
      </c>
      <c r="I1086" s="880">
        <v>0.96428553062443412</v>
      </c>
      <c r="K1086">
        <v>1.0738476558128986</v>
      </c>
      <c r="L1086">
        <v>0</v>
      </c>
      <c r="M1086">
        <v>7.3099392770680578E-4</v>
      </c>
      <c r="N1086">
        <v>6.8707959939155516E-2</v>
      </c>
      <c r="O1086">
        <v>8.8382775336014862E-3</v>
      </c>
      <c r="P1086">
        <v>1.2473602781812504E-2</v>
      </c>
      <c r="Q1086">
        <v>2.9128138023175919E-3</v>
      </c>
      <c r="R1086">
        <v>7.188046895301054E-4</v>
      </c>
      <c r="S1086">
        <v>8.3292611178708148E-2</v>
      </c>
      <c r="T1086">
        <v>0.81736313458046783</v>
      </c>
      <c r="U1086">
        <v>1.6903257692824816E-2</v>
      </c>
      <c r="V1086">
        <v>1.0413092421070918E-2</v>
      </c>
      <c r="W1086">
        <v>4.1606007158057866E-2</v>
      </c>
      <c r="X1086">
        <v>9.3927385520585372E-3</v>
      </c>
      <c r="Y1086">
        <v>1.9563494109987264E-3</v>
      </c>
    </row>
    <row r="1087" spans="1:25">
      <c r="A1087" s="876"/>
      <c r="B1087" s="1202">
        <v>837</v>
      </c>
      <c r="C1087" s="880">
        <v>0.98312320192370606</v>
      </c>
      <c r="D1087" s="880">
        <v>1.007390285795102</v>
      </c>
      <c r="E1087" s="880">
        <v>0.97640709836220674</v>
      </c>
      <c r="F1087" s="880">
        <v>0.99127526737639238</v>
      </c>
      <c r="G1087" s="880">
        <v>0.95804263687949553</v>
      </c>
      <c r="H1087" s="880">
        <v>0.98054003000648771</v>
      </c>
      <c r="I1087" s="880">
        <v>0.97041811033878911</v>
      </c>
      <c r="K1087">
        <v>1.0713768227631435</v>
      </c>
      <c r="L1087">
        <v>0</v>
      </c>
      <c r="M1087">
        <v>7.2043974500036556E-4</v>
      </c>
      <c r="N1087">
        <v>6.6680363492056693E-2</v>
      </c>
      <c r="O1087">
        <v>8.9033752993930813E-3</v>
      </c>
      <c r="P1087">
        <v>1.2438827303632726E-2</v>
      </c>
      <c r="Q1087">
        <v>2.9242362958383497E-3</v>
      </c>
      <c r="R1087">
        <v>7.0801979363659866E-4</v>
      </c>
      <c r="S1087">
        <v>8.3378428847627473E-2</v>
      </c>
      <c r="T1087">
        <v>0.81775098159215853</v>
      </c>
      <c r="U1087">
        <v>1.7200925410836451E-2</v>
      </c>
      <c r="V1087">
        <v>1.0414803618751047E-2</v>
      </c>
      <c r="W1087">
        <v>4.0511942079050976E-2</v>
      </c>
      <c r="X1087">
        <v>9.2583622955446036E-3</v>
      </c>
      <c r="Y1087">
        <v>1.9269964796165763E-3</v>
      </c>
    </row>
    <row r="1088" spans="1:25">
      <c r="A1088" s="876"/>
      <c r="B1088" s="1202">
        <v>838</v>
      </c>
      <c r="C1088" s="880">
        <v>0.98173143787917128</v>
      </c>
      <c r="D1088" s="880">
        <v>0.99580357821310339</v>
      </c>
      <c r="E1088" s="880">
        <v>1.023089518526858</v>
      </c>
      <c r="F1088" s="880">
        <v>0.97592150375438291</v>
      </c>
      <c r="G1088" s="880">
        <v>0.95837711939082337</v>
      </c>
      <c r="H1088" s="880">
        <v>1.0201613823716023</v>
      </c>
      <c r="I1088" s="880">
        <v>0.97773399870726252</v>
      </c>
      <c r="K1088">
        <v>1.0812172870600043</v>
      </c>
      <c r="L1088">
        <v>0</v>
      </c>
      <c r="M1088">
        <v>6.8453530818904352E-4</v>
      </c>
      <c r="N1088">
        <v>7.3311784006663216E-2</v>
      </c>
      <c r="O1088">
        <v>8.9711620194892344E-3</v>
      </c>
      <c r="P1088">
        <v>1.2865120229219788E-2</v>
      </c>
      <c r="Q1088">
        <v>3.085418594998752E-3</v>
      </c>
      <c r="R1088">
        <v>6.7320228243572663E-4</v>
      </c>
      <c r="S1088">
        <v>8.6025932613989331E-2</v>
      </c>
      <c r="T1088">
        <v>0.81398168778473245</v>
      </c>
      <c r="U1088">
        <v>1.7225310521260605E-2</v>
      </c>
      <c r="V1088">
        <v>1.0414943801047842E-2</v>
      </c>
      <c r="W1088">
        <v>4.3140318884106035E-2</v>
      </c>
      <c r="X1088">
        <v>1.037470693853184E-2</v>
      </c>
      <c r="Y1088">
        <v>1.8322346917172853E-3</v>
      </c>
    </row>
    <row r="1089" spans="1:25">
      <c r="A1089" s="876"/>
      <c r="B1089" s="1202">
        <v>839</v>
      </c>
      <c r="C1089" s="880">
        <v>1.0329503314478246</v>
      </c>
      <c r="D1089" s="880">
        <v>1.0055686033314191</v>
      </c>
      <c r="E1089" s="880">
        <v>0.99439306531779059</v>
      </c>
      <c r="F1089" s="880">
        <v>1.0181978387887947</v>
      </c>
      <c r="G1089" s="880">
        <v>1.0381226804914687</v>
      </c>
      <c r="H1089" s="880">
        <v>0.99529340994251658</v>
      </c>
      <c r="I1089" s="880">
        <v>0.95677039694181554</v>
      </c>
      <c r="K1089">
        <v>1.0619625091365954</v>
      </c>
      <c r="L1089">
        <v>0</v>
      </c>
      <c r="M1089">
        <v>6.7083790662552994E-4</v>
      </c>
      <c r="N1089">
        <v>6.5684007323503574E-2</v>
      </c>
      <c r="O1089">
        <v>8.4820749461951613E-3</v>
      </c>
      <c r="P1089">
        <v>1.2515859591183469E-2</v>
      </c>
      <c r="Q1089">
        <v>2.8367226798567844E-3</v>
      </c>
      <c r="R1089">
        <v>6.5944599863037787E-4</v>
      </c>
      <c r="S1089">
        <v>7.8798029056869112E-2</v>
      </c>
      <c r="T1089">
        <v>0.8162899707405824</v>
      </c>
      <c r="U1089">
        <v>1.6371192642195838E-2</v>
      </c>
      <c r="V1089">
        <v>1.0410033747169664E-2</v>
      </c>
      <c r="W1089">
        <v>3.9413506247423201E-2</v>
      </c>
      <c r="X1089">
        <v>9.3777094476538963E-3</v>
      </c>
      <c r="Y1089">
        <v>1.7947946219568642E-3</v>
      </c>
    </row>
    <row r="1090" spans="1:25">
      <c r="A1090" s="876"/>
      <c r="B1090" s="1202">
        <v>840</v>
      </c>
      <c r="C1090" s="880">
        <v>1.005568963817459</v>
      </c>
      <c r="D1090" s="880">
        <v>0.993876173599195</v>
      </c>
      <c r="E1090" s="880">
        <v>1.0009103006378497</v>
      </c>
      <c r="F1090" s="880">
        <v>1.0162785071423954</v>
      </c>
      <c r="G1090" s="880">
        <v>0.99656903628317994</v>
      </c>
      <c r="H1090" s="880">
        <v>0.99453307615510211</v>
      </c>
      <c r="I1090" s="880">
        <v>1.0058643044415927</v>
      </c>
      <c r="K1090">
        <v>1.0735516200219999</v>
      </c>
      <c r="L1090">
        <v>0</v>
      </c>
      <c r="M1090">
        <v>6.8343493959880481E-4</v>
      </c>
      <c r="N1090">
        <v>6.8288433903136644E-2</v>
      </c>
      <c r="O1090">
        <v>8.7675540589314035E-3</v>
      </c>
      <c r="P1090">
        <v>1.2668437944947751E-2</v>
      </c>
      <c r="Q1090">
        <v>2.9489170531944225E-3</v>
      </c>
      <c r="R1090">
        <v>6.7183021266199803E-4</v>
      </c>
      <c r="S1090">
        <v>8.5566946547902076E-2</v>
      </c>
      <c r="T1090">
        <v>0.81576327957021966</v>
      </c>
      <c r="U1090">
        <v>1.6816975736556387E-2</v>
      </c>
      <c r="V1090">
        <v>1.041259641336004E-2</v>
      </c>
      <c r="W1090">
        <v>4.0793665178220487E-2</v>
      </c>
      <c r="X1090">
        <v>9.7079179723723354E-3</v>
      </c>
      <c r="Y1090">
        <v>1.8285003700958757E-3</v>
      </c>
    </row>
    <row r="1091" spans="1:25">
      <c r="A1091" s="876"/>
      <c r="B1091" s="1202">
        <v>841</v>
      </c>
      <c r="C1091" s="880">
        <v>0.99689306340209483</v>
      </c>
      <c r="D1091" s="880">
        <v>1.0033104286423702</v>
      </c>
      <c r="E1091" s="880">
        <v>0.96840912250325994</v>
      </c>
      <c r="F1091" s="880">
        <v>1.0023263276429712</v>
      </c>
      <c r="G1091" s="880">
        <v>1.0099638222323652</v>
      </c>
      <c r="H1091" s="880">
        <v>0.99735808609328425</v>
      </c>
      <c r="I1091" s="880">
        <v>1.0388193332240045</v>
      </c>
      <c r="K1091">
        <v>1.0769199978718791</v>
      </c>
      <c r="L1091">
        <v>0</v>
      </c>
      <c r="M1091">
        <v>7.3648359167054786E-4</v>
      </c>
      <c r="N1091">
        <v>6.6506721167320967E-2</v>
      </c>
      <c r="O1091">
        <v>8.7994073264190432E-3</v>
      </c>
      <c r="P1091">
        <v>1.2440982725210992E-2</v>
      </c>
      <c r="Q1091">
        <v>2.8657247345423497E-3</v>
      </c>
      <c r="R1091">
        <v>7.240048610885338E-4</v>
      </c>
      <c r="S1091">
        <v>8.8826011976279803E-2</v>
      </c>
      <c r="T1091">
        <v>0.81840417723274828</v>
      </c>
      <c r="U1091">
        <v>1.6963332865655118E-2</v>
      </c>
      <c r="V1091">
        <v>1.0413437774262268E-2</v>
      </c>
      <c r="W1091">
        <v>4.0632519536820337E-2</v>
      </c>
      <c r="X1091">
        <v>9.1096586994569434E-3</v>
      </c>
      <c r="Y1091">
        <v>1.9705025637446749E-3</v>
      </c>
    </row>
    <row r="1092" spans="1:25">
      <c r="A1092" s="876"/>
      <c r="B1092" s="1202">
        <v>842</v>
      </c>
      <c r="C1092" s="880">
        <v>0.9969592367148864</v>
      </c>
      <c r="D1092" s="880">
        <v>0.97124229061197598</v>
      </c>
      <c r="E1092" s="880">
        <v>1.0138432807215303</v>
      </c>
      <c r="F1092" s="880">
        <v>0.99627139771073447</v>
      </c>
      <c r="G1092" s="880">
        <v>1.0222878253876924</v>
      </c>
      <c r="H1092" s="880">
        <v>0.98399198048494074</v>
      </c>
      <c r="I1092" s="880">
        <v>0.97519952471737803</v>
      </c>
      <c r="K1092">
        <v>1.0742095196339612</v>
      </c>
      <c r="L1092">
        <v>0</v>
      </c>
      <c r="M1092">
        <v>6.7188289938597363E-4</v>
      </c>
      <c r="N1092">
        <v>6.9878055605965508E-2</v>
      </c>
      <c r="O1092">
        <v>8.9527631351936678E-3</v>
      </c>
      <c r="P1092">
        <v>1.2760341919879481E-2</v>
      </c>
      <c r="Q1092">
        <v>3.0451666767031321E-3</v>
      </c>
      <c r="R1092">
        <v>6.6037174884588914E-4</v>
      </c>
      <c r="S1092">
        <v>8.4267832532223266E-2</v>
      </c>
      <c r="T1092">
        <v>0.81472237503121547</v>
      </c>
      <c r="U1092">
        <v>1.6962206921995276E-2</v>
      </c>
      <c r="V1092">
        <v>1.0413431301567839E-2</v>
      </c>
      <c r="W1092">
        <v>4.137737178067484E-2</v>
      </c>
      <c r="X1092">
        <v>1.0044171670212144E-2</v>
      </c>
      <c r="Y1092">
        <v>1.7973142088700096E-3</v>
      </c>
    </row>
    <row r="1093" spans="1:25">
      <c r="A1093" s="876"/>
      <c r="B1093" s="1202">
        <v>843</v>
      </c>
      <c r="C1093" s="880">
        <v>1.0144508645927657</v>
      </c>
      <c r="D1093" s="880">
        <v>1.0082685401802975</v>
      </c>
      <c r="E1093" s="880">
        <v>0.99446658538110577</v>
      </c>
      <c r="F1093" s="880">
        <v>0.98541119739130711</v>
      </c>
      <c r="G1093" s="880">
        <v>1.004336974457211</v>
      </c>
      <c r="H1093" s="880">
        <v>1.0157328149227258</v>
      </c>
      <c r="I1093" s="880">
        <v>0.96348096760830848</v>
      </c>
      <c r="K1093">
        <v>1.0692951212785202</v>
      </c>
      <c r="L1093">
        <v>0</v>
      </c>
      <c r="M1093">
        <v>6.9599812131842121E-4</v>
      </c>
      <c r="N1093">
        <v>6.818659295626181E-2</v>
      </c>
      <c r="O1093">
        <v>8.6244208350084728E-3</v>
      </c>
      <c r="P1093">
        <v>1.2555657738898147E-2</v>
      </c>
      <c r="Q1093">
        <v>2.8851183182004576E-3</v>
      </c>
      <c r="R1093">
        <v>6.8441451366185637E-4</v>
      </c>
      <c r="S1093">
        <v>8.1381034018282561E-2</v>
      </c>
      <c r="T1093">
        <v>0.81628402116481324</v>
      </c>
      <c r="U1093">
        <v>1.6669736757275944E-2</v>
      </c>
      <c r="V1093">
        <v>1.0411749982979715E-2</v>
      </c>
      <c r="W1093">
        <v>4.0913109578037024E-2</v>
      </c>
      <c r="X1093">
        <v>9.5325128474151068E-3</v>
      </c>
      <c r="Y1093">
        <v>1.8627506890037803E-3</v>
      </c>
    </row>
    <row r="1094" spans="1:25">
      <c r="A1094" s="876"/>
      <c r="B1094" s="1202">
        <v>844</v>
      </c>
      <c r="C1094" s="880">
        <v>1.0039246780558786</v>
      </c>
      <c r="D1094" s="880">
        <v>0.99744316006384981</v>
      </c>
      <c r="E1094" s="880">
        <v>0.99055919412032256</v>
      </c>
      <c r="F1094" s="880">
        <v>1.0222824302147093</v>
      </c>
      <c r="G1094" s="880">
        <v>1.0131680693025664</v>
      </c>
      <c r="H1094" s="880">
        <v>1.01908645617242</v>
      </c>
      <c r="I1094" s="880">
        <v>0.97681600561144433</v>
      </c>
      <c r="K1094">
        <v>1.0744291117100788</v>
      </c>
      <c r="L1094">
        <v>0</v>
      </c>
      <c r="M1094">
        <v>7.1553753748887755E-4</v>
      </c>
      <c r="N1094">
        <v>6.9258164069561007E-2</v>
      </c>
      <c r="O1094">
        <v>8.7651457098799675E-3</v>
      </c>
      <c r="P1094">
        <v>1.256015409040943E-2</v>
      </c>
      <c r="Q1094">
        <v>2.9183022252178429E-3</v>
      </c>
      <c r="R1094">
        <v>7.0367731507605573E-4</v>
      </c>
      <c r="S1094">
        <v>8.3938861976200832E-2</v>
      </c>
      <c r="T1094">
        <v>0.81660047907413413</v>
      </c>
      <c r="U1094">
        <v>1.684451954971378E-2</v>
      </c>
      <c r="V1094">
        <v>1.0412754754041029E-2</v>
      </c>
      <c r="W1094">
        <v>4.166790780686401E-2</v>
      </c>
      <c r="X1094">
        <v>9.5595049919971337E-3</v>
      </c>
      <c r="Y1094">
        <v>1.9151776844724513E-3</v>
      </c>
    </row>
    <row r="1095" spans="1:25">
      <c r="A1095" s="876"/>
      <c r="B1095" s="1202">
        <v>845</v>
      </c>
      <c r="C1095" s="880">
        <v>1.0205764538122981</v>
      </c>
      <c r="D1095" s="880">
        <v>1.0053992018477946</v>
      </c>
      <c r="E1095" s="880">
        <v>1.0127297105833204</v>
      </c>
      <c r="F1095" s="880">
        <v>0.96895278166875631</v>
      </c>
      <c r="G1095" s="880">
        <v>0.98707566609522313</v>
      </c>
      <c r="H1095" s="880">
        <v>0.99287816602626044</v>
      </c>
      <c r="I1095" s="880">
        <v>1.0188819468817099</v>
      </c>
      <c r="K1095">
        <v>1.070047485305764</v>
      </c>
      <c r="L1095">
        <v>0</v>
      </c>
      <c r="M1095">
        <v>6.5171160958224852E-4</v>
      </c>
      <c r="N1095">
        <v>6.7553547527353416E-2</v>
      </c>
      <c r="O1095">
        <v>8.5856859518355175E-3</v>
      </c>
      <c r="P1095">
        <v>1.2753698976971525E-2</v>
      </c>
      <c r="Q1095">
        <v>2.9246464047882302E-3</v>
      </c>
      <c r="R1095">
        <v>6.4061771232431781E-4</v>
      </c>
      <c r="S1095">
        <v>8.4851990934713711E-2</v>
      </c>
      <c r="T1095">
        <v>0.81481177620763068</v>
      </c>
      <c r="U1095">
        <v>1.6569683537949388E-2</v>
      </c>
      <c r="V1095">
        <v>1.0411174808627778E-2</v>
      </c>
      <c r="W1095">
        <v>4.0031154085504277E-2</v>
      </c>
      <c r="X1095">
        <v>9.8216705342710937E-3</v>
      </c>
      <c r="Y1095">
        <v>1.7435502333746811E-3</v>
      </c>
    </row>
    <row r="1096" spans="1:25">
      <c r="A1096" s="876"/>
      <c r="B1096" s="1202">
        <v>846</v>
      </c>
      <c r="C1096" s="880">
        <v>1.0157867522065362</v>
      </c>
      <c r="D1096" s="880">
        <v>0.9801980413113982</v>
      </c>
      <c r="E1096" s="880">
        <v>1.0203578717158117</v>
      </c>
      <c r="F1096" s="880">
        <v>1.0227219174055655</v>
      </c>
      <c r="G1096" s="880">
        <v>0.99659261076384265</v>
      </c>
      <c r="H1096" s="880">
        <v>1.024515331764867</v>
      </c>
      <c r="I1096" s="880">
        <v>0.95495970384142348</v>
      </c>
      <c r="K1096">
        <v>1.0734871195330069</v>
      </c>
      <c r="L1096">
        <v>0</v>
      </c>
      <c r="M1096">
        <v>6.7390067180566932E-4</v>
      </c>
      <c r="N1096">
        <v>7.1569580571617303E-2</v>
      </c>
      <c r="O1096">
        <v>8.7438201822502663E-3</v>
      </c>
      <c r="P1096">
        <v>1.2778545207804323E-2</v>
      </c>
      <c r="Q1096">
        <v>2.995527312208987E-3</v>
      </c>
      <c r="R1096">
        <v>6.6280407081451822E-4</v>
      </c>
      <c r="S1096">
        <v>8.1995812042823482E-2</v>
      </c>
      <c r="T1096">
        <v>0.81420020817541128</v>
      </c>
      <c r="U1096">
        <v>1.6647813952306769E-2</v>
      </c>
      <c r="V1096">
        <v>1.041162395569916E-2</v>
      </c>
      <c r="W1096">
        <v>4.2192726814211559E-2</v>
      </c>
      <c r="X1096">
        <v>1.0158623732211762E-2</v>
      </c>
      <c r="Y1096">
        <v>1.803934187453896E-3</v>
      </c>
    </row>
    <row r="1097" spans="1:25">
      <c r="A1097" s="876"/>
      <c r="B1097" s="1202">
        <v>847</v>
      </c>
      <c r="C1097" s="880">
        <v>1.0161284475553696</v>
      </c>
      <c r="D1097" s="880">
        <v>1.0285955731592236</v>
      </c>
      <c r="E1097" s="880">
        <v>0.99630255760126296</v>
      </c>
      <c r="F1097" s="880">
        <v>1.0196077620306145</v>
      </c>
      <c r="G1097" s="880">
        <v>0.99109481939244104</v>
      </c>
      <c r="H1097" s="880">
        <v>0.99422143680974751</v>
      </c>
      <c r="I1097" s="880">
        <v>0.98802002541634548</v>
      </c>
      <c r="K1097">
        <v>1.0657254435303907</v>
      </c>
      <c r="L1097">
        <v>0</v>
      </c>
      <c r="M1097">
        <v>6.7036669485170302E-4</v>
      </c>
      <c r="N1097">
        <v>6.6025980307880233E-2</v>
      </c>
      <c r="O1097">
        <v>8.5191793820451594E-3</v>
      </c>
      <c r="P1097">
        <v>1.2575668964043975E-2</v>
      </c>
      <c r="Q1097">
        <v>2.8594160379423281E-3</v>
      </c>
      <c r="R1097">
        <v>6.5895169109136671E-4</v>
      </c>
      <c r="S1097">
        <v>8.1756322788008484E-2</v>
      </c>
      <c r="T1097">
        <v>0.81613550549615399</v>
      </c>
      <c r="U1097">
        <v>1.6642215761832516E-2</v>
      </c>
      <c r="V1097">
        <v>1.0411591773470555E-2</v>
      </c>
      <c r="W1097">
        <v>3.9566807739158529E-2</v>
      </c>
      <c r="X1097">
        <v>9.450721003831087E-3</v>
      </c>
      <c r="Y1097">
        <v>1.7934492797841114E-3</v>
      </c>
    </row>
    <row r="1098" spans="1:25">
      <c r="A1098" s="876"/>
      <c r="B1098" s="1202">
        <v>848</v>
      </c>
      <c r="C1098" s="880">
        <v>1.013242753135901</v>
      </c>
      <c r="D1098" s="880">
        <v>1.0046715209312187</v>
      </c>
      <c r="E1098" s="880">
        <v>0.9626931309028165</v>
      </c>
      <c r="F1098" s="880">
        <v>1.0013426938811463</v>
      </c>
      <c r="G1098" s="880">
        <v>0.96951711243697403</v>
      </c>
      <c r="H1098" s="880">
        <v>0.97720664879944774</v>
      </c>
      <c r="I1098" s="880">
        <v>1.0258287537444295</v>
      </c>
      <c r="K1098">
        <v>1.068774312273904</v>
      </c>
      <c r="L1098">
        <v>0</v>
      </c>
      <c r="M1098">
        <v>7.1799207621493452E-4</v>
      </c>
      <c r="N1098">
        <v>6.3668425958133393E-2</v>
      </c>
      <c r="O1098">
        <v>8.6511658819976231E-3</v>
      </c>
      <c r="P1098">
        <v>1.2344914422471882E-2</v>
      </c>
      <c r="Q1098">
        <v>2.8012769753015276E-3</v>
      </c>
      <c r="R1098">
        <v>7.0557455697479012E-4</v>
      </c>
      <c r="S1098">
        <v>8.5513987926186363E-2</v>
      </c>
      <c r="T1098">
        <v>0.81887232549119715</v>
      </c>
      <c r="U1098">
        <v>1.6689612448364831E-2</v>
      </c>
      <c r="V1098">
        <v>1.0411864242049229E-2</v>
      </c>
      <c r="W1098">
        <v>3.9054623738047044E-2</v>
      </c>
      <c r="X1098">
        <v>8.8581913578986461E-3</v>
      </c>
      <c r="Y1098">
        <v>1.9203413514951831E-3</v>
      </c>
    </row>
    <row r="1099" spans="1:25">
      <c r="A1099" s="876"/>
      <c r="B1099" s="1202">
        <v>849</v>
      </c>
      <c r="C1099" s="880">
        <v>0.9592291824122241</v>
      </c>
      <c r="D1099" s="880">
        <v>1.0357843244916296</v>
      </c>
      <c r="E1099" s="880">
        <v>0.98171608983656999</v>
      </c>
      <c r="F1099" s="880">
        <v>1.0200525330941903</v>
      </c>
      <c r="G1099" s="880">
        <v>0.98315062208192439</v>
      </c>
      <c r="H1099" s="880">
        <v>0.99477282054425642</v>
      </c>
      <c r="I1099" s="880">
        <v>1.0250746034741911</v>
      </c>
      <c r="K1099">
        <v>1.0811802931028174</v>
      </c>
      <c r="L1099">
        <v>0</v>
      </c>
      <c r="M1099">
        <v>7.2994970210305075E-4</v>
      </c>
      <c r="N1099">
        <v>6.8702310665774036E-2</v>
      </c>
      <c r="O1099">
        <v>8.9911631590299541E-3</v>
      </c>
      <c r="P1099">
        <v>1.2572454903161922E-2</v>
      </c>
      <c r="Q1099">
        <v>2.9751696261843641E-3</v>
      </c>
      <c r="R1099">
        <v>7.1752074072876048E-4</v>
      </c>
      <c r="S1099">
        <v>8.9564647578407625E-2</v>
      </c>
      <c r="T1099">
        <v>0.81731858944252211</v>
      </c>
      <c r="U1099">
        <v>1.7629393659006821E-2</v>
      </c>
      <c r="V1099">
        <v>1.0417266747360304E-2</v>
      </c>
      <c r="W1099">
        <v>4.1586800933827328E-2</v>
      </c>
      <c r="X1099">
        <v>9.4820704233021559E-3</v>
      </c>
      <c r="Y1099">
        <v>1.9528549256150735E-3</v>
      </c>
    </row>
    <row r="1100" spans="1:25">
      <c r="A1100" s="876"/>
      <c r="B1100" s="1202">
        <v>850</v>
      </c>
      <c r="C1100" s="880">
        <v>0.99461041793756577</v>
      </c>
      <c r="D1100" s="880">
        <v>1.0092801514384402</v>
      </c>
      <c r="E1100" s="880">
        <v>0.98180777402324604</v>
      </c>
      <c r="F1100" s="880">
        <v>0.98515249301337315</v>
      </c>
      <c r="G1100" s="880">
        <v>1.0332754035654423</v>
      </c>
      <c r="H1100" s="880">
        <v>1.0275649754143736</v>
      </c>
      <c r="I1100" s="880">
        <v>0.98095631818166751</v>
      </c>
      <c r="K1100">
        <v>1.0766628644756582</v>
      </c>
      <c r="L1100">
        <v>0</v>
      </c>
      <c r="M1100">
        <v>7.3712413584580685E-4</v>
      </c>
      <c r="N1100">
        <v>6.9437935743826007E-2</v>
      </c>
      <c r="O1100">
        <v>8.7917615306396853E-3</v>
      </c>
      <c r="P1100">
        <v>1.2501710266835732E-2</v>
      </c>
      <c r="Q1100">
        <v>2.9038848511406339E-3</v>
      </c>
      <c r="R1100">
        <v>7.2499643565383614E-4</v>
      </c>
      <c r="S1100">
        <v>8.488294769307507E-2</v>
      </c>
      <c r="T1100">
        <v>0.81731113057716143</v>
      </c>
      <c r="U1100">
        <v>1.700226396282719E-2</v>
      </c>
      <c r="V1100">
        <v>1.0413661576841905E-2</v>
      </c>
      <c r="W1100">
        <v>4.2029417991042463E-2</v>
      </c>
      <c r="X1100">
        <v>9.4270766796208782E-3</v>
      </c>
      <c r="Y1100">
        <v>1.9732013028389605E-3</v>
      </c>
    </row>
    <row r="1101" spans="1:25">
      <c r="A1101" s="876"/>
      <c r="B1101" s="1202">
        <v>851</v>
      </c>
      <c r="C1101" s="880">
        <v>1.0062873729908506</v>
      </c>
      <c r="D1101" s="880">
        <v>0.99736722455006088</v>
      </c>
      <c r="E1101" s="880">
        <v>1.0193646969426509</v>
      </c>
      <c r="F1101" s="880">
        <v>1.0163501136977264</v>
      </c>
      <c r="G1101" s="880">
        <v>1.016413861969061</v>
      </c>
      <c r="H1101" s="880">
        <v>1.0008358172145095</v>
      </c>
      <c r="I1101" s="880">
        <v>0.99866110120239793</v>
      </c>
      <c r="K1101">
        <v>1.0738784447807954</v>
      </c>
      <c r="L1101">
        <v>0</v>
      </c>
      <c r="M1101">
        <v>6.598049890846415E-4</v>
      </c>
      <c r="N1101">
        <v>6.9827520959382355E-2</v>
      </c>
      <c r="O1101">
        <v>8.7449208566823533E-3</v>
      </c>
      <c r="P1101">
        <v>1.281369107903297E-2</v>
      </c>
      <c r="Q1101">
        <v>2.9968508896486626E-3</v>
      </c>
      <c r="R1101">
        <v>6.4866918026172335E-4</v>
      </c>
      <c r="S1101">
        <v>8.4969293076971125E-2</v>
      </c>
      <c r="T1101">
        <v>0.81427972109928581</v>
      </c>
      <c r="U1101">
        <v>1.6804969753015226E-2</v>
      </c>
      <c r="V1101">
        <v>1.0412527394753275E-2</v>
      </c>
      <c r="W1101">
        <v>4.119332286487546E-2</v>
      </c>
      <c r="X1101">
        <v>1.0081298941035535E-2</v>
      </c>
      <c r="Y1101">
        <v>1.7654636749346066E-3</v>
      </c>
    </row>
    <row r="1102" spans="1:25">
      <c r="A1102" s="876"/>
      <c r="B1102" s="1202">
        <v>852</v>
      </c>
      <c r="C1102" s="880">
        <v>0.97168098591829311</v>
      </c>
      <c r="D1102" s="880">
        <v>0.9896901875357651</v>
      </c>
      <c r="E1102" s="880">
        <v>0.96330803691687661</v>
      </c>
      <c r="F1102" s="880">
        <v>0.9720781340368615</v>
      </c>
      <c r="G1102" s="880">
        <v>0.97444876051268903</v>
      </c>
      <c r="H1102" s="880">
        <v>1.0007789278837564</v>
      </c>
      <c r="I1102" s="880">
        <v>1.0168833142460316</v>
      </c>
      <c r="K1102">
        <v>1.0829572241017571</v>
      </c>
      <c r="L1102">
        <v>0</v>
      </c>
      <c r="M1102">
        <v>7.7192353628296225E-4</v>
      </c>
      <c r="N1102">
        <v>6.8611999714826954E-2</v>
      </c>
      <c r="O1102">
        <v>9.093788838891205E-3</v>
      </c>
      <c r="P1102">
        <v>1.2418453769540228E-2</v>
      </c>
      <c r="Q1102">
        <v>2.9431496733456353E-3</v>
      </c>
      <c r="R1102">
        <v>7.5890212572669099E-4</v>
      </c>
      <c r="S1102">
        <v>8.9944754308291935E-2</v>
      </c>
      <c r="T1102">
        <v>0.81882191090876943</v>
      </c>
      <c r="U1102">
        <v>1.7403478210465208E-2</v>
      </c>
      <c r="V1102">
        <v>1.041596803081141E-2</v>
      </c>
      <c r="W1102">
        <v>4.2068874032245192E-2</v>
      </c>
      <c r="X1102">
        <v>9.182386610916209E-3</v>
      </c>
      <c r="Y1102">
        <v>2.0654814142095418E-3</v>
      </c>
    </row>
    <row r="1103" spans="1:25">
      <c r="A1103" s="876"/>
      <c r="B1103" s="1202">
        <v>853</v>
      </c>
      <c r="C1103" s="880">
        <v>0.99001208777816652</v>
      </c>
      <c r="D1103" s="880">
        <v>1.000140401216685</v>
      </c>
      <c r="E1103" s="880">
        <v>1.0187141280918817</v>
      </c>
      <c r="F1103" s="880">
        <v>1.001446637439102</v>
      </c>
      <c r="G1103" s="880">
        <v>0.97319906611446549</v>
      </c>
      <c r="H1103" s="880">
        <v>0.97193380287285414</v>
      </c>
      <c r="I1103" s="880">
        <v>0.97018043359273431</v>
      </c>
      <c r="K1103">
        <v>1.0703977207236854</v>
      </c>
      <c r="L1103">
        <v>0</v>
      </c>
      <c r="M1103">
        <v>6.5121755095771581E-4</v>
      </c>
      <c r="N1103">
        <v>6.8744194374957282E-2</v>
      </c>
      <c r="O1103">
        <v>8.8755296052381825E-3</v>
      </c>
      <c r="P1103">
        <v>1.278176549166455E-2</v>
      </c>
      <c r="Q1103">
        <v>3.0402732067208111E-3</v>
      </c>
      <c r="R1103">
        <v>6.3989753564382156E-4</v>
      </c>
      <c r="S1103">
        <v>8.2774503734430516E-2</v>
      </c>
      <c r="T1103">
        <v>0.81433182344416177</v>
      </c>
      <c r="U1103">
        <v>1.7081234739167717E-2</v>
      </c>
      <c r="V1103">
        <v>1.0414115554888895E-2</v>
      </c>
      <c r="W1103">
        <v>4.057205510877275E-2</v>
      </c>
      <c r="X1103">
        <v>1.005195532913998E-2</v>
      </c>
      <c r="Y1103">
        <v>1.7415901498565494E-3</v>
      </c>
    </row>
    <row r="1104" spans="1:25">
      <c r="A1104" s="876"/>
      <c r="B1104" s="1202">
        <v>854</v>
      </c>
      <c r="C1104" s="880">
        <v>1.0036323181209315</v>
      </c>
      <c r="D1104" s="880">
        <v>0.9888371354108082</v>
      </c>
      <c r="E1104" s="880">
        <v>1.0066371866586601</v>
      </c>
      <c r="F1104" s="880">
        <v>1.0006501144150095</v>
      </c>
      <c r="G1104" s="880">
        <v>1.0170153650455238</v>
      </c>
      <c r="H1104" s="880">
        <v>0.99824515225221744</v>
      </c>
      <c r="I1104" s="880">
        <v>0.96280569430924778</v>
      </c>
      <c r="K1104">
        <v>1.0715538340535358</v>
      </c>
      <c r="L1104">
        <v>0</v>
      </c>
      <c r="M1104">
        <v>6.8090563066311427E-4</v>
      </c>
      <c r="N1104">
        <v>6.92633109900406E-2</v>
      </c>
      <c r="O1104">
        <v>8.8083354352317348E-3</v>
      </c>
      <c r="P1104">
        <v>1.2673217504654395E-2</v>
      </c>
      <c r="Q1104">
        <v>2.9785663169183169E-3</v>
      </c>
      <c r="R1104">
        <v>6.693911596823127E-4</v>
      </c>
      <c r="S1104">
        <v>8.2398375067668145E-2</v>
      </c>
      <c r="T1104">
        <v>0.81530165196324256</v>
      </c>
      <c r="U1104">
        <v>1.6849426389151788E-2</v>
      </c>
      <c r="V1104">
        <v>1.0412782961910953E-2</v>
      </c>
      <c r="W1104">
        <v>4.1214637422753345E-2</v>
      </c>
      <c r="X1104">
        <v>9.843182401024414E-3</v>
      </c>
      <c r="Y1104">
        <v>1.8218620719187711E-3</v>
      </c>
    </row>
    <row r="1105" spans="1:25">
      <c r="A1105" s="876"/>
      <c r="B1105" s="1202">
        <v>855</v>
      </c>
      <c r="C1105" s="880">
        <v>1.004721031190879</v>
      </c>
      <c r="D1105" s="880">
        <v>1.0194192456797642</v>
      </c>
      <c r="E1105" s="880">
        <v>0.98347226599462612</v>
      </c>
      <c r="F1105" s="880">
        <v>0.97668455685491817</v>
      </c>
      <c r="G1105" s="880">
        <v>1.0278846530642309</v>
      </c>
      <c r="H1105" s="880">
        <v>1.0375244495482687</v>
      </c>
      <c r="I1105" s="880">
        <v>1.0241851190786728</v>
      </c>
      <c r="K1105">
        <v>1.0784938029760462</v>
      </c>
      <c r="L1105">
        <v>0</v>
      </c>
      <c r="M1105">
        <v>7.3031902082404876E-4</v>
      </c>
      <c r="N1105">
        <v>6.9164798903201277E-2</v>
      </c>
      <c r="O1105">
        <v>8.657083021590687E-3</v>
      </c>
      <c r="P1105">
        <v>1.255073973364541E-2</v>
      </c>
      <c r="Q1105">
        <v>2.8663615908422831E-3</v>
      </c>
      <c r="R1105">
        <v>7.1840994166287792E-4</v>
      </c>
      <c r="S1105">
        <v>8.7655675578838688E-2</v>
      </c>
      <c r="T1105">
        <v>0.81717576715468132</v>
      </c>
      <c r="U1105">
        <v>1.6831168394980753E-2</v>
      </c>
      <c r="V1105">
        <v>1.0412678002470007E-2</v>
      </c>
      <c r="W1105">
        <v>4.1815858970261986E-2</v>
      </c>
      <c r="X1105">
        <v>9.420305667260806E-3</v>
      </c>
      <c r="Y1105">
        <v>1.9552750374327325E-3</v>
      </c>
    </row>
    <row r="1106" spans="1:25">
      <c r="A1106" s="876"/>
      <c r="B1106" s="1202">
        <v>856</v>
      </c>
      <c r="C1106" s="880">
        <v>1.0026532776383863</v>
      </c>
      <c r="D1106" s="880">
        <v>0.99728821767744003</v>
      </c>
      <c r="E1106" s="880">
        <v>1.0031926220281431</v>
      </c>
      <c r="F1106" s="880">
        <v>0.98257094387512067</v>
      </c>
      <c r="G1106" s="880">
        <v>0.9650599587222356</v>
      </c>
      <c r="H1106" s="880">
        <v>0.98174321237515971</v>
      </c>
      <c r="I1106" s="880">
        <v>0.99310219284273826</v>
      </c>
      <c r="K1106">
        <v>1.0708494421827808</v>
      </c>
      <c r="L1106">
        <v>0</v>
      </c>
      <c r="M1106">
        <v>6.7213529549190734E-4</v>
      </c>
      <c r="N1106">
        <v>6.7622353685674791E-2</v>
      </c>
      <c r="O1106">
        <v>8.7769875029841578E-3</v>
      </c>
      <c r="P1106">
        <v>1.2668492450205843E-2</v>
      </c>
      <c r="Q1106">
        <v>2.9596214795410917E-3</v>
      </c>
      <c r="R1106">
        <v>6.6057083768519419E-4</v>
      </c>
      <c r="S1106">
        <v>8.4128809828970016E-2</v>
      </c>
      <c r="T1106">
        <v>0.81557917464196439</v>
      </c>
      <c r="U1106">
        <v>1.6865879006333143E-2</v>
      </c>
      <c r="V1106">
        <v>1.041287754280988E-2</v>
      </c>
      <c r="W1106">
        <v>4.0332821848874489E-2</v>
      </c>
      <c r="X1106">
        <v>9.7161325901674624E-3</v>
      </c>
      <c r="Y1106">
        <v>1.7978560630609794E-3</v>
      </c>
    </row>
    <row r="1107" spans="1:25">
      <c r="A1107" s="876"/>
      <c r="B1107" s="1202">
        <v>857</v>
      </c>
      <c r="C1107" s="880">
        <v>0.98163627839365586</v>
      </c>
      <c r="D1107" s="880">
        <v>0.97008958928374556</v>
      </c>
      <c r="E1107" s="880">
        <v>0.98551417169492517</v>
      </c>
      <c r="F1107" s="880">
        <v>1.0270066494994277</v>
      </c>
      <c r="G1107" s="880">
        <v>0.98482200171013579</v>
      </c>
      <c r="H1107" s="880">
        <v>1.028507556522239</v>
      </c>
      <c r="I1107" s="880">
        <v>1.0089550117054278</v>
      </c>
      <c r="K1107">
        <v>1.087133824718447</v>
      </c>
      <c r="L1107">
        <v>0</v>
      </c>
      <c r="M1107">
        <v>7.5756457369771267E-4</v>
      </c>
      <c r="N1107">
        <v>7.219673912502525E-2</v>
      </c>
      <c r="O1107">
        <v>9.0982885610296858E-3</v>
      </c>
      <c r="P1107">
        <v>1.2608469825770401E-2</v>
      </c>
      <c r="Q1107">
        <v>3.0074982095831312E-3</v>
      </c>
      <c r="R1107">
        <v>7.4514832182309015E-4</v>
      </c>
      <c r="S1107">
        <v>9.0260734589000399E-2</v>
      </c>
      <c r="T1107">
        <v>0.81700983900839919</v>
      </c>
      <c r="U1107">
        <v>1.7226980336978608E-2</v>
      </c>
      <c r="V1107">
        <v>1.0414953400290913E-2</v>
      </c>
      <c r="W1107">
        <v>4.3587312213153387E-2</v>
      </c>
      <c r="X1107">
        <v>9.7073776071660844E-3</v>
      </c>
      <c r="Y1107">
        <v>2.0280480939241794E-3</v>
      </c>
    </row>
    <row r="1108" spans="1:25">
      <c r="A1108" s="876"/>
      <c r="B1108" s="1202">
        <v>858</v>
      </c>
      <c r="C1108" s="880">
        <v>1.0052994308474767</v>
      </c>
      <c r="D1108" s="880">
        <v>1.0272058440914316</v>
      </c>
      <c r="E1108" s="880">
        <v>0.96332973966963409</v>
      </c>
      <c r="F1108" s="880">
        <v>0.99512842912945898</v>
      </c>
      <c r="G1108" s="880">
        <v>1.0290497380161698</v>
      </c>
      <c r="H1108" s="880">
        <v>1.0019093537155008</v>
      </c>
      <c r="I1108" s="880">
        <v>0.98694920926010143</v>
      </c>
      <c r="K1108">
        <v>1.0684998044892937</v>
      </c>
      <c r="L1108">
        <v>0</v>
      </c>
      <c r="M1108">
        <v>7.3229071487137946E-4</v>
      </c>
      <c r="N1108">
        <v>6.5091884089390373E-2</v>
      </c>
      <c r="O1108">
        <v>8.6171417226223821E-3</v>
      </c>
      <c r="P1108">
        <v>1.2316943714175778E-2</v>
      </c>
      <c r="Q1108">
        <v>2.7966812187706766E-3</v>
      </c>
      <c r="R1108">
        <v>7.1991816405868618E-4</v>
      </c>
      <c r="S1108">
        <v>8.2868898207209538E-2</v>
      </c>
      <c r="T1108">
        <v>0.81882013178791768</v>
      </c>
      <c r="U1108">
        <v>1.6821484571712685E-2</v>
      </c>
      <c r="V1108">
        <v>1.0412622333229064E-2</v>
      </c>
      <c r="W1108">
        <v>3.9909936446387219E-2</v>
      </c>
      <c r="X1108">
        <v>8.897073027081568E-3</v>
      </c>
      <c r="Y1108">
        <v>1.9593799216087431E-3</v>
      </c>
    </row>
    <row r="1109" spans="1:25">
      <c r="A1109" s="876"/>
      <c r="B1109" s="1202">
        <v>859</v>
      </c>
      <c r="C1109" s="880">
        <v>1.0033725579361976</v>
      </c>
      <c r="D1109" s="880">
        <v>0.97673403846368478</v>
      </c>
      <c r="E1109" s="880">
        <v>0.97709303417065774</v>
      </c>
      <c r="F1109" s="880">
        <v>1.0140011864421856</v>
      </c>
      <c r="G1109" s="880">
        <v>0.98968845542426853</v>
      </c>
      <c r="H1109" s="880">
        <v>1.00813853066461</v>
      </c>
      <c r="I1109" s="880">
        <v>1.0205881923371096</v>
      </c>
      <c r="K1109">
        <v>1.0787032500723117</v>
      </c>
      <c r="L1109">
        <v>0</v>
      </c>
      <c r="M1109">
        <v>7.3674801405853706E-4</v>
      </c>
      <c r="N1109">
        <v>6.8371170401211198E-2</v>
      </c>
      <c r="O1109">
        <v>8.8687650994259005E-3</v>
      </c>
      <c r="P1109">
        <v>1.250550972343383E-2</v>
      </c>
      <c r="Q1109">
        <v>2.9081600065171513E-3</v>
      </c>
      <c r="R1109">
        <v>7.2442271866936031E-4</v>
      </c>
      <c r="S1109">
        <v>8.8269066379996319E-2</v>
      </c>
      <c r="T1109">
        <v>0.81769506175263429</v>
      </c>
      <c r="U1109">
        <v>1.6853788487832741E-2</v>
      </c>
      <c r="V1109">
        <v>1.0412808038238299E-2</v>
      </c>
      <c r="W1109">
        <v>4.1519387469300152E-2</v>
      </c>
      <c r="X1109">
        <v>9.3402181747778909E-3</v>
      </c>
      <c r="Y1109">
        <v>1.9716398343329698E-3</v>
      </c>
    </row>
    <row r="1110" spans="1:25">
      <c r="A1110" s="876"/>
      <c r="B1110" s="1202">
        <v>860</v>
      </c>
      <c r="C1110" s="880">
        <v>1.0078280958320436</v>
      </c>
      <c r="D1110" s="880">
        <v>1.0075668951284953</v>
      </c>
      <c r="E1110" s="880">
        <v>1.0366987401993066</v>
      </c>
      <c r="F1110" s="880">
        <v>0.97057126253505011</v>
      </c>
      <c r="G1110" s="880">
        <v>1.007103448284387</v>
      </c>
      <c r="H1110" s="880">
        <v>1.0201035733869628</v>
      </c>
      <c r="I1110" s="880">
        <v>0.95581143475699915</v>
      </c>
      <c r="K1110">
        <v>1.0721703955426143</v>
      </c>
      <c r="L1110">
        <v>0</v>
      </c>
      <c r="M1110">
        <v>6.4381516910822227E-4</v>
      </c>
      <c r="N1110">
        <v>7.1924977904753662E-2</v>
      </c>
      <c r="O1110">
        <v>8.6843155480241518E-3</v>
      </c>
      <c r="P1110">
        <v>1.2907298285300602E-2</v>
      </c>
      <c r="Q1110">
        <v>3.0298811983760104E-3</v>
      </c>
      <c r="R1110">
        <v>6.3314650436735551E-4</v>
      </c>
      <c r="S1110">
        <v>8.1439531607616314E-2</v>
      </c>
      <c r="T1110">
        <v>0.8128968011017369</v>
      </c>
      <c r="U1110">
        <v>1.6779279061466604E-2</v>
      </c>
      <c r="V1110">
        <v>1.0412379707083015E-2</v>
      </c>
      <c r="W1110">
        <v>4.1939990818380846E-2</v>
      </c>
      <c r="X1110">
        <v>1.044339290641841E-2</v>
      </c>
      <c r="Y1110">
        <v>1.7232160681988709E-3</v>
      </c>
    </row>
    <row r="1111" spans="1:25">
      <c r="A1111" s="876"/>
      <c r="B1111" s="1202">
        <v>861</v>
      </c>
      <c r="C1111" s="880">
        <v>0.98701689969055106</v>
      </c>
      <c r="D1111" s="880">
        <v>0.99059009942704557</v>
      </c>
      <c r="E1111" s="880">
        <v>0.99234193388496428</v>
      </c>
      <c r="F1111" s="880">
        <v>1.0019877888032465</v>
      </c>
      <c r="G1111" s="880">
        <v>0.98909701116773385</v>
      </c>
      <c r="H1111" s="880">
        <v>1.0197919718535284</v>
      </c>
      <c r="I1111" s="880">
        <v>0.99225895871538583</v>
      </c>
      <c r="K1111">
        <v>1.080739666114642</v>
      </c>
      <c r="L1111">
        <v>0</v>
      </c>
      <c r="M1111">
        <v>7.2824084048848329E-4</v>
      </c>
      <c r="N1111">
        <v>7.0881453408241826E-2</v>
      </c>
      <c r="O1111">
        <v>8.9481507393551606E-3</v>
      </c>
      <c r="P1111">
        <v>1.2621225034083522E-2</v>
      </c>
      <c r="Q1111">
        <v>2.983061036919536E-3</v>
      </c>
      <c r="R1111">
        <v>7.1618452921594811E-4</v>
      </c>
      <c r="S1111">
        <v>8.7050709986092878E-2</v>
      </c>
      <c r="T1111">
        <v>0.81645603150908375</v>
      </c>
      <c r="U1111">
        <v>1.7133069222273895E-2</v>
      </c>
      <c r="V1111">
        <v>1.0414413534958204E-2</v>
      </c>
      <c r="W1111">
        <v>4.2592231604406679E-2</v>
      </c>
      <c r="X1111">
        <v>9.7221581521398596E-3</v>
      </c>
      <c r="Y1111">
        <v>1.9492181983592053E-3</v>
      </c>
    </row>
    <row r="1112" spans="1:25">
      <c r="A1112" s="876"/>
      <c r="B1112" s="1202">
        <v>862</v>
      </c>
      <c r="C1112" s="880">
        <v>0.98951515308661031</v>
      </c>
      <c r="D1112" s="880">
        <v>0.99920285158286548</v>
      </c>
      <c r="E1112" s="880">
        <v>1.0134874620023715</v>
      </c>
      <c r="F1112" s="880">
        <v>1.0401509423915063</v>
      </c>
      <c r="G1112" s="880">
        <v>1.031717479610303</v>
      </c>
      <c r="H1112" s="880">
        <v>0.98937592495420779</v>
      </c>
      <c r="I1112" s="880">
        <v>0.96801313552015023</v>
      </c>
      <c r="K1112">
        <v>1.072975722717683</v>
      </c>
      <c r="L1112">
        <v>0</v>
      </c>
      <c r="M1112">
        <v>6.7093053431979916E-4</v>
      </c>
      <c r="N1112">
        <v>6.970595677979026E-2</v>
      </c>
      <c r="O1112">
        <v>8.8844292853586335E-3</v>
      </c>
      <c r="P1112">
        <v>1.2745537750285134E-2</v>
      </c>
      <c r="Q1112">
        <v>3.0273035638203397E-3</v>
      </c>
      <c r="R1112">
        <v>6.5947424662624466E-4</v>
      </c>
      <c r="S1112">
        <v>8.3279987459652677E-2</v>
      </c>
      <c r="T1112">
        <v>0.81475093676993449</v>
      </c>
      <c r="U1112">
        <v>1.7089812938389869E-2</v>
      </c>
      <c r="V1112">
        <v>1.041416486824645E-2</v>
      </c>
      <c r="W1112">
        <v>4.128542083446151E-2</v>
      </c>
      <c r="X1112">
        <v>1.0008757251746686E-2</v>
      </c>
      <c r="Y1112">
        <v>1.7948715036896637E-3</v>
      </c>
    </row>
    <row r="1113" spans="1:25">
      <c r="A1113" s="876"/>
      <c r="B1113" s="1202">
        <v>863</v>
      </c>
      <c r="C1113" s="880">
        <v>0.96361457569282116</v>
      </c>
      <c r="D1113" s="880">
        <v>1.0079027039647601</v>
      </c>
      <c r="E1113" s="880">
        <v>0.96925128491415391</v>
      </c>
      <c r="F1113" s="880">
        <v>0.99854651047872911</v>
      </c>
      <c r="G1113" s="880">
        <v>0.95804685700841719</v>
      </c>
      <c r="H1113" s="880">
        <v>1.0009826842480163</v>
      </c>
      <c r="I1113" s="880">
        <v>1.0113904833835214</v>
      </c>
      <c r="K1113">
        <v>1.0825754516621802</v>
      </c>
      <c r="L1113">
        <v>0</v>
      </c>
      <c r="M1113">
        <v>7.6148742322248129E-4</v>
      </c>
      <c r="N1113">
        <v>6.894937229411742E-2</v>
      </c>
      <c r="O1113">
        <v>9.0811652368667957E-3</v>
      </c>
      <c r="P1113">
        <v>1.2463622231819797E-2</v>
      </c>
      <c r="Q1113">
        <v>2.9610413214312937E-3</v>
      </c>
      <c r="R1113">
        <v>7.4862745507438917E-4</v>
      </c>
      <c r="S1113">
        <v>8.9399589936589793E-2</v>
      </c>
      <c r="T1113">
        <v>0.81833529599697552</v>
      </c>
      <c r="U1113">
        <v>1.7549162593139427E-2</v>
      </c>
      <c r="V1113">
        <v>1.0416805524306951E-2</v>
      </c>
      <c r="W1113">
        <v>4.210006275361157E-2</v>
      </c>
      <c r="X1113">
        <v>9.2946765937310678E-3</v>
      </c>
      <c r="Y1113">
        <v>2.037517147738247E-3</v>
      </c>
    </row>
    <row r="1114" spans="1:25">
      <c r="A1114" s="876"/>
      <c r="B1114" s="1202">
        <v>864</v>
      </c>
      <c r="C1114" s="880">
        <v>1.0208323294497659</v>
      </c>
      <c r="D1114" s="880">
        <v>0.96680169753173772</v>
      </c>
      <c r="E1114" s="880">
        <v>1.0112151670801173</v>
      </c>
      <c r="F1114" s="880">
        <v>0.96003729075572108</v>
      </c>
      <c r="G1114" s="880">
        <v>1.0073121463303378</v>
      </c>
      <c r="H1114" s="880">
        <v>0.98278804128840469</v>
      </c>
      <c r="I1114" s="880">
        <v>1.0053042534753138</v>
      </c>
      <c r="K1114">
        <v>1.0715781265989019</v>
      </c>
      <c r="L1114">
        <v>0</v>
      </c>
      <c r="M1114">
        <v>6.6062516571233131E-4</v>
      </c>
      <c r="N1114">
        <v>6.814719684651882E-2</v>
      </c>
      <c r="O1114">
        <v>8.764851756771417E-3</v>
      </c>
      <c r="P1114">
        <v>1.274293559369429E-2</v>
      </c>
      <c r="Q1114">
        <v>2.9724085182340865E-3</v>
      </c>
      <c r="R1114">
        <v>6.4929688988779783E-4</v>
      </c>
      <c r="S1114">
        <v>8.49890137551393E-2</v>
      </c>
      <c r="T1114">
        <v>0.81493343665422702</v>
      </c>
      <c r="U1114">
        <v>1.6565530281615694E-2</v>
      </c>
      <c r="V1114">
        <v>1.0411150932869083E-2</v>
      </c>
      <c r="W1114">
        <v>4.0424464070940427E-2</v>
      </c>
      <c r="X1114">
        <v>9.8712943711033434E-3</v>
      </c>
      <c r="Y1114">
        <v>1.767172093612359E-3</v>
      </c>
    </row>
    <row r="1115" spans="1:25">
      <c r="A1115" s="876"/>
      <c r="B1115" s="1202">
        <v>865</v>
      </c>
      <c r="C1115" s="880">
        <v>0.97881351115131676</v>
      </c>
      <c r="D1115" s="880">
        <v>0.9699207649372501</v>
      </c>
      <c r="E1115" s="880">
        <v>0.9850381692440674</v>
      </c>
      <c r="F1115" s="880">
        <v>1.0031104917947604</v>
      </c>
      <c r="G1115" s="880">
        <v>0.97589749291030692</v>
      </c>
      <c r="H1115" s="880">
        <v>0.98773338058362281</v>
      </c>
      <c r="I1115" s="880">
        <v>1.0306834072710209</v>
      </c>
      <c r="K1115">
        <v>1.083369513553905</v>
      </c>
      <c r="L1115">
        <v>0</v>
      </c>
      <c r="M1115">
        <v>7.3042768069182514E-4</v>
      </c>
      <c r="N1115">
        <v>6.945964614406179E-2</v>
      </c>
      <c r="O1115">
        <v>9.1253761851459083E-3</v>
      </c>
      <c r="P1115">
        <v>1.2613997288503053E-2</v>
      </c>
      <c r="Q1115">
        <v>3.0149577302167273E-3</v>
      </c>
      <c r="R1115">
        <v>7.1796216609260283E-4</v>
      </c>
      <c r="S1115">
        <v>9.0918218673506995E-2</v>
      </c>
      <c r="T1115">
        <v>0.81704850701831877</v>
      </c>
      <c r="U1115">
        <v>1.7276660644029593E-2</v>
      </c>
      <c r="V1115">
        <v>1.0415238996682568E-2</v>
      </c>
      <c r="W1115">
        <v>4.1948649918761037E-2</v>
      </c>
      <c r="X1115">
        <v>9.6066701293384248E-3</v>
      </c>
      <c r="Y1115">
        <v>1.9540563399396207E-3</v>
      </c>
    </row>
    <row r="1116" spans="1:25">
      <c r="A1116" s="876"/>
      <c r="B1116" s="1202">
        <v>866</v>
      </c>
      <c r="C1116" s="880">
        <v>1.0163296940300275</v>
      </c>
      <c r="D1116" s="880">
        <v>0.98757488724126508</v>
      </c>
      <c r="E1116" s="880">
        <v>1.0229756879867207</v>
      </c>
      <c r="F1116" s="880">
        <v>0.99242304962561134</v>
      </c>
      <c r="G1116" s="880">
        <v>1.0468271108363543</v>
      </c>
      <c r="H1116" s="880">
        <v>0.9977070366824643</v>
      </c>
      <c r="I1116" s="880">
        <v>0.98331620563987832</v>
      </c>
      <c r="K1116">
        <v>1.0709735773028057</v>
      </c>
      <c r="L1116">
        <v>0</v>
      </c>
      <c r="M1116">
        <v>6.4969757427721137E-4</v>
      </c>
      <c r="N1116">
        <v>6.9530545566441698E-2</v>
      </c>
      <c r="O1116">
        <v>8.7042232707476314E-3</v>
      </c>
      <c r="P1116">
        <v>1.2815880587507314E-2</v>
      </c>
      <c r="Q1116">
        <v>2.9914119137543628E-3</v>
      </c>
      <c r="R1116">
        <v>6.387059584461182E-4</v>
      </c>
      <c r="S1116">
        <v>8.3136553247598027E-2</v>
      </c>
      <c r="T1116">
        <v>0.81399078867358465</v>
      </c>
      <c r="U1116">
        <v>1.6638920387041983E-2</v>
      </c>
      <c r="V1116">
        <v>1.0411572829401855E-2</v>
      </c>
      <c r="W1116">
        <v>4.0918385372836208E-2</v>
      </c>
      <c r="X1116">
        <v>1.0107940000196188E-2</v>
      </c>
      <c r="Y1116">
        <v>1.7383470695277181E-3</v>
      </c>
    </row>
    <row r="1117" spans="1:25">
      <c r="A1117" s="876"/>
      <c r="B1117" s="1202">
        <v>867</v>
      </c>
      <c r="C1117" s="880">
        <v>0.98940077463286968</v>
      </c>
      <c r="D1117" s="880">
        <v>0.9759819470528569</v>
      </c>
      <c r="E1117" s="880">
        <v>1.0198323050025666</v>
      </c>
      <c r="F1117" s="880">
        <v>0.95973111295289815</v>
      </c>
      <c r="G1117" s="880">
        <v>1.0312532565670975</v>
      </c>
      <c r="H1117" s="880">
        <v>1.0061679314619179</v>
      </c>
      <c r="I1117" s="880">
        <v>0.99295778121919875</v>
      </c>
      <c r="K1117">
        <v>1.0807133313494894</v>
      </c>
      <c r="L1117">
        <v>0</v>
      </c>
      <c r="M1117">
        <v>6.8180218277759472E-4</v>
      </c>
      <c r="N1117">
        <v>7.2268938126227492E-2</v>
      </c>
      <c r="O1117">
        <v>8.9977087586828042E-3</v>
      </c>
      <c r="P1117">
        <v>1.2850437711730918E-2</v>
      </c>
      <c r="Q1117">
        <v>3.0798951171956629E-3</v>
      </c>
      <c r="R1117">
        <v>6.7037440802674244E-4</v>
      </c>
      <c r="S1117">
        <v>8.7053987699449026E-2</v>
      </c>
      <c r="T1117">
        <v>0.81424228051410164</v>
      </c>
      <c r="U1117">
        <v>1.7091788585093103E-2</v>
      </c>
      <c r="V1117">
        <v>1.0414176225615241E-2</v>
      </c>
      <c r="W1117">
        <v>4.262013328872688E-2</v>
      </c>
      <c r="X1117">
        <v>1.0280874947633318E-2</v>
      </c>
      <c r="Y1117">
        <v>1.824538149784579E-3</v>
      </c>
    </row>
    <row r="1118" spans="1:25">
      <c r="A1118" s="876"/>
      <c r="B1118" s="1202">
        <v>868</v>
      </c>
      <c r="C1118" s="880">
        <v>0.98433938421934009</v>
      </c>
      <c r="D1118" s="880">
        <v>0.98347138256319389</v>
      </c>
      <c r="E1118" s="880">
        <v>1.0103678071154525</v>
      </c>
      <c r="F1118" s="880">
        <v>1.0356514014985054</v>
      </c>
      <c r="G1118" s="880">
        <v>1.0385484047447395</v>
      </c>
      <c r="H1118" s="880">
        <v>0.96122541773781867</v>
      </c>
      <c r="I1118" s="880">
        <v>1.0050906366496737</v>
      </c>
      <c r="K1118">
        <v>1.0747334565930564</v>
      </c>
      <c r="L1118">
        <v>0</v>
      </c>
      <c r="M1118">
        <v>6.6519209962785056E-4</v>
      </c>
      <c r="N1118">
        <v>6.8409455034557975E-2</v>
      </c>
      <c r="O1118">
        <v>9.0071092713762593E-3</v>
      </c>
      <c r="P1118">
        <v>1.2766235006765407E-2</v>
      </c>
      <c r="Q1118">
        <v>3.0559218233253563E-3</v>
      </c>
      <c r="R1118">
        <v>6.5351482366937956E-4</v>
      </c>
      <c r="S1118">
        <v>8.657793950763E-2</v>
      </c>
      <c r="T1118">
        <v>0.81500153756533311</v>
      </c>
      <c r="U1118">
        <v>1.7179673126016259E-2</v>
      </c>
      <c r="V1118">
        <v>1.0414681446079044E-2</v>
      </c>
      <c r="W1118">
        <v>4.0603392483778533E-2</v>
      </c>
      <c r="X1118">
        <v>9.9505366852278652E-3</v>
      </c>
      <c r="Y1118">
        <v>1.7786519189243268E-3</v>
      </c>
    </row>
    <row r="1119" spans="1:25">
      <c r="A1119" s="876"/>
      <c r="B1119" s="1202">
        <v>869</v>
      </c>
      <c r="C1119" s="880">
        <v>1.0097477030802404</v>
      </c>
      <c r="D1119" s="880">
        <v>1.0100378483119101</v>
      </c>
      <c r="E1119" s="880">
        <v>0.95742885576624603</v>
      </c>
      <c r="F1119" s="880">
        <v>0.99372239910533688</v>
      </c>
      <c r="G1119" s="880">
        <v>0.9610223946423001</v>
      </c>
      <c r="H1119" s="880">
        <v>0.99632159088865069</v>
      </c>
      <c r="I1119" s="880">
        <v>0.99621759966720536</v>
      </c>
      <c r="K1119">
        <v>1.0691498381009346</v>
      </c>
      <c r="L1119">
        <v>0</v>
      </c>
      <c r="M1119">
        <v>7.4060660570762825E-4</v>
      </c>
      <c r="N1119">
        <v>6.4625194810389808E-2</v>
      </c>
      <c r="O1119">
        <v>8.6565011018264488E-3</v>
      </c>
      <c r="P1119">
        <v>1.2278285483431376E-2</v>
      </c>
      <c r="Q1119">
        <v>2.7889859439190878E-3</v>
      </c>
      <c r="R1119">
        <v>7.2803881369413895E-4</v>
      </c>
      <c r="S1119">
        <v>8.3783227203576269E-2</v>
      </c>
      <c r="T1119">
        <v>0.81930445109389305</v>
      </c>
      <c r="U1119">
        <v>1.6747380374688099E-2</v>
      </c>
      <c r="V1119">
        <v>1.0412196331609263E-2</v>
      </c>
      <c r="W1119">
        <v>3.9788635044928862E-2</v>
      </c>
      <c r="X1119">
        <v>8.7960668517395122E-3</v>
      </c>
      <c r="Y1119">
        <v>1.9814816529450129E-3</v>
      </c>
    </row>
    <row r="1120" spans="1:25">
      <c r="A1120" s="876"/>
      <c r="B1120" s="1202">
        <v>870</v>
      </c>
      <c r="C1120" s="880">
        <v>0.99605800464875505</v>
      </c>
      <c r="D1120" s="880">
        <v>1.0392495202413705</v>
      </c>
      <c r="E1120" s="880">
        <v>1.003410444971272</v>
      </c>
      <c r="F1120" s="880">
        <v>0.95535318317893503</v>
      </c>
      <c r="G1120" s="880">
        <v>1.0251276214757368</v>
      </c>
      <c r="H1120" s="880">
        <v>0.99379722636405488</v>
      </c>
      <c r="I1120" s="880">
        <v>1.0217579819336626</v>
      </c>
      <c r="K1120">
        <v>1.0721341489167833</v>
      </c>
      <c r="L1120">
        <v>0</v>
      </c>
      <c r="M1120">
        <v>6.6975667034390135E-4</v>
      </c>
      <c r="N1120">
        <v>6.7439523238907659E-2</v>
      </c>
      <c r="O1120">
        <v>8.6433645837196496E-3</v>
      </c>
      <c r="P1120">
        <v>1.2694663970847071E-2</v>
      </c>
      <c r="Q1120">
        <v>2.9241189048282057E-3</v>
      </c>
      <c r="R1120">
        <v>6.5833867407006524E-4</v>
      </c>
      <c r="S1120">
        <v>8.5796612089477156E-2</v>
      </c>
      <c r="T1120">
        <v>0.81556161306977693</v>
      </c>
      <c r="U1120">
        <v>1.6977554306102548E-2</v>
      </c>
      <c r="V1120">
        <v>1.0413519528830968E-2</v>
      </c>
      <c r="W1120">
        <v>4.0217793220430967E-2</v>
      </c>
      <c r="X1120">
        <v>9.6850231506014472E-3</v>
      </c>
      <c r="Y1120">
        <v>1.7917808495331365E-3</v>
      </c>
    </row>
    <row r="1121" spans="1:25">
      <c r="A1121" s="876"/>
      <c r="B1121" s="1202">
        <v>871</v>
      </c>
      <c r="C1121" s="880">
        <v>0.99044018036821257</v>
      </c>
      <c r="D1121" s="880">
        <v>1.0322814741301232</v>
      </c>
      <c r="E1121" s="880">
        <v>0.97029900901315336</v>
      </c>
      <c r="F1121" s="880">
        <v>1.0134920308009243</v>
      </c>
      <c r="G1121" s="880">
        <v>0.98350418020160313</v>
      </c>
      <c r="H1121" s="880">
        <v>1.0067084400619732</v>
      </c>
      <c r="I1121" s="880">
        <v>1.010758646406047</v>
      </c>
      <c r="K1121">
        <v>1.0742894514774479</v>
      </c>
      <c r="L1121">
        <v>0</v>
      </c>
      <c r="M1121">
        <v>7.3409065408105794E-4</v>
      </c>
      <c r="N1121">
        <v>6.6690747696724187E-2</v>
      </c>
      <c r="O1121">
        <v>8.7235260207904047E-3</v>
      </c>
      <c r="P1121">
        <v>1.2422133754967915E-2</v>
      </c>
      <c r="Q1121">
        <v>2.8525200300806119E-3</v>
      </c>
      <c r="R1121">
        <v>7.2174240643343957E-4</v>
      </c>
      <c r="S1121">
        <v>8.6102930534963248E-2</v>
      </c>
      <c r="T1121">
        <v>0.81824963509087401</v>
      </c>
      <c r="U1121">
        <v>1.7073851809672705E-2</v>
      </c>
      <c r="V1121">
        <v>1.0414073112759431E-2</v>
      </c>
      <c r="W1121">
        <v>4.0691153420252729E-2</v>
      </c>
      <c r="X1121">
        <v>9.1168833460183625E-3</v>
      </c>
      <c r="Y1121">
        <v>1.9643449079914852E-3</v>
      </c>
    </row>
    <row r="1122" spans="1:25">
      <c r="A1122" s="876"/>
      <c r="B1122" s="1202">
        <v>872</v>
      </c>
      <c r="C1122" s="880">
        <v>0.98130806655745306</v>
      </c>
      <c r="D1122" s="880">
        <v>1.0196878386732664</v>
      </c>
      <c r="E1122" s="880">
        <v>1.0157648575743705</v>
      </c>
      <c r="F1122" s="880">
        <v>1.0408761551464367</v>
      </c>
      <c r="G1122" s="880">
        <v>0.99502645330952266</v>
      </c>
      <c r="H1122" s="880">
        <v>0.97818145781166532</v>
      </c>
      <c r="I1122" s="880">
        <v>0.97414689726332504</v>
      </c>
      <c r="K1122">
        <v>1.0715281957666645</v>
      </c>
      <c r="L1122">
        <v>0</v>
      </c>
      <c r="M1122">
        <v>6.5853739115925435E-4</v>
      </c>
      <c r="N1122">
        <v>6.8888834268012913E-2</v>
      </c>
      <c r="O1122">
        <v>8.8623889708208808E-3</v>
      </c>
      <c r="P1122">
        <v>1.2766231119717853E-2</v>
      </c>
      <c r="Q1122">
        <v>3.0312311887003359E-3</v>
      </c>
      <c r="R1122">
        <v>6.471471412353891E-4</v>
      </c>
      <c r="S1122">
        <v>8.3266556819005064E-2</v>
      </c>
      <c r="T1122">
        <v>0.81456820367149607</v>
      </c>
      <c r="U1122">
        <v>1.7232742134971862E-2</v>
      </c>
      <c r="V1122">
        <v>1.0414986523047492E-2</v>
      </c>
      <c r="W1122">
        <v>4.0738568618079403E-2</v>
      </c>
      <c r="X1122">
        <v>1.0008521516290067E-2</v>
      </c>
      <c r="Y1122">
        <v>1.7613211864449558E-3</v>
      </c>
    </row>
    <row r="1123" spans="1:25">
      <c r="A1123" s="876"/>
      <c r="B1123" s="1202">
        <v>873</v>
      </c>
      <c r="C1123" s="880">
        <v>0.96808155669254314</v>
      </c>
      <c r="D1123" s="880">
        <v>0.98985976070837378</v>
      </c>
      <c r="E1123" s="880">
        <v>0.95468043462625141</v>
      </c>
      <c r="F1123" s="880">
        <v>0.98983926401266198</v>
      </c>
      <c r="G1123" s="880">
        <v>1.0041148834512441</v>
      </c>
      <c r="H1123" s="880">
        <v>1.0071936928003564</v>
      </c>
      <c r="I1123" s="880">
        <v>0.98580605699172641</v>
      </c>
      <c r="K1123">
        <v>1.0817528692442875</v>
      </c>
      <c r="L1123">
        <v>0</v>
      </c>
      <c r="M1123">
        <v>7.9389048979027052E-4</v>
      </c>
      <c r="N1123">
        <v>6.8697535346977076E-2</v>
      </c>
      <c r="O1123">
        <v>9.1267658079365616E-3</v>
      </c>
      <c r="P1123">
        <v>1.2316885358489283E-2</v>
      </c>
      <c r="Q1123">
        <v>2.9277683188456251E-3</v>
      </c>
      <c r="R1123">
        <v>7.8058364806174994E-4</v>
      </c>
      <c r="S1123">
        <v>8.7747478058874076E-2</v>
      </c>
      <c r="T1123">
        <v>0.81953042965788514</v>
      </c>
      <c r="U1123">
        <v>1.7468186176098275E-2</v>
      </c>
      <c r="V1123">
        <v>1.0416340016465141E-2</v>
      </c>
      <c r="W1123">
        <v>4.2378020286405201E-2</v>
      </c>
      <c r="X1123">
        <v>9.0322756873454681E-3</v>
      </c>
      <c r="Y1123">
        <v>2.1244913706936559E-3</v>
      </c>
    </row>
    <row r="1124" spans="1:25">
      <c r="A1124" s="876"/>
      <c r="B1124" s="1202">
        <v>874</v>
      </c>
      <c r="C1124" s="880">
        <v>0.9957202869064623</v>
      </c>
      <c r="D1124" s="880">
        <v>0.99175441998115266</v>
      </c>
      <c r="E1124" s="880">
        <v>1.037882617644456</v>
      </c>
      <c r="F1124" s="880">
        <v>1.019764193588119</v>
      </c>
      <c r="G1124" s="880">
        <v>0.9948936781524339</v>
      </c>
      <c r="H1124" s="880">
        <v>0.95165104465938044</v>
      </c>
      <c r="I1124" s="880">
        <v>0.9860705704553443</v>
      </c>
      <c r="K1124">
        <v>1.0687582607307351</v>
      </c>
      <c r="L1124">
        <v>0</v>
      </c>
      <c r="M1124">
        <v>6.1151874782298097E-4</v>
      </c>
      <c r="N1124">
        <v>6.8486646350559607E-2</v>
      </c>
      <c r="O1124">
        <v>8.8643774834535512E-3</v>
      </c>
      <c r="P1124">
        <v>1.294570301209395E-2</v>
      </c>
      <c r="Q1124">
        <v>3.0926542537859304E-3</v>
      </c>
      <c r="R1124">
        <v>6.0066897457046204E-4</v>
      </c>
      <c r="S1124">
        <v>8.3278046862139354E-2</v>
      </c>
      <c r="T1124">
        <v>0.81280272496108175</v>
      </c>
      <c r="U1124">
        <v>1.698331257113472E-2</v>
      </c>
      <c r="V1124">
        <v>1.0413552631277665E-2</v>
      </c>
      <c r="W1124">
        <v>3.9903563969534948E-2</v>
      </c>
      <c r="X1124">
        <v>1.0363705470618425E-2</v>
      </c>
      <c r="Y1124">
        <v>1.6348229383065468E-3</v>
      </c>
    </row>
    <row r="1125" spans="1:25">
      <c r="A1125" s="876"/>
      <c r="B1125" s="1202">
        <v>875</v>
      </c>
      <c r="C1125" s="880">
        <v>1.0002117338629026</v>
      </c>
      <c r="D1125" s="880">
        <v>0.96433817449432746</v>
      </c>
      <c r="E1125" s="880">
        <v>1.0390590588284876</v>
      </c>
      <c r="F1125" s="880">
        <v>0.98923467619551353</v>
      </c>
      <c r="G1125" s="880">
        <v>1.0042524715687031</v>
      </c>
      <c r="H1125" s="880">
        <v>1.0140162995275057</v>
      </c>
      <c r="I1125" s="880">
        <v>0.9779255529848806</v>
      </c>
      <c r="K1125">
        <v>1.0800619907199052</v>
      </c>
      <c r="L1125">
        <v>0</v>
      </c>
      <c r="M1125">
        <v>6.5679668875717712E-4</v>
      </c>
      <c r="N1125">
        <v>7.3911082758037885E-2</v>
      </c>
      <c r="O1125">
        <v>8.9577701005894451E-3</v>
      </c>
      <c r="P1125">
        <v>1.2986915116541259E-2</v>
      </c>
      <c r="Q1125">
        <v>3.1222502157309882E-3</v>
      </c>
      <c r="R1125">
        <v>6.4588298960207831E-4</v>
      </c>
      <c r="S1125">
        <v>8.5599510915153526E-2</v>
      </c>
      <c r="T1125">
        <v>0.81270928718452751</v>
      </c>
      <c r="U1125">
        <v>1.6907049071142256E-2</v>
      </c>
      <c r="V1125">
        <v>1.0413114216507192E-2</v>
      </c>
      <c r="W1125">
        <v>4.3030359409042866E-2</v>
      </c>
      <c r="X1125">
        <v>1.0677684849360231E-2</v>
      </c>
      <c r="Y1125">
        <v>1.7578805824265571E-3</v>
      </c>
    </row>
    <row r="1126" spans="1:25">
      <c r="A1126" s="876"/>
      <c r="B1126" s="1202">
        <v>876</v>
      </c>
      <c r="C1126" s="880">
        <v>1.0473571278076597</v>
      </c>
      <c r="D1126" s="880">
        <v>1.0291665394299658</v>
      </c>
      <c r="E1126" s="880">
        <v>1.0322283822438285</v>
      </c>
      <c r="F1126" s="880">
        <v>0.96553483507681637</v>
      </c>
      <c r="G1126" s="880">
        <v>1.02280784312446</v>
      </c>
      <c r="H1126" s="880">
        <v>0.9914736460711312</v>
      </c>
      <c r="I1126" s="880">
        <v>1.0451540980559917</v>
      </c>
      <c r="K1126">
        <v>1.0641047913377386</v>
      </c>
      <c r="L1126">
        <v>0</v>
      </c>
      <c r="M1126">
        <v>6.0104550538808666E-4</v>
      </c>
      <c r="N1126">
        <v>6.6187835435893641E-2</v>
      </c>
      <c r="O1126">
        <v>8.2627270571070128E-3</v>
      </c>
      <c r="P1126">
        <v>1.2894422475816235E-2</v>
      </c>
      <c r="Q1126">
        <v>2.8746253468466087E-3</v>
      </c>
      <c r="R1126">
        <v>5.9078212535265695E-4</v>
      </c>
      <c r="S1126">
        <v>8.3785704604513497E-2</v>
      </c>
      <c r="T1126">
        <v>0.81325246730236844</v>
      </c>
      <c r="U1126">
        <v>1.6146000649606428E-2</v>
      </c>
      <c r="V1126">
        <v>1.0408739189540517E-2</v>
      </c>
      <c r="W1126">
        <v>3.8710052319344983E-2</v>
      </c>
      <c r="X1126">
        <v>9.9845661428002077E-3</v>
      </c>
      <c r="Y1126">
        <v>1.6079141939346502E-3</v>
      </c>
    </row>
    <row r="1127" spans="1:25">
      <c r="A1127" s="876"/>
      <c r="B1127" s="1202">
        <v>877</v>
      </c>
      <c r="C1127" s="880">
        <v>1.0429488658945754</v>
      </c>
      <c r="D1127" s="880">
        <v>1.0274652606785546</v>
      </c>
      <c r="E1127" s="880">
        <v>0.99035581167658016</v>
      </c>
      <c r="F1127" s="880">
        <v>1.0005219796154952</v>
      </c>
      <c r="G1127" s="880">
        <v>0.983979391281119</v>
      </c>
      <c r="H1127" s="880">
        <v>1.0030511911029552</v>
      </c>
      <c r="I1127" s="880">
        <v>0.96039462380561058</v>
      </c>
      <c r="K1127">
        <v>1.0589291752998657</v>
      </c>
      <c r="L1127">
        <v>0</v>
      </c>
      <c r="M1127">
        <v>6.6761270280328089E-4</v>
      </c>
      <c r="N1127">
        <v>6.4558731305856598E-2</v>
      </c>
      <c r="O1127">
        <v>8.3049557931169984E-3</v>
      </c>
      <c r="P1127">
        <v>1.2466081683363684E-2</v>
      </c>
      <c r="Q1127">
        <v>2.7706141170698796E-3</v>
      </c>
      <c r="R1127">
        <v>6.5634556510358309E-4</v>
      </c>
      <c r="S1127">
        <v>7.7755562141429715E-2</v>
      </c>
      <c r="T1127">
        <v>0.8166169651095202</v>
      </c>
      <c r="U1127">
        <v>1.6214245414081258E-2</v>
      </c>
      <c r="V1127">
        <v>1.0409131507133525E-2</v>
      </c>
      <c r="W1127">
        <v>3.8846021749009897E-2</v>
      </c>
      <c r="X1127">
        <v>9.2117773530291155E-3</v>
      </c>
      <c r="Y1127">
        <v>1.7863562639545663E-3</v>
      </c>
    </row>
    <row r="1128" spans="1:25">
      <c r="A1128" s="876"/>
      <c r="B1128" s="1202">
        <v>878</v>
      </c>
      <c r="C1128" s="880">
        <v>0.99903407813264034</v>
      </c>
      <c r="D1128" s="880">
        <v>1.0063078957691018</v>
      </c>
      <c r="E1128" s="880">
        <v>1.0295338003373955</v>
      </c>
      <c r="F1128" s="880">
        <v>1.0137385185154402</v>
      </c>
      <c r="G1128" s="880">
        <v>1.0141690114343809</v>
      </c>
      <c r="H1128" s="880">
        <v>0.97155527585695611</v>
      </c>
      <c r="I1128" s="880">
        <v>0.98931488632074716</v>
      </c>
      <c r="K1128">
        <v>1.0695369043435223</v>
      </c>
      <c r="L1128">
        <v>0</v>
      </c>
      <c r="M1128">
        <v>6.2844196517258214E-4</v>
      </c>
      <c r="N1128">
        <v>6.8605897134188187E-2</v>
      </c>
      <c r="O1128">
        <v>8.7665988135191258E-3</v>
      </c>
      <c r="P1128">
        <v>1.2877432646739647E-2</v>
      </c>
      <c r="Q1128">
        <v>3.0367527860924964E-3</v>
      </c>
      <c r="R1128">
        <v>6.175086707780567E-4</v>
      </c>
      <c r="S1128">
        <v>8.3375966463287363E-2</v>
      </c>
      <c r="T1128">
        <v>0.81346718064864521</v>
      </c>
      <c r="U1128">
        <v>1.6926979005121787E-2</v>
      </c>
      <c r="V1128">
        <v>1.0413228787401956E-2</v>
      </c>
      <c r="W1128">
        <v>4.0196732076477996E-2</v>
      </c>
      <c r="X1128">
        <v>1.0200414236262568E-2</v>
      </c>
      <c r="Y1128">
        <v>1.6806550401792565E-3</v>
      </c>
    </row>
    <row r="1129" spans="1:25">
      <c r="A1129" s="876"/>
      <c r="B1129" s="1202">
        <v>879</v>
      </c>
      <c r="C1129" s="880">
        <v>1.0186687783427577</v>
      </c>
      <c r="D1129" s="880">
        <v>1.0106763969813941</v>
      </c>
      <c r="E1129" s="880">
        <v>1.0234632146878386</v>
      </c>
      <c r="F1129" s="880">
        <v>1.031648567272317</v>
      </c>
      <c r="G1129" s="880">
        <v>0.99746232512238053</v>
      </c>
      <c r="H1129" s="880">
        <v>0.96296197885616897</v>
      </c>
      <c r="I1129" s="880">
        <v>0.98042080243999974</v>
      </c>
      <c r="K1129">
        <v>1.0624280922444798</v>
      </c>
      <c r="L1129">
        <v>0</v>
      </c>
      <c r="M1129">
        <v>6.173459144998407E-4</v>
      </c>
      <c r="N1129">
        <v>6.6125296345116796E-2</v>
      </c>
      <c r="O1129">
        <v>8.5778024879619996E-3</v>
      </c>
      <c r="P1129">
        <v>1.2783674689988067E-2</v>
      </c>
      <c r="Q1129">
        <v>2.9544912713825116E-3</v>
      </c>
      <c r="R1129">
        <v>6.0650638458712369E-4</v>
      </c>
      <c r="S1129">
        <v>8.0565399897643747E-2</v>
      </c>
      <c r="T1129">
        <v>0.81395181343342127</v>
      </c>
      <c r="U1129">
        <v>1.6600713819327807E-2</v>
      </c>
      <c r="V1129">
        <v>1.0411353191913209E-2</v>
      </c>
      <c r="W1129">
        <v>3.8901641793418394E-2</v>
      </c>
      <c r="X1129">
        <v>9.9160344001480907E-3</v>
      </c>
      <c r="Y1129">
        <v>1.6507104440702054E-3</v>
      </c>
    </row>
    <row r="1130" spans="1:25">
      <c r="A1130" s="876"/>
      <c r="B1130" s="1202">
        <v>880</v>
      </c>
      <c r="C1130" s="880">
        <v>1.0134246967991043</v>
      </c>
      <c r="D1130" s="880">
        <v>0.99225259385107456</v>
      </c>
      <c r="E1130" s="880">
        <v>1.0074149734327762</v>
      </c>
      <c r="F1130" s="880">
        <v>1.036956752793817</v>
      </c>
      <c r="G1130" s="880">
        <v>1.0039323618371496</v>
      </c>
      <c r="H1130" s="880">
        <v>1.0047330578551383</v>
      </c>
      <c r="I1130" s="880">
        <v>0.98486266784885468</v>
      </c>
      <c r="K1130">
        <v>1.0718537298813793</v>
      </c>
      <c r="L1130">
        <v>0</v>
      </c>
      <c r="M1130">
        <v>6.7635397878482325E-4</v>
      </c>
      <c r="N1130">
        <v>6.8974263620535506E-2</v>
      </c>
      <c r="O1130">
        <v>8.707183959722373E-3</v>
      </c>
      <c r="P1130">
        <v>1.2693296642592927E-2</v>
      </c>
      <c r="Q1130">
        <v>2.9474176364232547E-3</v>
      </c>
      <c r="R1130">
        <v>6.6498744511929463E-4</v>
      </c>
      <c r="S1130">
        <v>8.3554594545179592E-2</v>
      </c>
      <c r="T1130">
        <v>0.81523904286474824</v>
      </c>
      <c r="U1130">
        <v>1.6686616104151102E-2</v>
      </c>
      <c r="V1130">
        <v>1.0411847017012863E-2</v>
      </c>
      <c r="W1130">
        <v>4.1020911772118307E-2</v>
      </c>
      <c r="X1130">
        <v>9.8200456399973393E-3</v>
      </c>
      <c r="Y1130">
        <v>1.8098766125623511E-3</v>
      </c>
    </row>
    <row r="1131" spans="1:25">
      <c r="A1131" s="876"/>
      <c r="B1131" s="1202">
        <v>881</v>
      </c>
      <c r="C1131" s="880">
        <v>0.9907472382551874</v>
      </c>
      <c r="D1131" s="880">
        <v>0.98987688787004824</v>
      </c>
      <c r="E1131" s="880">
        <v>0.96639030882632815</v>
      </c>
      <c r="F1131" s="880">
        <v>0.9922685927413355</v>
      </c>
      <c r="G1131" s="880">
        <v>1.0174395534950413</v>
      </c>
      <c r="H1131" s="880">
        <v>0.99673941347987793</v>
      </c>
      <c r="I1131" s="880">
        <v>1.0491403006622126</v>
      </c>
      <c r="K1131">
        <v>1.0806480684914084</v>
      </c>
      <c r="L1131">
        <v>0</v>
      </c>
      <c r="M1131">
        <v>7.4908591319022496E-4</v>
      </c>
      <c r="N1131">
        <v>6.7220628252741429E-2</v>
      </c>
      <c r="O1131">
        <v>8.9178871336449972E-3</v>
      </c>
      <c r="P1131">
        <v>1.2452207115291006E-2</v>
      </c>
      <c r="Q1131">
        <v>2.8953942420763203E-3</v>
      </c>
      <c r="R1131">
        <v>7.3639835806766989E-4</v>
      </c>
      <c r="S1131">
        <v>9.0849763570461664E-2</v>
      </c>
      <c r="T1131">
        <v>0.81856939527255501</v>
      </c>
      <c r="U1131">
        <v>1.7068560186686756E-2</v>
      </c>
      <c r="V1131">
        <v>1.0414042692890452E-2</v>
      </c>
      <c r="W1131">
        <v>4.1126767223745947E-2</v>
      </c>
      <c r="X1131">
        <v>9.1418767794313391E-3</v>
      </c>
      <c r="Y1131">
        <v>2.0042335770067022E-3</v>
      </c>
    </row>
    <row r="1132" spans="1:25">
      <c r="A1132" s="876"/>
      <c r="B1132" s="1202">
        <v>882</v>
      </c>
      <c r="C1132" s="880">
        <v>0.97046814566562289</v>
      </c>
      <c r="D1132" s="880">
        <v>1.0090453673393294</v>
      </c>
      <c r="E1132" s="880">
        <v>1.0195830614664079</v>
      </c>
      <c r="F1132" s="880">
        <v>1.0187684687928344</v>
      </c>
      <c r="G1132" s="880">
        <v>0.99555026555808779</v>
      </c>
      <c r="H1132" s="880">
        <v>1.006492480526491</v>
      </c>
      <c r="I1132" s="880">
        <v>0.97740139664648051</v>
      </c>
      <c r="K1132">
        <v>1.0801632043331288</v>
      </c>
      <c r="L1132">
        <v>0</v>
      </c>
      <c r="M1132">
        <v>6.8346286585562941E-4</v>
      </c>
      <c r="N1132">
        <v>7.2386259773802961E-2</v>
      </c>
      <c r="O1132">
        <v>9.0115905949593282E-3</v>
      </c>
      <c r="P1132">
        <v>1.2837501368013893E-2</v>
      </c>
      <c r="Q1132">
        <v>3.0915914418460752E-3</v>
      </c>
      <c r="R1132">
        <v>6.7198280706066863E-4</v>
      </c>
      <c r="S1132">
        <v>8.5934167199540154E-2</v>
      </c>
      <c r="T1132">
        <v>0.81426223609408876</v>
      </c>
      <c r="U1132">
        <v>1.742522816589075E-2</v>
      </c>
      <c r="V1132">
        <v>1.0416093064434534E-2</v>
      </c>
      <c r="W1132">
        <v>4.2696504689182901E-2</v>
      </c>
      <c r="X1132">
        <v>1.0284596318417657E-2</v>
      </c>
      <c r="Y1132">
        <v>1.8289156817463271E-3</v>
      </c>
    </row>
    <row r="1133" spans="1:25">
      <c r="A1133" s="876"/>
      <c r="B1133" s="1202">
        <v>883</v>
      </c>
      <c r="C1133" s="880">
        <v>0.99057321113997243</v>
      </c>
      <c r="D1133" s="880">
        <v>1.0169061175965182</v>
      </c>
      <c r="E1133" s="880">
        <v>0.97354772120906519</v>
      </c>
      <c r="F1133" s="880">
        <v>1.0092583978519225</v>
      </c>
      <c r="G1133" s="880">
        <v>0.97316054662942697</v>
      </c>
      <c r="H1133" s="880">
        <v>0.99039542202488573</v>
      </c>
      <c r="I1133" s="880">
        <v>1.0038730245314722</v>
      </c>
      <c r="K1133">
        <v>1.0729481963246978</v>
      </c>
      <c r="L1133">
        <v>0</v>
      </c>
      <c r="M1133">
        <v>7.2293200497737531E-4</v>
      </c>
      <c r="N1133">
        <v>6.6328134136727321E-2</v>
      </c>
      <c r="O1133">
        <v>8.7922729811265761E-3</v>
      </c>
      <c r="P1133">
        <v>1.2442233429088486E-2</v>
      </c>
      <c r="Q1133">
        <v>2.8813539909056467E-3</v>
      </c>
      <c r="R1133">
        <v>7.1058462999889084E-4</v>
      </c>
      <c r="S1133">
        <v>8.5558926960200371E-2</v>
      </c>
      <c r="T1133">
        <v>0.81798425913828976</v>
      </c>
      <c r="U1133">
        <v>1.7071558846711864E-2</v>
      </c>
      <c r="V1133">
        <v>1.0414059931239703E-2</v>
      </c>
      <c r="W1133">
        <v>4.0378261122284639E-2</v>
      </c>
      <c r="X1133">
        <v>9.1755060444037723E-3</v>
      </c>
      <c r="Y1133">
        <v>1.9339771186966557E-3</v>
      </c>
    </row>
    <row r="1134" spans="1:25">
      <c r="A1134" s="876"/>
      <c r="B1134" s="1202">
        <v>884</v>
      </c>
      <c r="C1134" s="880">
        <v>1.0091113118432151</v>
      </c>
      <c r="D1134" s="880">
        <v>1.0062305914678378</v>
      </c>
      <c r="E1134" s="880">
        <v>1.0184597044482757</v>
      </c>
      <c r="F1134" s="880">
        <v>1.0179793745707462</v>
      </c>
      <c r="G1134" s="880">
        <v>0.98104073765210908</v>
      </c>
      <c r="H1134" s="880">
        <v>0.99922294169145753</v>
      </c>
      <c r="I1134" s="880">
        <v>0.95514324009422191</v>
      </c>
      <c r="K1134">
        <v>1.0682210456491199</v>
      </c>
      <c r="L1134">
        <v>0</v>
      </c>
      <c r="M1134">
        <v>6.5506493147093935E-4</v>
      </c>
      <c r="N1134">
        <v>6.9128548122824346E-2</v>
      </c>
      <c r="O1134">
        <v>8.6794087525260809E-3</v>
      </c>
      <c r="P1134">
        <v>1.2745469816550852E-2</v>
      </c>
      <c r="Q1134">
        <v>2.9736866152726472E-3</v>
      </c>
      <c r="R1134">
        <v>6.4398408623585267E-4</v>
      </c>
      <c r="S1134">
        <v>8.0628534448100905E-2</v>
      </c>
      <c r="T1134">
        <v>0.81435220348759518</v>
      </c>
      <c r="U1134">
        <v>1.6757942030264098E-2</v>
      </c>
      <c r="V1134">
        <v>1.0412257047230818E-2</v>
      </c>
      <c r="W1134">
        <v>4.0805908209083946E-2</v>
      </c>
      <c r="X1134">
        <v>9.9954555714697642E-3</v>
      </c>
      <c r="Y1134">
        <v>1.7527123934370174E-3</v>
      </c>
    </row>
    <row r="1135" spans="1:25">
      <c r="A1135" s="876"/>
      <c r="B1135" s="1202">
        <v>885</v>
      </c>
      <c r="C1135" s="880">
        <v>1.0010370283739725</v>
      </c>
      <c r="D1135" s="880">
        <v>0.96669189896304208</v>
      </c>
      <c r="E1135" s="880">
        <v>1.0371210291754063</v>
      </c>
      <c r="F1135" s="880">
        <v>0.98904483105466356</v>
      </c>
      <c r="G1135" s="880">
        <v>1.0019019989468081</v>
      </c>
      <c r="H1135" s="880">
        <v>0.96175079810619368</v>
      </c>
      <c r="I1135" s="880">
        <v>0.99910087193910058</v>
      </c>
      <c r="K1135">
        <v>1.0730779267158186</v>
      </c>
      <c r="L1135">
        <v>0</v>
      </c>
      <c r="M1135">
        <v>6.2417727559088373E-4</v>
      </c>
      <c r="N1135">
        <v>6.9754943872111216E-2</v>
      </c>
      <c r="O1135">
        <v>8.9387180139270314E-3</v>
      </c>
      <c r="P1135">
        <v>1.2967571070230275E-2</v>
      </c>
      <c r="Q1135">
        <v>3.1102466759690946E-3</v>
      </c>
      <c r="R1135">
        <v>6.1323997149718458E-4</v>
      </c>
      <c r="S1135">
        <v>8.5375345762022131E-2</v>
      </c>
      <c r="T1135">
        <v>0.81286323865614851</v>
      </c>
      <c r="U1135">
        <v>1.6893110231317877E-2</v>
      </c>
      <c r="V1135">
        <v>1.0413034086520213E-2</v>
      </c>
      <c r="W1135">
        <v>4.0663174086227022E-2</v>
      </c>
      <c r="X1135">
        <v>1.0440444517524371E-2</v>
      </c>
      <c r="Y1135">
        <v>1.6690370479130626E-3</v>
      </c>
    </row>
    <row r="1136" spans="1:25">
      <c r="A1136" s="876"/>
      <c r="B1136" s="1202">
        <v>886</v>
      </c>
      <c r="C1136" s="880">
        <v>1.0297259666936591</v>
      </c>
      <c r="D1136" s="880">
        <v>1.0118064340305124</v>
      </c>
      <c r="E1136" s="880">
        <v>0.99776286490577182</v>
      </c>
      <c r="F1136" s="880">
        <v>0.95273782106610239</v>
      </c>
      <c r="G1136" s="880">
        <v>1.0254700312547123</v>
      </c>
      <c r="H1136" s="880">
        <v>0.98977832877609795</v>
      </c>
      <c r="I1136" s="880">
        <v>1.0339881026032935</v>
      </c>
      <c r="K1136">
        <v>1.0677408052636244</v>
      </c>
      <c r="L1136">
        <v>0</v>
      </c>
      <c r="M1136">
        <v>6.6229946159408694E-4</v>
      </c>
      <c r="N1136">
        <v>6.5524786825314957E-2</v>
      </c>
      <c r="O1136">
        <v>8.4806442710049657E-3</v>
      </c>
      <c r="P1136">
        <v>1.2628528581045696E-2</v>
      </c>
      <c r="Q1136">
        <v>2.8471984285352186E-3</v>
      </c>
      <c r="R1136">
        <v>6.5098476443533433E-4</v>
      </c>
      <c r="S1136">
        <v>8.4964989561974999E-2</v>
      </c>
      <c r="T1136">
        <v>0.81601745987049024</v>
      </c>
      <c r="U1136">
        <v>1.6422455500710191E-2</v>
      </c>
      <c r="V1136">
        <v>1.041032844114978E-2</v>
      </c>
      <c r="W1136">
        <v>3.9227165069844867E-2</v>
      </c>
      <c r="X1136">
        <v>9.4567974789869537E-3</v>
      </c>
      <c r="Y1136">
        <v>1.7717659317230579E-3</v>
      </c>
    </row>
    <row r="1137" spans="1:25">
      <c r="A1137" s="876"/>
      <c r="B1137" s="1202">
        <v>887</v>
      </c>
      <c r="C1137" s="880">
        <v>1.0238442612364618</v>
      </c>
      <c r="D1137" s="880">
        <v>0.99024774225499901</v>
      </c>
      <c r="E1137" s="880">
        <v>1.0082402464653915</v>
      </c>
      <c r="F1137" s="880">
        <v>0.99789914474083252</v>
      </c>
      <c r="G1137" s="880">
        <v>1.0446407166219209</v>
      </c>
      <c r="H1137" s="880">
        <v>0.966428772849519</v>
      </c>
      <c r="I1137" s="880">
        <v>1.0087884506139242</v>
      </c>
      <c r="K1137">
        <v>1.0660051719551435</v>
      </c>
      <c r="L1137">
        <v>0</v>
      </c>
      <c r="M1137">
        <v>6.4352109192145751E-4</v>
      </c>
      <c r="N1137">
        <v>6.5750195696467909E-2</v>
      </c>
      <c r="O1137">
        <v>8.6278802502214782E-3</v>
      </c>
      <c r="P1137">
        <v>1.2696271865471219E-2</v>
      </c>
      <c r="Q1137">
        <v>2.9225430837655753E-3</v>
      </c>
      <c r="R1137">
        <v>6.3227936904931088E-4</v>
      </c>
      <c r="S1137">
        <v>8.3442473398253406E-2</v>
      </c>
      <c r="T1137">
        <v>0.81517263379531146</v>
      </c>
      <c r="U1137">
        <v>1.6516798019192862E-2</v>
      </c>
      <c r="V1137">
        <v>1.0410870786486519E-2</v>
      </c>
      <c r="W1137">
        <v>3.9081514189566506E-2</v>
      </c>
      <c r="X1137">
        <v>9.674376581564512E-3</v>
      </c>
      <c r="Y1137">
        <v>1.7208560117142346E-3</v>
      </c>
    </row>
    <row r="1138" spans="1:25">
      <c r="A1138" s="876"/>
      <c r="B1138" s="1202">
        <v>888</v>
      </c>
      <c r="C1138" s="880">
        <v>1.0043090009049112</v>
      </c>
      <c r="D1138" s="880">
        <v>0.99533949263575239</v>
      </c>
      <c r="E1138" s="880">
        <v>1.0041459407787772</v>
      </c>
      <c r="F1138" s="880">
        <v>1.0006643583136094</v>
      </c>
      <c r="G1138" s="880">
        <v>1.0076785146988951</v>
      </c>
      <c r="H1138" s="880">
        <v>1.0169747928495276</v>
      </c>
      <c r="I1138" s="880">
        <v>1.0069476732608797</v>
      </c>
      <c r="K1138">
        <v>1.0773046201268026</v>
      </c>
      <c r="L1138">
        <v>0</v>
      </c>
      <c r="M1138">
        <v>6.9443577013475694E-4</v>
      </c>
      <c r="N1138">
        <v>7.011610015682429E-2</v>
      </c>
      <c r="O1138">
        <v>8.7716652086556532E-3</v>
      </c>
      <c r="P1138">
        <v>1.270865317269616E-2</v>
      </c>
      <c r="Q1138">
        <v>2.9602235696316904E-3</v>
      </c>
      <c r="R1138">
        <v>6.8290320537540592E-4</v>
      </c>
      <c r="S1138">
        <v>8.6510207247623316E-2</v>
      </c>
      <c r="T1138">
        <v>0.81550232699942271</v>
      </c>
      <c r="U1138">
        <v>1.6838073591609149E-2</v>
      </c>
      <c r="V1138">
        <v>1.0412717698264108E-2</v>
      </c>
      <c r="W1138">
        <v>4.1792996662253411E-2</v>
      </c>
      <c r="X1138">
        <v>9.8445509785309252E-3</v>
      </c>
      <c r="Y1138">
        <v>1.8586374060507048E-3</v>
      </c>
    </row>
    <row r="1139" spans="1:25">
      <c r="A1139" s="876"/>
      <c r="B1139" s="1202">
        <v>889</v>
      </c>
      <c r="C1139" s="880">
        <v>0.99601047761597006</v>
      </c>
      <c r="D1139" s="880">
        <v>0.97743683023678529</v>
      </c>
      <c r="E1139" s="880">
        <v>1.0313380088218942</v>
      </c>
      <c r="F1139" s="880">
        <v>1.0175568040830365</v>
      </c>
      <c r="G1139" s="880">
        <v>0.96120596519031898</v>
      </c>
      <c r="H1139" s="880">
        <v>1.0234505925893453</v>
      </c>
      <c r="I1139" s="880">
        <v>1.0277732661839458</v>
      </c>
      <c r="K1139">
        <v>1.0851737508610462</v>
      </c>
      <c r="L1139">
        <v>0</v>
      </c>
      <c r="M1139">
        <v>6.7182195064375086E-4</v>
      </c>
      <c r="N1139">
        <v>7.3822383666640692E-2</v>
      </c>
      <c r="O1139">
        <v>8.930885361010053E-3</v>
      </c>
      <c r="P1139">
        <v>1.2986775943567423E-2</v>
      </c>
      <c r="Q1139">
        <v>3.0924287407170068E-3</v>
      </c>
      <c r="R1139">
        <v>6.6075038465810863E-4</v>
      </c>
      <c r="S1139">
        <v>9.0087200835640965E-2</v>
      </c>
      <c r="T1139">
        <v>0.8133233878247258</v>
      </c>
      <c r="U1139">
        <v>1.6978364430893667E-2</v>
      </c>
      <c r="V1139">
        <v>1.0413524185982495E-2</v>
      </c>
      <c r="W1139">
        <v>4.3200865480869002E-2</v>
      </c>
      <c r="X1139">
        <v>1.055066122624926E-2</v>
      </c>
      <c r="Y1139">
        <v>1.7983447307336087E-3</v>
      </c>
    </row>
    <row r="1140" spans="1:25">
      <c r="A1140" s="876"/>
      <c r="B1140" s="1202">
        <v>890</v>
      </c>
      <c r="C1140" s="880">
        <v>0.99078879373690132</v>
      </c>
      <c r="D1140" s="880">
        <v>1.0070451579158179</v>
      </c>
      <c r="E1140" s="880">
        <v>0.97749980732739661</v>
      </c>
      <c r="F1140" s="880">
        <v>0.96978194736442258</v>
      </c>
      <c r="G1140" s="880">
        <v>1.0337263446085589</v>
      </c>
      <c r="H1140" s="880">
        <v>1.026030811684163</v>
      </c>
      <c r="I1140" s="880">
        <v>0.96804814211105172</v>
      </c>
      <c r="K1140">
        <v>1.0763108762559186</v>
      </c>
      <c r="L1140">
        <v>0</v>
      </c>
      <c r="M1140">
        <v>7.4645382163959979E-4</v>
      </c>
      <c r="N1140">
        <v>6.9377714391954795E-2</v>
      </c>
      <c r="O1140">
        <v>8.8361044898573621E-3</v>
      </c>
      <c r="P1140">
        <v>1.2456272811766648E-2</v>
      </c>
      <c r="Q1140">
        <v>2.905298122199574E-3</v>
      </c>
      <c r="R1140">
        <v>7.3415625429709436E-4</v>
      </c>
      <c r="S1140">
        <v>8.4128591434591116E-2</v>
      </c>
      <c r="T1140">
        <v>0.81766190772372793</v>
      </c>
      <c r="U1140">
        <v>1.7067844300268614E-2</v>
      </c>
      <c r="V1140">
        <v>1.0414038577485598E-2</v>
      </c>
      <c r="W1140">
        <v>4.2118713407282599E-2</v>
      </c>
      <c r="X1140">
        <v>9.3585572544731942E-3</v>
      </c>
      <c r="Y1140">
        <v>1.9981313096525044E-3</v>
      </c>
    </row>
    <row r="1141" spans="1:25">
      <c r="A1141" s="876"/>
      <c r="B1141" s="1202">
        <v>891</v>
      </c>
      <c r="C1141" s="880">
        <v>1.0158028657433846</v>
      </c>
      <c r="D1141" s="880">
        <v>0.98639104960761148</v>
      </c>
      <c r="E1141" s="880">
        <v>0.99187438538977157</v>
      </c>
      <c r="F1141" s="880">
        <v>0.99913052523596257</v>
      </c>
      <c r="G1141" s="880">
        <v>0.98011813255208313</v>
      </c>
      <c r="H1141" s="880">
        <v>0.98608995803481192</v>
      </c>
      <c r="I1141" s="880">
        <v>1.0333137026137116</v>
      </c>
      <c r="K1141">
        <v>1.0728782978181317</v>
      </c>
      <c r="L1141">
        <v>0</v>
      </c>
      <c r="M1141">
        <v>6.8644347221047917E-4</v>
      </c>
      <c r="N1141">
        <v>6.6678020797363083E-2</v>
      </c>
      <c r="O1141">
        <v>8.714316672440714E-3</v>
      </c>
      <c r="P1141">
        <v>1.2610473034989512E-2</v>
      </c>
      <c r="Q1141">
        <v>2.9028106085075478E-3</v>
      </c>
      <c r="R1141">
        <v>6.7469441262503808E-4</v>
      </c>
      <c r="S1141">
        <v>8.7035708108819901E-2</v>
      </c>
      <c r="T1141">
        <v>0.8164939044789854</v>
      </c>
      <c r="U1141">
        <v>1.6647549870394261E-2</v>
      </c>
      <c r="V1141">
        <v>1.0411622437575697E-2</v>
      </c>
      <c r="W1141">
        <v>4.0079305530066396E-2</v>
      </c>
      <c r="X1141">
        <v>9.4800395603608645E-3</v>
      </c>
      <c r="Y1141">
        <v>1.8362957782120065E-3</v>
      </c>
    </row>
    <row r="1142" spans="1:25">
      <c r="A1142" s="876"/>
      <c r="B1142" s="1202">
        <v>892</v>
      </c>
      <c r="C1142" s="880">
        <v>1.0235139189712874</v>
      </c>
      <c r="D1142" s="880">
        <v>0.97894888151750237</v>
      </c>
      <c r="E1142" s="880">
        <v>1.0111257609562811</v>
      </c>
      <c r="F1142" s="880">
        <v>0.98459251069624365</v>
      </c>
      <c r="G1142" s="880">
        <v>0.99119253886376835</v>
      </c>
      <c r="H1142" s="880">
        <v>1.0046114379008018</v>
      </c>
      <c r="I1142" s="880">
        <v>1.0278632949983924</v>
      </c>
      <c r="K1142">
        <v>1.074858123551037</v>
      </c>
      <c r="L1142">
        <v>0</v>
      </c>
      <c r="M1142">
        <v>6.6918090258242277E-4</v>
      </c>
      <c r="N1142">
        <v>6.9035648895063764E-2</v>
      </c>
      <c r="O1142">
        <v>8.6837222414352638E-3</v>
      </c>
      <c r="P1142">
        <v>1.2768194480872514E-2</v>
      </c>
      <c r="Q1142">
        <v>2.9474124507221657E-3</v>
      </c>
      <c r="R1142">
        <v>6.5794476802184072E-4</v>
      </c>
      <c r="S1142">
        <v>8.6922250927499056E-2</v>
      </c>
      <c r="T1142">
        <v>0.81494062092221398</v>
      </c>
      <c r="U1142">
        <v>1.652212886655114E-2</v>
      </c>
      <c r="V1142">
        <v>1.0410901431844023E-2</v>
      </c>
      <c r="W1142">
        <v>4.0953973781125613E-2</v>
      </c>
      <c r="X1142">
        <v>9.8937969211478401E-3</v>
      </c>
      <c r="Y1142">
        <v>1.7907087671209625E-3</v>
      </c>
    </row>
    <row r="1143" spans="1:25">
      <c r="A1143" s="876"/>
      <c r="B1143" s="1202">
        <v>893</v>
      </c>
      <c r="C1143" s="880">
        <v>0.96047848597265206</v>
      </c>
      <c r="D1143" s="880">
        <v>1.0184932466362007</v>
      </c>
      <c r="E1143" s="880">
        <v>1.016481824665695</v>
      </c>
      <c r="F1143" s="880">
        <v>1.0220286472922444</v>
      </c>
      <c r="G1143" s="880">
        <v>1.0114150342136652</v>
      </c>
      <c r="H1143" s="880">
        <v>0.98684883675194868</v>
      </c>
      <c r="I1143" s="880">
        <v>0.96602331355185866</v>
      </c>
      <c r="K1143">
        <v>1.0773459228154285</v>
      </c>
      <c r="L1143">
        <v>0</v>
      </c>
      <c r="M1143">
        <v>6.7817593214602101E-4</v>
      </c>
      <c r="N1143">
        <v>7.1112527211921586E-2</v>
      </c>
      <c r="O1143">
        <v>9.0602363137246567E-3</v>
      </c>
      <c r="P1143">
        <v>1.2797459588130517E-2</v>
      </c>
      <c r="Q1143">
        <v>3.1008465713944721E-3</v>
      </c>
      <c r="R1143">
        <v>6.6655002354063897E-4</v>
      </c>
      <c r="S1143">
        <v>8.4720697813001872E-2</v>
      </c>
      <c r="T1143">
        <v>0.81451071241402639</v>
      </c>
      <c r="U1143">
        <v>1.7606462937925584E-2</v>
      </c>
      <c r="V1143">
        <v>1.0417134925888433E-2</v>
      </c>
      <c r="W1143">
        <v>4.2033191587498034E-2</v>
      </c>
      <c r="X1143">
        <v>1.0184149924600469E-2</v>
      </c>
      <c r="Y1143">
        <v>1.8141294359214121E-3</v>
      </c>
    </row>
    <row r="1144" spans="1:25">
      <c r="A1144" s="876"/>
      <c r="B1144" s="1202">
        <v>894</v>
      </c>
      <c r="C1144" s="880">
        <v>0.97192758160404868</v>
      </c>
      <c r="D1144" s="880">
        <v>0.96564628092547355</v>
      </c>
      <c r="E1144" s="880">
        <v>0.97661011831460165</v>
      </c>
      <c r="F1144" s="880">
        <v>0.97589163394708522</v>
      </c>
      <c r="G1144" s="880">
        <v>0.9856757920207051</v>
      </c>
      <c r="H1144" s="880">
        <v>0.98874972908835324</v>
      </c>
      <c r="I1144" s="880">
        <v>1.0311098877003353</v>
      </c>
      <c r="K1144">
        <v>1.085532703817752</v>
      </c>
      <c r="L1144">
        <v>0</v>
      </c>
      <c r="M1144">
        <v>7.5127453254410399E-4</v>
      </c>
      <c r="N1144">
        <v>6.9592201744958934E-2</v>
      </c>
      <c r="O1144">
        <v>9.2117668569177136E-3</v>
      </c>
      <c r="P1144">
        <v>1.2556697316556512E-2</v>
      </c>
      <c r="Q1144">
        <v>3.0165428802978629E-3</v>
      </c>
      <c r="R1144">
        <v>7.3847063622154232E-4</v>
      </c>
      <c r="S1144">
        <v>9.1841951738307379E-2</v>
      </c>
      <c r="T1144">
        <v>0.81773442905214266</v>
      </c>
      <c r="U1144">
        <v>1.7399062631851085E-2</v>
      </c>
      <c r="V1144">
        <v>1.0415942647044818E-2</v>
      </c>
      <c r="W1144">
        <v>4.2275071467462559E-2</v>
      </c>
      <c r="X1144">
        <v>9.4919677435177895E-3</v>
      </c>
      <c r="Y1144">
        <v>2.0098736350152328E-3</v>
      </c>
    </row>
    <row r="1145" spans="1:25">
      <c r="A1145" s="876"/>
      <c r="B1145" s="1202">
        <v>895</v>
      </c>
      <c r="C1145" s="880">
        <v>0.99344134629653624</v>
      </c>
      <c r="D1145" s="880">
        <v>0.99088105778290159</v>
      </c>
      <c r="E1145" s="880">
        <v>1.0135604361071631</v>
      </c>
      <c r="F1145" s="880">
        <v>1.006111825652422</v>
      </c>
      <c r="G1145" s="880">
        <v>1.0148302040952428</v>
      </c>
      <c r="H1145" s="880">
        <v>1.0035093700724553</v>
      </c>
      <c r="I1145" s="880">
        <v>0.99532700695775367</v>
      </c>
      <c r="K1145">
        <v>1.0775849480077764</v>
      </c>
      <c r="L1145">
        <v>0</v>
      </c>
      <c r="M1145">
        <v>6.8074462115020554E-4</v>
      </c>
      <c r="N1145">
        <v>7.07596819871225E-2</v>
      </c>
      <c r="O1145">
        <v>8.888890866143145E-3</v>
      </c>
      <c r="P1145">
        <v>1.2784859414931285E-2</v>
      </c>
      <c r="Q1145">
        <v>3.0271487350453877E-3</v>
      </c>
      <c r="R1145">
        <v>6.692915172752332E-4</v>
      </c>
      <c r="S1145">
        <v>8.615634572036486E-2</v>
      </c>
      <c r="T1145">
        <v>0.81474507875215574</v>
      </c>
      <c r="U1145">
        <v>1.7022272053598072E-2</v>
      </c>
      <c r="V1145">
        <v>1.0413776597035365E-2</v>
      </c>
      <c r="W1145">
        <v>4.1907447910398229E-2</v>
      </c>
      <c r="X1145">
        <v>1.0069308196722769E-2</v>
      </c>
      <c r="Y1145">
        <v>1.8215908781338112E-3</v>
      </c>
    </row>
    <row r="1146" spans="1:25">
      <c r="A1146" s="876"/>
      <c r="B1146" s="1202">
        <v>896</v>
      </c>
      <c r="C1146" s="880">
        <v>1.0093936314859178</v>
      </c>
      <c r="D1146" s="880">
        <v>1.0269426368309107</v>
      </c>
      <c r="E1146" s="880">
        <v>0.99372018505712967</v>
      </c>
      <c r="F1146" s="880">
        <v>0.98241767802491786</v>
      </c>
      <c r="G1146" s="880">
        <v>0.98013474707223402</v>
      </c>
      <c r="H1146" s="880">
        <v>1.0242407568546745</v>
      </c>
      <c r="I1146" s="880">
        <v>1.0101820327414088</v>
      </c>
      <c r="K1146">
        <v>1.0736848664970464</v>
      </c>
      <c r="L1146">
        <v>0</v>
      </c>
      <c r="M1146">
        <v>6.9960037084440476E-4</v>
      </c>
      <c r="N1146">
        <v>6.8388538266693069E-2</v>
      </c>
      <c r="O1146">
        <v>8.58335968428167E-3</v>
      </c>
      <c r="P1146">
        <v>1.2603469179927556E-2</v>
      </c>
      <c r="Q1146">
        <v>2.8731275508352997E-3</v>
      </c>
      <c r="R1146">
        <v>6.880380757489944E-4</v>
      </c>
      <c r="S1146">
        <v>8.5274207542492139E-2</v>
      </c>
      <c r="T1146">
        <v>0.81634443177466331</v>
      </c>
      <c r="U1146">
        <v>1.6753254962643706E-2</v>
      </c>
      <c r="V1146">
        <v>1.0412230102759698E-2</v>
      </c>
      <c r="W1146">
        <v>4.1055329193039072E-2</v>
      </c>
      <c r="X1146">
        <v>9.5358677043069634E-3</v>
      </c>
      <c r="Y1146">
        <v>1.8726128304980493E-3</v>
      </c>
    </row>
    <row r="1147" spans="1:25">
      <c r="A1147" s="876"/>
      <c r="B1147" s="1202">
        <v>897</v>
      </c>
      <c r="C1147" s="880">
        <v>0.98661588173373138</v>
      </c>
      <c r="D1147" s="880">
        <v>1.0139329422740819</v>
      </c>
      <c r="E1147" s="880">
        <v>1.0095724682688756</v>
      </c>
      <c r="F1147" s="880">
        <v>1.0054789789397622</v>
      </c>
      <c r="G1147" s="880">
        <v>1.031175771751988</v>
      </c>
      <c r="H1147" s="880">
        <v>0.96978631321807673</v>
      </c>
      <c r="I1147" s="880">
        <v>1.0388651995363263</v>
      </c>
      <c r="K1147">
        <v>1.0750374343195985</v>
      </c>
      <c r="L1147">
        <v>0</v>
      </c>
      <c r="M1147">
        <v>6.5989445309626944E-4</v>
      </c>
      <c r="N1147">
        <v>6.7705032181044386E-2</v>
      </c>
      <c r="O1147">
        <v>8.84131308098241E-3</v>
      </c>
      <c r="P1147">
        <v>1.2782112818465793E-2</v>
      </c>
      <c r="Q1147">
        <v>3.0041274811478543E-3</v>
      </c>
      <c r="R1147">
        <v>6.4838667492495971E-4</v>
      </c>
      <c r="S1147">
        <v>8.8255698522681267E-2</v>
      </c>
      <c r="T1147">
        <v>0.81506547986276323</v>
      </c>
      <c r="U1147">
        <v>1.7140033095996952E-2</v>
      </c>
      <c r="V1147">
        <v>1.04144535680684E-2</v>
      </c>
      <c r="W1147">
        <v>4.0207016340156491E-2</v>
      </c>
      <c r="X1147">
        <v>9.868980357927274E-3</v>
      </c>
      <c r="Y1147">
        <v>1.7646947885357948E-3</v>
      </c>
    </row>
    <row r="1148" spans="1:25">
      <c r="A1148" s="876"/>
      <c r="B1148" s="1202">
        <v>898</v>
      </c>
      <c r="C1148" s="880">
        <v>1.0256210355323299</v>
      </c>
      <c r="D1148" s="880">
        <v>1.0229994998740448</v>
      </c>
      <c r="E1148" s="880">
        <v>1.0050350753876347</v>
      </c>
      <c r="F1148" s="880">
        <v>1.0163485165705679</v>
      </c>
      <c r="G1148" s="880">
        <v>1.0050983619012652</v>
      </c>
      <c r="H1148" s="880">
        <v>1.0068768163181041</v>
      </c>
      <c r="I1148" s="880">
        <v>1.0059087584115034</v>
      </c>
      <c r="K1148">
        <v>1.0678173038411101</v>
      </c>
      <c r="L1148">
        <v>0</v>
      </c>
      <c r="M1148">
        <v>6.6227325222796411E-4</v>
      </c>
      <c r="N1148">
        <v>6.7040213808342977E-2</v>
      </c>
      <c r="O1148">
        <v>8.464860930824129E-3</v>
      </c>
      <c r="P1148">
        <v>1.266493056550631E-2</v>
      </c>
      <c r="Q1148">
        <v>2.8650692079287168E-3</v>
      </c>
      <c r="R1148">
        <v>6.5114221663668999E-4</v>
      </c>
      <c r="S1148">
        <v>8.3128346284144297E-2</v>
      </c>
      <c r="T1148">
        <v>0.81543068113402251</v>
      </c>
      <c r="U1148">
        <v>1.6488184504889015E-2</v>
      </c>
      <c r="V1148">
        <v>1.0410706296431559E-2</v>
      </c>
      <c r="W1148">
        <v>3.9935376036889937E-2</v>
      </c>
      <c r="X1148">
        <v>9.6278716430100199E-3</v>
      </c>
      <c r="Y1148">
        <v>1.7721944647110441E-3</v>
      </c>
    </row>
    <row r="1149" spans="1:25">
      <c r="A1149" s="876"/>
      <c r="B1149" s="1202">
        <v>899</v>
      </c>
      <c r="C1149" s="880">
        <v>1.0228922214745733</v>
      </c>
      <c r="D1149" s="880">
        <v>0.97115082218056581</v>
      </c>
      <c r="E1149" s="880">
        <v>1.0052183821600127</v>
      </c>
      <c r="F1149" s="880">
        <v>1.0159705254082325</v>
      </c>
      <c r="G1149" s="880">
        <v>0.99553960461913837</v>
      </c>
      <c r="H1149" s="880">
        <v>0.98271728503894984</v>
      </c>
      <c r="I1149" s="880">
        <v>1.0195264379118083</v>
      </c>
      <c r="K1149">
        <v>1.0716592853592946</v>
      </c>
      <c r="L1149">
        <v>0</v>
      </c>
      <c r="M1149">
        <v>6.6603923352369094E-4</v>
      </c>
      <c r="N1149">
        <v>6.7436039992568045E-2</v>
      </c>
      <c r="O1149">
        <v>8.7262267258518683E-3</v>
      </c>
      <c r="P1149">
        <v>1.2703973585187562E-2</v>
      </c>
      <c r="Q1149">
        <v>2.9426052478735837E-3</v>
      </c>
      <c r="R1149">
        <v>6.5461347922665105E-4</v>
      </c>
      <c r="S1149">
        <v>8.5822541390821877E-2</v>
      </c>
      <c r="T1149">
        <v>0.81541591374097155</v>
      </c>
      <c r="U1149">
        <v>1.6532170751650158E-2</v>
      </c>
      <c r="V1149">
        <v>1.0410959159469308E-2</v>
      </c>
      <c r="W1149">
        <v>4.0166146661276297E-2</v>
      </c>
      <c r="X1149">
        <v>9.732491760741124E-3</v>
      </c>
      <c r="Y1149">
        <v>1.7816420971795126E-3</v>
      </c>
    </row>
    <row r="1150" spans="1:25">
      <c r="A1150" s="876"/>
      <c r="B1150" s="1202">
        <v>900</v>
      </c>
      <c r="C1150" s="880">
        <v>0.98177010395064834</v>
      </c>
      <c r="D1150" s="880">
        <v>1.0117377895147812</v>
      </c>
      <c r="E1150" s="880">
        <v>1.0079227465413232</v>
      </c>
      <c r="F1150" s="880">
        <v>0.98439628523641887</v>
      </c>
      <c r="G1150" s="880">
        <v>1.0072823038279253</v>
      </c>
      <c r="H1150" s="880">
        <v>1.0183805972661415</v>
      </c>
      <c r="I1150" s="880">
        <v>0.99091454988509686</v>
      </c>
      <c r="K1150">
        <v>1.079759115747114</v>
      </c>
      <c r="L1150">
        <v>0</v>
      </c>
      <c r="M1150">
        <v>6.9961296994826153E-4</v>
      </c>
      <c r="N1150">
        <v>7.1473586205229159E-2</v>
      </c>
      <c r="O1150">
        <v>8.8952140514522611E-3</v>
      </c>
      <c r="P1150">
        <v>1.2744442474031737E-2</v>
      </c>
      <c r="Q1150">
        <v>3.0169726550852653E-3</v>
      </c>
      <c r="R1150">
        <v>6.8799655662229683E-4</v>
      </c>
      <c r="S1150">
        <v>8.643155726757977E-2</v>
      </c>
      <c r="T1150">
        <v>0.81519818002076772</v>
      </c>
      <c r="U1150">
        <v>1.7224632118969536E-2</v>
      </c>
      <c r="V1150">
        <v>1.0414939901127376E-2</v>
      </c>
      <c r="W1150">
        <v>4.2492641000153347E-2</v>
      </c>
      <c r="X1150">
        <v>1.0006066636920189E-2</v>
      </c>
      <c r="Y1150">
        <v>1.8724998291219548E-3</v>
      </c>
    </row>
    <row r="1151" spans="1:25">
      <c r="A1151" s="876"/>
      <c r="B1151" s="1202">
        <v>901</v>
      </c>
      <c r="C1151" s="880">
        <v>0.96740483933802757</v>
      </c>
      <c r="D1151" s="880">
        <v>0.99362171706085478</v>
      </c>
      <c r="E1151" s="880">
        <v>1.0316854558666686</v>
      </c>
      <c r="F1151" s="880">
        <v>1.0205698727240435</v>
      </c>
      <c r="G1151" s="880">
        <v>1.0441364225823431</v>
      </c>
      <c r="H1151" s="880">
        <v>0.97313313788719924</v>
      </c>
      <c r="I1151" s="880">
        <v>1.0239472492081412</v>
      </c>
      <c r="K1151">
        <v>1.0819329089199234</v>
      </c>
      <c r="L1151">
        <v>0</v>
      </c>
      <c r="M1151">
        <v>6.5147267656710751E-4</v>
      </c>
      <c r="N1151">
        <v>7.1599946679346479E-2</v>
      </c>
      <c r="O1151">
        <v>9.1146793399034913E-3</v>
      </c>
      <c r="P1151">
        <v>1.2991876740782565E-2</v>
      </c>
      <c r="Q1151">
        <v>3.1610527244910753E-3</v>
      </c>
      <c r="R1151">
        <v>6.4016762010538888E-4</v>
      </c>
      <c r="S1151">
        <v>8.9740464008075435E-2</v>
      </c>
      <c r="T1151">
        <v>0.81329570955734587</v>
      </c>
      <c r="U1151">
        <v>1.7480405491380344E-2</v>
      </c>
      <c r="V1151">
        <v>1.0416410261448723E-2</v>
      </c>
      <c r="W1151">
        <v>4.1890550862269976E-2</v>
      </c>
      <c r="X1151">
        <v>1.0510793080612797E-2</v>
      </c>
      <c r="Y1151">
        <v>1.7423252307276166E-3</v>
      </c>
    </row>
    <row r="1152" spans="1:25">
      <c r="A1152" s="876"/>
      <c r="B1152" s="1202">
        <v>902</v>
      </c>
      <c r="C1152" s="880">
        <v>0.99390070651374751</v>
      </c>
      <c r="D1152" s="880">
        <v>0.9915991530530891</v>
      </c>
      <c r="E1152" s="880">
        <v>0.98589612155845185</v>
      </c>
      <c r="F1152" s="880">
        <v>0.95684798151861417</v>
      </c>
      <c r="G1152" s="880">
        <v>1.0285317470612971</v>
      </c>
      <c r="H1152" s="880">
        <v>0.98971044434696953</v>
      </c>
      <c r="I1152" s="880">
        <v>1.0117536028245038</v>
      </c>
      <c r="K1152">
        <v>1.0758777057008251</v>
      </c>
      <c r="L1152">
        <v>0</v>
      </c>
      <c r="M1152">
        <v>7.1105477643000658E-4</v>
      </c>
      <c r="N1152">
        <v>6.7798736089444228E-2</v>
      </c>
      <c r="O1152">
        <v>8.8813480101522842E-3</v>
      </c>
      <c r="P1152">
        <v>1.2564796235138226E-2</v>
      </c>
      <c r="Q1152">
        <v>2.9417786099889477E-3</v>
      </c>
      <c r="R1152">
        <v>6.9892428184601307E-4</v>
      </c>
      <c r="S1152">
        <v>8.7001659366397505E-2</v>
      </c>
      <c r="T1152">
        <v>0.8169788169011305</v>
      </c>
      <c r="U1152">
        <v>1.7014404713795717E-2</v>
      </c>
      <c r="V1152">
        <v>1.0413731370184082E-2</v>
      </c>
      <c r="W1152">
        <v>4.0921303839645859E-2</v>
      </c>
      <c r="X1152">
        <v>9.4710195646727155E-3</v>
      </c>
      <c r="Y1152">
        <v>1.9022414948572589E-3</v>
      </c>
    </row>
    <row r="1153" spans="1:25">
      <c r="A1153" s="876"/>
      <c r="B1153" s="1202">
        <v>903</v>
      </c>
      <c r="C1153" s="880">
        <v>1.0307242240306034</v>
      </c>
      <c r="D1153" s="880">
        <v>0.9846735545526174</v>
      </c>
      <c r="E1153" s="880">
        <v>1.015741947868521</v>
      </c>
      <c r="F1153" s="880">
        <v>1.0180148939486169</v>
      </c>
      <c r="G1153" s="880">
        <v>0.99522568224494901</v>
      </c>
      <c r="H1153" s="880">
        <v>1.0021639535269393</v>
      </c>
      <c r="I1153" s="880">
        <v>0.99706004785422531</v>
      </c>
      <c r="K1153">
        <v>1.0697024787216753</v>
      </c>
      <c r="L1153">
        <v>0</v>
      </c>
      <c r="M1153">
        <v>6.5441810319350749E-4</v>
      </c>
      <c r="N1153">
        <v>6.8484889886100672E-2</v>
      </c>
      <c r="O1153">
        <v>8.5961592622221892E-3</v>
      </c>
      <c r="P1153">
        <v>1.2756393642839975E-2</v>
      </c>
      <c r="Q1153">
        <v>2.9324482248593471E-3</v>
      </c>
      <c r="R1153">
        <v>6.433982587582685E-4</v>
      </c>
      <c r="S1153">
        <v>8.3398802198230135E-2</v>
      </c>
      <c r="T1153">
        <v>0.81457004101500685</v>
      </c>
      <c r="U1153">
        <v>1.6406550337804332E-2</v>
      </c>
      <c r="V1153">
        <v>1.0410237007392539E-2</v>
      </c>
      <c r="W1153">
        <v>4.0500317264843821E-2</v>
      </c>
      <c r="X1153">
        <v>9.9065417626479236E-3</v>
      </c>
      <c r="Y1153">
        <v>1.7511179641610092E-3</v>
      </c>
    </row>
    <row r="1154" spans="1:25">
      <c r="A1154" s="876"/>
      <c r="B1154" s="1202">
        <v>904</v>
      </c>
      <c r="C1154" s="880">
        <v>0.9956927175178103</v>
      </c>
      <c r="D1154" s="880">
        <v>1.0009433110495451</v>
      </c>
      <c r="E1154" s="880">
        <v>0.95913903419303337</v>
      </c>
      <c r="F1154" s="880">
        <v>1.0363251138184786</v>
      </c>
      <c r="G1154" s="880">
        <v>0.97180056665447545</v>
      </c>
      <c r="H1154" s="880">
        <v>0.99301409128951146</v>
      </c>
      <c r="I1154" s="880">
        <v>0.99141348526582185</v>
      </c>
      <c r="K1154">
        <v>1.0724409080893025</v>
      </c>
      <c r="L1154">
        <v>0</v>
      </c>
      <c r="M1154">
        <v>7.4949022375439913E-4</v>
      </c>
      <c r="N1154">
        <v>6.5747329473034355E-2</v>
      </c>
      <c r="O1154">
        <v>8.8211174348702161E-3</v>
      </c>
      <c r="P1154">
        <v>1.2309593256841599E-2</v>
      </c>
      <c r="Q1154">
        <v>2.8451092042277282E-3</v>
      </c>
      <c r="R1154">
        <v>7.3673777021482161E-4</v>
      </c>
      <c r="S1154">
        <v>8.4820009999781135E-2</v>
      </c>
      <c r="T1154">
        <v>0.81916396634653743</v>
      </c>
      <c r="U1154">
        <v>1.6983782816157741E-2</v>
      </c>
      <c r="V1154">
        <v>1.0413555334567755E-2</v>
      </c>
      <c r="W1154">
        <v>4.0430767385144818E-2</v>
      </c>
      <c r="X1154">
        <v>8.9132719466943344E-3</v>
      </c>
      <c r="Y1154">
        <v>2.0051573449840648E-3</v>
      </c>
    </row>
    <row r="1155" spans="1:25">
      <c r="A1155" s="876"/>
      <c r="B1155" s="1202">
        <v>905</v>
      </c>
      <c r="C1155" s="880">
        <v>0.97943402302932203</v>
      </c>
      <c r="D1155" s="880">
        <v>0.95661391952897346</v>
      </c>
      <c r="E1155" s="880">
        <v>0.97938205054568817</v>
      </c>
      <c r="F1155" s="880">
        <v>0.9679799967292696</v>
      </c>
      <c r="G1155" s="880">
        <v>1.0017905069257809</v>
      </c>
      <c r="H1155" s="880">
        <v>0.96593345501492522</v>
      </c>
      <c r="I1155" s="880">
        <v>1.0010604348083683</v>
      </c>
      <c r="K1155">
        <v>1.078532035067689</v>
      </c>
      <c r="L1155">
        <v>0</v>
      </c>
      <c r="M1155">
        <v>7.2773169555401631E-4</v>
      </c>
      <c r="N1155">
        <v>6.7969189096349414E-2</v>
      </c>
      <c r="O1155">
        <v>9.1872681447194016E-3</v>
      </c>
      <c r="P1155">
        <v>1.2527387799582618E-2</v>
      </c>
      <c r="Q1155">
        <v>3.0148645085512462E-3</v>
      </c>
      <c r="R1155">
        <v>7.150449839843021E-4</v>
      </c>
      <c r="S1155">
        <v>8.8045219489123097E-2</v>
      </c>
      <c r="T1155">
        <v>0.81750856842070097</v>
      </c>
      <c r="U1155">
        <v>1.7265715166447832E-2</v>
      </c>
      <c r="V1155">
        <v>1.0415176074589538E-2</v>
      </c>
      <c r="W1155">
        <v>4.1209690831755193E-2</v>
      </c>
      <c r="X1155">
        <v>9.455525515548957E-3</v>
      </c>
      <c r="Y1155">
        <v>1.9461167318896495E-3</v>
      </c>
    </row>
    <row r="1156" spans="1:25">
      <c r="A1156" s="876"/>
      <c r="B1156" s="1202">
        <v>906</v>
      </c>
      <c r="C1156" s="880">
        <v>0.99416100673346708</v>
      </c>
      <c r="D1156" s="880">
        <v>0.95400706440822813</v>
      </c>
      <c r="E1156" s="880">
        <v>0.99600190392419119</v>
      </c>
      <c r="F1156" s="880">
        <v>1.0349531988180498</v>
      </c>
      <c r="G1156" s="880">
        <v>1.0254408528037635</v>
      </c>
      <c r="H1156" s="880">
        <v>1.041598528252365</v>
      </c>
      <c r="I1156" s="880">
        <v>1.0316781102208157</v>
      </c>
      <c r="K1156">
        <v>1.0905019235289768</v>
      </c>
      <c r="L1156">
        <v>0</v>
      </c>
      <c r="M1156">
        <v>7.4766133111468715E-4</v>
      </c>
      <c r="N1156">
        <v>7.3634744353176865E-2</v>
      </c>
      <c r="O1156">
        <v>9.0644112539759285E-3</v>
      </c>
      <c r="P1156">
        <v>1.2722960222685677E-2</v>
      </c>
      <c r="Q1156">
        <v>3.0243756794008933E-3</v>
      </c>
      <c r="R1156">
        <v>7.355764943737449E-4</v>
      </c>
      <c r="S1156">
        <v>9.2394874818628625E-2</v>
      </c>
      <c r="T1156">
        <v>0.81615981817162553</v>
      </c>
      <c r="U1156">
        <v>1.7009949848582326E-2</v>
      </c>
      <c r="V1156">
        <v>1.0413705760571228E-2</v>
      </c>
      <c r="W1156">
        <v>4.4135547805984443E-2</v>
      </c>
      <c r="X1156">
        <v>9.9516237161252075E-3</v>
      </c>
      <c r="Y1156">
        <v>2.001996734959132E-3</v>
      </c>
    </row>
    <row r="1157" spans="1:25">
      <c r="A1157" s="876"/>
      <c r="B1157" s="1202">
        <v>907</v>
      </c>
      <c r="C1157" s="880">
        <v>1.0310090932108216</v>
      </c>
      <c r="D1157" s="880">
        <v>1.0217484946054014</v>
      </c>
      <c r="E1157" s="880">
        <v>1.0288914973975496</v>
      </c>
      <c r="F1157" s="880">
        <v>1.0158843900159056</v>
      </c>
      <c r="G1157" s="880">
        <v>1.0114450785603906</v>
      </c>
      <c r="H1157" s="880">
        <v>1.0083246800187042</v>
      </c>
      <c r="I1157" s="880">
        <v>0.97836806625650252</v>
      </c>
      <c r="K1157">
        <v>1.0653176313495687</v>
      </c>
      <c r="L1157">
        <v>0</v>
      </c>
      <c r="M1157">
        <v>6.2775810009115917E-4</v>
      </c>
      <c r="N1157">
        <v>6.8437589569973381E-2</v>
      </c>
      <c r="O1157">
        <v>8.4261083891131617E-3</v>
      </c>
      <c r="P1157">
        <v>1.2825054962313061E-2</v>
      </c>
      <c r="Q1157">
        <v>2.9202525220087378E-3</v>
      </c>
      <c r="R1157">
        <v>6.1722325927708588E-4</v>
      </c>
      <c r="S1157">
        <v>8.0527336551986489E-2</v>
      </c>
      <c r="T1157">
        <v>0.81351839809399606</v>
      </c>
      <c r="U1157">
        <v>1.6402017186180607E-2</v>
      </c>
      <c r="V1157">
        <v>1.0410210947735834E-2</v>
      </c>
      <c r="W1157">
        <v>4.0115391410725502E-2</v>
      </c>
      <c r="X1157">
        <v>1.0065928312190137E-2</v>
      </c>
      <c r="Y1157">
        <v>1.6798782441594905E-3</v>
      </c>
    </row>
    <row r="1158" spans="1:25">
      <c r="A1158" s="876"/>
      <c r="B1158" s="1202">
        <v>908</v>
      </c>
      <c r="C1158" s="880">
        <v>1.0254058936089057</v>
      </c>
      <c r="D1158" s="880">
        <v>1.0317732847663277</v>
      </c>
      <c r="E1158" s="880">
        <v>0.99645920229157803</v>
      </c>
      <c r="F1158" s="880">
        <v>1.0097123649316029</v>
      </c>
      <c r="G1158" s="880">
        <v>1.0063936861178038</v>
      </c>
      <c r="H1158" s="880">
        <v>0.97774069143758247</v>
      </c>
      <c r="I1158" s="880">
        <v>0.97033640529809684</v>
      </c>
      <c r="K1158">
        <v>1.0595062884234108</v>
      </c>
      <c r="L1158">
        <v>0</v>
      </c>
      <c r="M1158">
        <v>6.5200649565575668E-4</v>
      </c>
      <c r="N1158">
        <v>6.4229939768295302E-2</v>
      </c>
      <c r="O1158">
        <v>8.4282653915663357E-3</v>
      </c>
      <c r="P1158">
        <v>1.2535983030752174E-2</v>
      </c>
      <c r="Q1158">
        <v>2.8299911922805799E-3</v>
      </c>
      <c r="R1158">
        <v>6.4071446395649163E-4</v>
      </c>
      <c r="S1158">
        <v>7.8896439448003439E-2</v>
      </c>
      <c r="T1158">
        <v>0.8161228394747575</v>
      </c>
      <c r="U1158">
        <v>1.6491643915206682E-2</v>
      </c>
      <c r="V1158">
        <v>1.0410726183488674E-2</v>
      </c>
      <c r="W1158">
        <v>3.8486374603492392E-2</v>
      </c>
      <c r="X1158">
        <v>9.3415638878434105E-3</v>
      </c>
      <c r="Y1158">
        <v>1.7438135594232914E-3</v>
      </c>
    </row>
    <row r="1159" spans="1:25">
      <c r="A1159" s="876"/>
      <c r="B1159" s="1202">
        <v>909</v>
      </c>
      <c r="C1159" s="880">
        <v>1.0328397382951016</v>
      </c>
      <c r="D1159" s="880">
        <v>0.99773724610666747</v>
      </c>
      <c r="E1159" s="880">
        <v>0.98757916916694632</v>
      </c>
      <c r="F1159" s="880">
        <v>0.96760982743733781</v>
      </c>
      <c r="G1159" s="880">
        <v>1.0081545048249023</v>
      </c>
      <c r="H1159" s="880">
        <v>1.0070041392049662</v>
      </c>
      <c r="I1159" s="880">
        <v>0.99228340016380578</v>
      </c>
      <c r="K1159">
        <v>1.0673519627322234</v>
      </c>
      <c r="L1159">
        <v>0</v>
      </c>
      <c r="M1159">
        <v>6.9147038282152125E-4</v>
      </c>
      <c r="N1159">
        <v>6.62970877821977E-2</v>
      </c>
      <c r="O1159">
        <v>8.5184198610661274E-3</v>
      </c>
      <c r="P1159">
        <v>1.2508718053651387E-2</v>
      </c>
      <c r="Q1159">
        <v>2.8276843179467423E-3</v>
      </c>
      <c r="R1159">
        <v>6.7987131255734293E-4</v>
      </c>
      <c r="S1159">
        <v>8.2453145078221088E-2</v>
      </c>
      <c r="T1159">
        <v>0.81684217803848425</v>
      </c>
      <c r="U1159">
        <v>1.6372945616777466E-2</v>
      </c>
      <c r="V1159">
        <v>1.0410043824466784E-2</v>
      </c>
      <c r="W1159">
        <v>3.9968469392982431E-2</v>
      </c>
      <c r="X1159">
        <v>9.3144842434301177E-3</v>
      </c>
      <c r="Y1159">
        <v>1.8503855932631358E-3</v>
      </c>
    </row>
    <row r="1160" spans="1:25">
      <c r="A1160" s="876"/>
      <c r="B1160" s="1202">
        <v>910</v>
      </c>
      <c r="C1160" s="880">
        <v>0.98062942053141944</v>
      </c>
      <c r="D1160" s="880">
        <v>0.99468311556112121</v>
      </c>
      <c r="E1160" s="880">
        <v>1.021496886699133</v>
      </c>
      <c r="F1160" s="880">
        <v>0.9858027412256547</v>
      </c>
      <c r="G1160" s="880">
        <v>1.0259576878924273</v>
      </c>
      <c r="H1160" s="880">
        <v>1.0132764529877323</v>
      </c>
      <c r="I1160" s="880">
        <v>0.99665599377064806</v>
      </c>
      <c r="K1160">
        <v>1.0821719469783004</v>
      </c>
      <c r="L1160">
        <v>0</v>
      </c>
      <c r="M1160">
        <v>6.8338352370423718E-4</v>
      </c>
      <c r="N1160">
        <v>7.2819056805559307E-2</v>
      </c>
      <c r="O1160">
        <v>8.9866397529716167E-3</v>
      </c>
      <c r="P1160">
        <v>1.2873818336704248E-2</v>
      </c>
      <c r="Q1160">
        <v>3.0855982322418201E-3</v>
      </c>
      <c r="R1160">
        <v>6.7199363504955013E-4</v>
      </c>
      <c r="S1160">
        <v>8.7587730607803685E-2</v>
      </c>
      <c r="T1160">
        <v>0.8141090607808662</v>
      </c>
      <c r="U1160">
        <v>1.7244668079393587E-2</v>
      </c>
      <c r="V1160">
        <v>1.0415055081534662E-2</v>
      </c>
      <c r="W1160">
        <v>4.2896375146996457E-2</v>
      </c>
      <c r="X1160">
        <v>1.0336388890919871E-2</v>
      </c>
      <c r="Y1160">
        <v>1.8289451519626161E-3</v>
      </c>
    </row>
    <row r="1161" spans="1:25">
      <c r="A1161" s="876"/>
      <c r="B1161" s="1202">
        <v>911</v>
      </c>
      <c r="C1161" s="880">
        <v>1.0115115894409568</v>
      </c>
      <c r="D1161" s="880">
        <v>0.96900465399815483</v>
      </c>
      <c r="E1161" s="880">
        <v>0.97621895488814769</v>
      </c>
      <c r="F1161" s="880">
        <v>1.0117572733411766</v>
      </c>
      <c r="G1161" s="880">
        <v>1.0264137321493987</v>
      </c>
      <c r="H1161" s="880">
        <v>1.0056979157724324</v>
      </c>
      <c r="I1161" s="880">
        <v>1.0000264531609515</v>
      </c>
      <c r="K1161">
        <v>1.0755044855079696</v>
      </c>
      <c r="L1161">
        <v>0</v>
      </c>
      <c r="M1161">
        <v>7.3349072414417545E-4</v>
      </c>
      <c r="N1161">
        <v>6.7881598160343282E-2</v>
      </c>
      <c r="O1161">
        <v>8.8348538332095761E-3</v>
      </c>
      <c r="P1161">
        <v>1.2466531045476542E-2</v>
      </c>
      <c r="Q1161">
        <v>2.8927251211628576E-3</v>
      </c>
      <c r="R1161">
        <v>7.2119740224643378E-4</v>
      </c>
      <c r="S1161">
        <v>8.6048395986204576E-2</v>
      </c>
      <c r="T1161">
        <v>0.81776632247312597</v>
      </c>
      <c r="U1161">
        <v>1.6718176086641334E-2</v>
      </c>
      <c r="V1161">
        <v>1.0412028445382651E-2</v>
      </c>
      <c r="W1161">
        <v>4.1247155842068207E-2</v>
      </c>
      <c r="X1161">
        <v>9.2861302499979929E-3</v>
      </c>
      <c r="Y1161">
        <v>1.9628615862550369E-3</v>
      </c>
    </row>
    <row r="1162" spans="1:25">
      <c r="A1162" s="876"/>
      <c r="B1162" s="1202">
        <v>912</v>
      </c>
      <c r="C1162" s="880">
        <v>1.0269039137695788</v>
      </c>
      <c r="D1162" s="880">
        <v>0.99431035469610152</v>
      </c>
      <c r="E1162" s="880">
        <v>1.0134840853941396</v>
      </c>
      <c r="F1162" s="880">
        <v>1.021475235945329</v>
      </c>
      <c r="G1162" s="880">
        <v>0.97793790215328036</v>
      </c>
      <c r="H1162" s="880">
        <v>0.95573748468274966</v>
      </c>
      <c r="I1162" s="880">
        <v>1.0223034604572814</v>
      </c>
      <c r="K1162">
        <v>1.0645373829490188</v>
      </c>
      <c r="L1162">
        <v>0</v>
      </c>
      <c r="M1162">
        <v>6.2615953794201542E-4</v>
      </c>
      <c r="N1162">
        <v>6.5014462787208682E-2</v>
      </c>
      <c r="O1162">
        <v>8.5833988795170329E-3</v>
      </c>
      <c r="P1162">
        <v>1.2743430756858614E-2</v>
      </c>
      <c r="Q1162">
        <v>2.9236462763763526E-3</v>
      </c>
      <c r="R1162">
        <v>6.150954065601012E-4</v>
      </c>
      <c r="S1162">
        <v>8.3754975819860911E-2</v>
      </c>
      <c r="T1162">
        <v>0.81475120783254529</v>
      </c>
      <c r="U1162">
        <v>1.6467586342987534E-2</v>
      </c>
      <c r="V1162">
        <v>1.0410587884105565E-2</v>
      </c>
      <c r="W1162">
        <v>3.8506832471502654E-2</v>
      </c>
      <c r="X1162">
        <v>9.7182310989276256E-3</v>
      </c>
      <c r="Y1162">
        <v>1.6740869305103179E-3</v>
      </c>
    </row>
    <row r="1163" spans="1:25">
      <c r="A1163" s="876"/>
      <c r="B1163" s="1202">
        <v>913</v>
      </c>
      <c r="C1163" s="880">
        <v>1.0022250042412217</v>
      </c>
      <c r="D1163" s="880">
        <v>1.0083796838358439</v>
      </c>
      <c r="E1163" s="880">
        <v>0.95353257553712123</v>
      </c>
      <c r="F1163" s="880">
        <v>0.9906874461914793</v>
      </c>
      <c r="G1163" s="880">
        <v>1.0262030830612314</v>
      </c>
      <c r="H1163" s="880">
        <v>1.0046175476249479</v>
      </c>
      <c r="I1163" s="880">
        <v>1.0389164534575537</v>
      </c>
      <c r="K1163">
        <v>1.0758416191833955</v>
      </c>
      <c r="L1163">
        <v>0</v>
      </c>
      <c r="M1163">
        <v>7.5919611623797645E-4</v>
      </c>
      <c r="N1163">
        <v>6.5455964673858308E-2</v>
      </c>
      <c r="O1163">
        <v>8.7291150068286895E-3</v>
      </c>
      <c r="P1163">
        <v>1.230794195407345E-2</v>
      </c>
      <c r="Q1163">
        <v>2.8007702487768561E-3</v>
      </c>
      <c r="R1163">
        <v>7.4642079069468889E-4</v>
      </c>
      <c r="S1163">
        <v>8.8408194046073557E-2</v>
      </c>
      <c r="T1163">
        <v>0.81962488321163129</v>
      </c>
      <c r="U1163">
        <v>1.6873086177644638E-2</v>
      </c>
      <c r="V1163">
        <v>1.0412918974561073E-2</v>
      </c>
      <c r="W1163">
        <v>4.0411131918716023E-2</v>
      </c>
      <c r="X1163">
        <v>8.7988769620499802E-3</v>
      </c>
      <c r="Y1163">
        <v>2.0315113347234202E-3</v>
      </c>
    </row>
    <row r="1164" spans="1:25">
      <c r="A1164" s="876"/>
      <c r="B1164" s="1202">
        <v>914</v>
      </c>
      <c r="C1164" s="880">
        <v>1.0137220210544555</v>
      </c>
      <c r="D1164" s="880">
        <v>0.99127434059043984</v>
      </c>
      <c r="E1164" s="880">
        <v>1.0022725547870226</v>
      </c>
      <c r="F1164" s="880">
        <v>0.9948703535082345</v>
      </c>
      <c r="G1164" s="880">
        <v>0.97192092246513284</v>
      </c>
      <c r="H1164" s="880">
        <v>1.0139277733089382</v>
      </c>
      <c r="I1164" s="880">
        <v>0.98724517091841046</v>
      </c>
      <c r="K1164">
        <v>1.0733426722398929</v>
      </c>
      <c r="L1164">
        <v>0</v>
      </c>
      <c r="M1164">
        <v>6.9014095351391854E-4</v>
      </c>
      <c r="N1164">
        <v>6.9274443060539273E-2</v>
      </c>
      <c r="O1164">
        <v>8.7092136282831568E-3</v>
      </c>
      <c r="P1164">
        <v>1.2657830982862796E-2</v>
      </c>
      <c r="Q1164">
        <v>2.9327288075886985E-3</v>
      </c>
      <c r="R1164">
        <v>6.7864873441707632E-4</v>
      </c>
      <c r="S1164">
        <v>8.4095012227655544E-2</v>
      </c>
      <c r="T1164">
        <v>0.81565337115850867</v>
      </c>
      <c r="U1164">
        <v>1.6681721926453012E-2</v>
      </c>
      <c r="V1164">
        <v>1.0411818881931288E-2</v>
      </c>
      <c r="W1164">
        <v>4.1344167952444069E-2</v>
      </c>
      <c r="X1164">
        <v>9.7467976941355196E-3</v>
      </c>
      <c r="Y1164">
        <v>1.8470581385881064E-3</v>
      </c>
    </row>
    <row r="1165" spans="1:25">
      <c r="A1165" s="876"/>
      <c r="B1165" s="1202">
        <v>915</v>
      </c>
      <c r="C1165" s="880">
        <v>1.0033052751760185</v>
      </c>
      <c r="D1165" s="880">
        <v>1.0099054156357401</v>
      </c>
      <c r="E1165" s="880">
        <v>1.006002320773379</v>
      </c>
      <c r="F1165" s="880">
        <v>1.0021814076825328</v>
      </c>
      <c r="G1165" s="880">
        <v>1.0046914939619138</v>
      </c>
      <c r="H1165" s="880">
        <v>0.98997946957713046</v>
      </c>
      <c r="I1165" s="880">
        <v>1.0361707841345373</v>
      </c>
      <c r="K1165">
        <v>1.074353017749532</v>
      </c>
      <c r="L1165">
        <v>0</v>
      </c>
      <c r="M1165">
        <v>6.6884784494320511E-4</v>
      </c>
      <c r="N1165">
        <v>6.7891000818099137E-2</v>
      </c>
      <c r="O1165">
        <v>8.7126948979133652E-3</v>
      </c>
      <c r="P1165">
        <v>1.2737623989992616E-2</v>
      </c>
      <c r="Q1165">
        <v>2.9489935305731857E-3</v>
      </c>
      <c r="R1165">
        <v>6.574251671717001E-4</v>
      </c>
      <c r="S1165">
        <v>8.7475668592228911E-2</v>
      </c>
      <c r="T1165">
        <v>0.81535277168789844</v>
      </c>
      <c r="U1165">
        <v>1.6854918721508357E-2</v>
      </c>
      <c r="V1165">
        <v>1.0412814535594672E-2</v>
      </c>
      <c r="W1165">
        <v>4.041552961973234E-2</v>
      </c>
      <c r="X1165">
        <v>9.7731294488695216E-3</v>
      </c>
      <c r="Y1165">
        <v>1.7892945848932546E-3</v>
      </c>
    </row>
    <row r="1166" spans="1:25">
      <c r="A1166" s="876"/>
      <c r="B1166" s="1202">
        <v>916</v>
      </c>
      <c r="C1166" s="880">
        <v>1.0346624568585021</v>
      </c>
      <c r="D1166" s="880">
        <v>1.02544493223041</v>
      </c>
      <c r="E1166" s="880">
        <v>0.97378889064986207</v>
      </c>
      <c r="F1166" s="880">
        <v>0.99569938949972614</v>
      </c>
      <c r="G1166" s="880">
        <v>1.0143562598243168</v>
      </c>
      <c r="H1166" s="880">
        <v>0.97391696532075445</v>
      </c>
      <c r="I1166" s="880">
        <v>0.98947813983720656</v>
      </c>
      <c r="K1166">
        <v>1.0587399254222187</v>
      </c>
      <c r="L1166">
        <v>0</v>
      </c>
      <c r="M1166">
        <v>6.7725285328031678E-4</v>
      </c>
      <c r="N1166">
        <v>6.2164906802884133E-2</v>
      </c>
      <c r="O1166">
        <v>8.380238100952165E-3</v>
      </c>
      <c r="P1166">
        <v>1.2358056299593417E-2</v>
      </c>
      <c r="Q1166">
        <v>2.7487005638756495E-3</v>
      </c>
      <c r="R1166">
        <v>6.6548278555572931E-4</v>
      </c>
      <c r="S1166">
        <v>7.9847823704930793E-2</v>
      </c>
      <c r="T1166">
        <v>0.81796457306129955</v>
      </c>
      <c r="U1166">
        <v>1.634410213094746E-2</v>
      </c>
      <c r="V1166">
        <v>1.0409878012378162E-2</v>
      </c>
      <c r="W1166">
        <v>3.783747243434403E-2</v>
      </c>
      <c r="X1166">
        <v>8.8847196127965593E-3</v>
      </c>
      <c r="Y1166">
        <v>1.8112247659413953E-3</v>
      </c>
    </row>
    <row r="1167" spans="1:25">
      <c r="A1167" s="876"/>
      <c r="B1167" s="1202">
        <v>917</v>
      </c>
      <c r="C1167" s="880">
        <v>0.99835972652463345</v>
      </c>
      <c r="D1167" s="880">
        <v>0.98189178141820577</v>
      </c>
      <c r="E1167" s="880">
        <v>1.0032160877593013</v>
      </c>
      <c r="F1167" s="880">
        <v>1.0193975862420956</v>
      </c>
      <c r="G1167" s="880">
        <v>0.9652578179278688</v>
      </c>
      <c r="H1167" s="880">
        <v>0.95808964893696302</v>
      </c>
      <c r="I1167" s="880">
        <v>1.0070481441119083</v>
      </c>
      <c r="K1167">
        <v>1.071112401920878</v>
      </c>
      <c r="L1167">
        <v>0</v>
      </c>
      <c r="M1167">
        <v>6.6421024234961481E-4</v>
      </c>
      <c r="N1167">
        <v>6.6802395977020673E-2</v>
      </c>
      <c r="O1167">
        <v>8.8882474428592841E-3</v>
      </c>
      <c r="P1167">
        <v>1.2688208199863389E-2</v>
      </c>
      <c r="Q1167">
        <v>2.9937123576966643E-3</v>
      </c>
      <c r="R1167">
        <v>6.5251343121568248E-4</v>
      </c>
      <c r="S1167">
        <v>8.5482713625596798E-2</v>
      </c>
      <c r="T1167">
        <v>0.81557728268323515</v>
      </c>
      <c r="U1167">
        <v>1.6938412494682253E-2</v>
      </c>
      <c r="V1167">
        <v>1.0413294514921699E-2</v>
      </c>
      <c r="W1167">
        <v>3.9843126206546682E-2</v>
      </c>
      <c r="X1167">
        <v>9.7207787708130169E-3</v>
      </c>
      <c r="Y1167">
        <v>1.7759264587742976E-3</v>
      </c>
    </row>
    <row r="1168" spans="1:25">
      <c r="A1168" s="876"/>
      <c r="B1168" s="1202">
        <v>918</v>
      </c>
      <c r="C1168" s="880">
        <v>0.99094632109539815</v>
      </c>
      <c r="D1168" s="880">
        <v>1.0028851643085244</v>
      </c>
      <c r="E1168" s="880">
        <v>0.98042901773452085</v>
      </c>
      <c r="F1168" s="880">
        <v>0.95867123223113981</v>
      </c>
      <c r="G1168" s="880">
        <v>0.98921126059566467</v>
      </c>
      <c r="H1168" s="880">
        <v>1.0309806618041499</v>
      </c>
      <c r="I1168" s="880">
        <v>1.0206882327474787</v>
      </c>
      <c r="K1168">
        <v>1.0822493210357358</v>
      </c>
      <c r="L1168">
        <v>0</v>
      </c>
      <c r="M1168">
        <v>7.4698138254998948E-4</v>
      </c>
      <c r="N1168">
        <v>7.0069317261763631E-2</v>
      </c>
      <c r="O1168">
        <v>8.8542141594838402E-3</v>
      </c>
      <c r="P1168">
        <v>1.2547079023298229E-2</v>
      </c>
      <c r="Q1168">
        <v>2.9190372834086982E-3</v>
      </c>
      <c r="R1168">
        <v>7.3473792152999387E-4</v>
      </c>
      <c r="S1168">
        <v>8.905429809356076E-2</v>
      </c>
      <c r="T1168">
        <v>0.81742332779530069</v>
      </c>
      <c r="U1168">
        <v>1.706513108324503E-2</v>
      </c>
      <c r="V1168">
        <v>1.0414022980058011E-2</v>
      </c>
      <c r="W1168">
        <v>4.2452143755851122E-2</v>
      </c>
      <c r="X1168">
        <v>9.4632786446702429E-3</v>
      </c>
      <c r="Y1168">
        <v>1.9997144161139051E-3</v>
      </c>
    </row>
    <row r="1169" spans="1:25">
      <c r="A1169" s="876"/>
      <c r="B1169" s="1202">
        <v>919</v>
      </c>
      <c r="C1169" s="880">
        <v>1.0164336613105123</v>
      </c>
      <c r="D1169" s="880">
        <v>0.99796585858795706</v>
      </c>
      <c r="E1169" s="880">
        <v>0.99983747714153082</v>
      </c>
      <c r="F1169" s="880">
        <v>0.95762995374352511</v>
      </c>
      <c r="G1169" s="880">
        <v>1.039590246965592</v>
      </c>
      <c r="H1169" s="880">
        <v>1.0094271228610501</v>
      </c>
      <c r="I1169" s="880">
        <v>1.0044539479269536</v>
      </c>
      <c r="K1169">
        <v>1.072711579262726</v>
      </c>
      <c r="L1169">
        <v>0</v>
      </c>
      <c r="M1169">
        <v>6.8630607673264077E-4</v>
      </c>
      <c r="N1169">
        <v>6.8363890106871827E-2</v>
      </c>
      <c r="O1169">
        <v>8.6548564976661798E-3</v>
      </c>
      <c r="P1169">
        <v>1.2647738980750282E-2</v>
      </c>
      <c r="Q1169">
        <v>2.9087686272310583E-3</v>
      </c>
      <c r="R1169">
        <v>6.7482107568384193E-4</v>
      </c>
      <c r="S1169">
        <v>8.4887654996047515E-2</v>
      </c>
      <c r="T1169">
        <v>0.81584988073520592</v>
      </c>
      <c r="U1169">
        <v>1.6637218452750877E-2</v>
      </c>
      <c r="V1169">
        <v>1.0411563045519259E-2</v>
      </c>
      <c r="W1169">
        <v>4.0868722336231365E-2</v>
      </c>
      <c r="X1169">
        <v>9.6561299721955665E-3</v>
      </c>
      <c r="Y1169">
        <v>1.8366405133036052E-3</v>
      </c>
    </row>
    <row r="1170" spans="1:25">
      <c r="A1170" s="876"/>
      <c r="B1170" s="1202">
        <v>920</v>
      </c>
      <c r="C1170" s="880">
        <v>0.97800279430298631</v>
      </c>
      <c r="D1170" s="880">
        <v>0.97355713531861343</v>
      </c>
      <c r="E1170" s="880">
        <v>0.99216113368729741</v>
      </c>
      <c r="F1170" s="880">
        <v>0.99395389331994566</v>
      </c>
      <c r="G1170" s="880">
        <v>0.99219950369496179</v>
      </c>
      <c r="H1170" s="880">
        <v>0.97223390531285303</v>
      </c>
      <c r="I1170" s="880">
        <v>0.99445574628132472</v>
      </c>
      <c r="K1170">
        <v>1.0776605448016676</v>
      </c>
      <c r="L1170">
        <v>0</v>
      </c>
      <c r="M1170">
        <v>7.0745383635896129E-4</v>
      </c>
      <c r="N1170">
        <v>6.8764349038377373E-2</v>
      </c>
      <c r="O1170">
        <v>9.1146836607200604E-3</v>
      </c>
      <c r="P1170">
        <v>1.2621983943908632E-2</v>
      </c>
      <c r="Q1170">
        <v>3.0340598945995576E-3</v>
      </c>
      <c r="R1170">
        <v>6.951845051950343E-4</v>
      </c>
      <c r="S1170">
        <v>8.7059666009183259E-2</v>
      </c>
      <c r="T1170">
        <v>0.81647067604192269</v>
      </c>
      <c r="U1170">
        <v>1.7290982157166953E-2</v>
      </c>
      <c r="V1170">
        <v>1.0415321326537535E-2</v>
      </c>
      <c r="W1170">
        <v>4.1325216368716396E-2</v>
      </c>
      <c r="X1170">
        <v>9.6838126360697888E-3</v>
      </c>
      <c r="Y1170">
        <v>1.8920630556303357E-3</v>
      </c>
    </row>
    <row r="1171" spans="1:25">
      <c r="A1171" s="876"/>
      <c r="B1171" s="1202">
        <v>921</v>
      </c>
      <c r="C1171" s="880">
        <v>0.99996628272866872</v>
      </c>
      <c r="D1171" s="880">
        <v>0.98386416361199658</v>
      </c>
      <c r="E1171" s="880">
        <v>1.0283695652699902</v>
      </c>
      <c r="F1171" s="880">
        <v>0.99512486097165154</v>
      </c>
      <c r="G1171" s="880">
        <v>1.0040731217160894</v>
      </c>
      <c r="H1171" s="880">
        <v>0.96829257475756747</v>
      </c>
      <c r="I1171" s="880">
        <v>1.0213321428548949</v>
      </c>
      <c r="K1171">
        <v>1.0740503209243608</v>
      </c>
      <c r="L1171">
        <v>0</v>
      </c>
      <c r="M1171">
        <v>6.3486670056119411E-4</v>
      </c>
      <c r="N1171">
        <v>6.9055142729216812E-2</v>
      </c>
      <c r="O1171">
        <v>8.8644606178196004E-3</v>
      </c>
      <c r="P1171">
        <v>1.2915942897059248E-2</v>
      </c>
      <c r="Q1171">
        <v>3.0619436860642693E-3</v>
      </c>
      <c r="R1171">
        <v>6.2380279451438518E-4</v>
      </c>
      <c r="S1171">
        <v>8.6845208298574644E-2</v>
      </c>
      <c r="T1171">
        <v>0.81356002750292566</v>
      </c>
      <c r="U1171">
        <v>1.691119906543977E-2</v>
      </c>
      <c r="V1171">
        <v>1.0413138073513444E-2</v>
      </c>
      <c r="W1171">
        <v>4.0491549569672242E-2</v>
      </c>
      <c r="X1171">
        <v>1.0244986819990247E-2</v>
      </c>
      <c r="Y1171">
        <v>1.697785570132211E-3</v>
      </c>
    </row>
    <row r="1172" spans="1:25">
      <c r="A1172" s="876"/>
      <c r="B1172" s="1202">
        <v>922</v>
      </c>
      <c r="C1172" s="880">
        <v>1.0006490527958691</v>
      </c>
      <c r="D1172" s="880">
        <v>1.0050581702720396</v>
      </c>
      <c r="E1172" s="880">
        <v>0.99314521385736576</v>
      </c>
      <c r="F1172" s="880">
        <v>0.96422090446394637</v>
      </c>
      <c r="G1172" s="880">
        <v>0.98715258724122501</v>
      </c>
      <c r="H1172" s="880">
        <v>1.031229116070183</v>
      </c>
      <c r="I1172" s="880">
        <v>0.97531953608389799</v>
      </c>
      <c r="K1172">
        <v>1.0761186749028617</v>
      </c>
      <c r="L1172">
        <v>0</v>
      </c>
      <c r="M1172">
        <v>7.1957606475028715E-4</v>
      </c>
      <c r="N1172">
        <v>7.0225297396772746E-2</v>
      </c>
      <c r="O1172">
        <v>8.758248952549846E-3</v>
      </c>
      <c r="P1172">
        <v>1.258591615566694E-2</v>
      </c>
      <c r="Q1172">
        <v>2.9252905217945174E-3</v>
      </c>
      <c r="R1172">
        <v>7.0778276355278633E-4</v>
      </c>
      <c r="S1172">
        <v>8.4188577027916656E-2</v>
      </c>
      <c r="T1172">
        <v>0.81639098049889358</v>
      </c>
      <c r="U1172">
        <v>1.6899660094318952E-2</v>
      </c>
      <c r="V1172">
        <v>1.0413071739613556E-2</v>
      </c>
      <c r="W1172">
        <v>4.2174646417311341E-2</v>
      </c>
      <c r="X1172">
        <v>9.6424280373537917E-3</v>
      </c>
      <c r="Y1172">
        <v>1.9263513618653862E-3</v>
      </c>
    </row>
    <row r="1173" spans="1:25">
      <c r="A1173" s="876"/>
      <c r="B1173" s="1202">
        <v>923</v>
      </c>
      <c r="C1173" s="880">
        <v>1.0329383800465659</v>
      </c>
      <c r="D1173" s="880">
        <v>0.98188142614322638</v>
      </c>
      <c r="E1173" s="880">
        <v>1.0247429785567967</v>
      </c>
      <c r="F1173" s="880">
        <v>1.0021649931758958</v>
      </c>
      <c r="G1173" s="880">
        <v>0.99690479893079897</v>
      </c>
      <c r="H1173" s="880">
        <v>0.99181812574482564</v>
      </c>
      <c r="I1173" s="880">
        <v>0.99578461893099735</v>
      </c>
      <c r="K1173">
        <v>1.0681055208413914</v>
      </c>
      <c r="L1173">
        <v>0</v>
      </c>
      <c r="M1173">
        <v>6.350618654952161E-4</v>
      </c>
      <c r="N1173">
        <v>6.8331806527279451E-2</v>
      </c>
      <c r="O1173">
        <v>8.5907527985903485E-3</v>
      </c>
      <c r="P1173">
        <v>1.282306403425347E-2</v>
      </c>
      <c r="Q1173">
        <v>2.9563104035899616E-3</v>
      </c>
      <c r="R1173">
        <v>6.2425868300731199E-4</v>
      </c>
      <c r="S1173">
        <v>8.2871364528644256E-2</v>
      </c>
      <c r="T1173">
        <v>0.81384954150111866</v>
      </c>
      <c r="U1173">
        <v>1.6371382061716035E-2</v>
      </c>
      <c r="V1173">
        <v>1.0410034836082644E-2</v>
      </c>
      <c r="W1173">
        <v>4.0165134920531968E-2</v>
      </c>
      <c r="X1173">
        <v>1.0047906063746148E-2</v>
      </c>
      <c r="Y1173">
        <v>1.6990263483263562E-3</v>
      </c>
    </row>
    <row r="1174" spans="1:25">
      <c r="A1174" s="876"/>
      <c r="B1174" s="1202">
        <v>924</v>
      </c>
      <c r="C1174" s="880">
        <v>0.9771603021128088</v>
      </c>
      <c r="D1174" s="880">
        <v>0.99437342662175465</v>
      </c>
      <c r="E1174" s="880">
        <v>1.0057042290525999</v>
      </c>
      <c r="F1174" s="880">
        <v>0.99644849742666819</v>
      </c>
      <c r="G1174" s="880">
        <v>1.0031620372743064</v>
      </c>
      <c r="H1174" s="880">
        <v>0.98133417763318675</v>
      </c>
      <c r="I1174" s="880">
        <v>0.95810037564342743</v>
      </c>
      <c r="K1174">
        <v>1.0740834802177412</v>
      </c>
      <c r="L1174">
        <v>0</v>
      </c>
      <c r="M1174">
        <v>6.8681305986846867E-4</v>
      </c>
      <c r="N1174">
        <v>6.9640680317151538E-2</v>
      </c>
      <c r="O1174">
        <v>9.0200426456736229E-3</v>
      </c>
      <c r="P1174">
        <v>1.26853274456357E-2</v>
      </c>
      <c r="Q1174">
        <v>3.0485821114024825E-3</v>
      </c>
      <c r="R1174">
        <v>6.7499368270538542E-4</v>
      </c>
      <c r="S1174">
        <v>8.3388284695291678E-2</v>
      </c>
      <c r="T1174">
        <v>0.81537677891514837</v>
      </c>
      <c r="U1174">
        <v>1.7305890169083179E-2</v>
      </c>
      <c r="V1174">
        <v>1.0415407027988753E-2</v>
      </c>
      <c r="W1174">
        <v>4.1465536518588031E-2</v>
      </c>
      <c r="X1174">
        <v>9.9116594562227277E-3</v>
      </c>
      <c r="Y1174">
        <v>1.8371102927163562E-3</v>
      </c>
    </row>
    <row r="1175" spans="1:25">
      <c r="A1175" s="876"/>
      <c r="B1175" s="1202">
        <v>925</v>
      </c>
      <c r="C1175" s="880">
        <v>1.0056939062815748</v>
      </c>
      <c r="D1175" s="880">
        <v>0.99336036439246167</v>
      </c>
      <c r="E1175" s="880">
        <v>1.0374009614650372</v>
      </c>
      <c r="F1175" s="880">
        <v>1.003611622626275</v>
      </c>
      <c r="G1175" s="880">
        <v>1.033126824246928</v>
      </c>
      <c r="H1175" s="880">
        <v>0.95838992319178717</v>
      </c>
      <c r="I1175" s="880">
        <v>1.0094218220298337</v>
      </c>
      <c r="K1175">
        <v>1.0693292008233479</v>
      </c>
      <c r="L1175">
        <v>0</v>
      </c>
      <c r="M1175">
        <v>6.0983837695086118E-4</v>
      </c>
      <c r="N1175">
        <v>6.8204986513850457E-2</v>
      </c>
      <c r="O1175">
        <v>8.7688934680708683E-3</v>
      </c>
      <c r="P1175">
        <v>1.2957615014798923E-2</v>
      </c>
      <c r="Q1175">
        <v>3.0582615514942978E-3</v>
      </c>
      <c r="R1175">
        <v>5.9909321684174766E-4</v>
      </c>
      <c r="S1175">
        <v>8.4579460019678393E-2</v>
      </c>
      <c r="T1175">
        <v>0.81284099371366381</v>
      </c>
      <c r="U1175">
        <v>1.6814886478210153E-2</v>
      </c>
      <c r="V1175">
        <v>1.0412584402873811E-2</v>
      </c>
      <c r="W1175">
        <v>3.9752216562405046E-2</v>
      </c>
      <c r="X1175">
        <v>1.031951401319282E-2</v>
      </c>
      <c r="Y1175">
        <v>1.6305342452173814E-3</v>
      </c>
    </row>
    <row r="1176" spans="1:25">
      <c r="A1176" s="876"/>
      <c r="B1176" s="1202">
        <v>926</v>
      </c>
      <c r="C1176" s="880">
        <v>1.0019140902868979</v>
      </c>
      <c r="D1176" s="880">
        <v>0.97180168515104803</v>
      </c>
      <c r="E1176" s="880">
        <v>0.99895384359479567</v>
      </c>
      <c r="F1176" s="880">
        <v>1.0112470162996496</v>
      </c>
      <c r="G1176" s="880">
        <v>1.0196835284943191</v>
      </c>
      <c r="H1176" s="880">
        <v>1.0220453622385064</v>
      </c>
      <c r="I1176" s="880">
        <v>0.99713676235215376</v>
      </c>
      <c r="K1176">
        <v>1.0803585502562312</v>
      </c>
      <c r="L1176">
        <v>0</v>
      </c>
      <c r="M1176">
        <v>7.1633623219616652E-4</v>
      </c>
      <c r="N1176">
        <v>7.1176633107755419E-2</v>
      </c>
      <c r="O1176">
        <v>8.9057457510458553E-3</v>
      </c>
      <c r="P1176">
        <v>1.267367033063615E-2</v>
      </c>
      <c r="Q1176">
        <v>2.9844631283204074E-3</v>
      </c>
      <c r="R1176">
        <v>7.0451991762486305E-4</v>
      </c>
      <c r="S1176">
        <v>8.7087552871563431E-2</v>
      </c>
      <c r="T1176">
        <v>0.81592123935355687</v>
      </c>
      <c r="U1176">
        <v>1.6878322233306493E-2</v>
      </c>
      <c r="V1176">
        <v>1.0412949074991048E-2</v>
      </c>
      <c r="W1176">
        <v>4.2575957838319821E-2</v>
      </c>
      <c r="X1176">
        <v>9.8363619104593972E-3</v>
      </c>
      <c r="Y1176">
        <v>1.9174709708464494E-3</v>
      </c>
    </row>
    <row r="1177" spans="1:25">
      <c r="A1177" s="876"/>
      <c r="B1177" s="1202">
        <v>927</v>
      </c>
      <c r="C1177" s="880">
        <v>1.0061385610425078</v>
      </c>
      <c r="D1177" s="880">
        <v>0.99771660607142187</v>
      </c>
      <c r="E1177" s="880">
        <v>1.0075207090018554</v>
      </c>
      <c r="F1177" s="880">
        <v>1.033157524105637</v>
      </c>
      <c r="G1177" s="880">
        <v>0.96415496081082397</v>
      </c>
      <c r="H1177" s="880">
        <v>1.0261646823365957</v>
      </c>
      <c r="I1177" s="880">
        <v>0.99973569617288027</v>
      </c>
      <c r="K1177">
        <v>1.0774841236895187</v>
      </c>
      <c r="L1177">
        <v>0</v>
      </c>
      <c r="M1177">
        <v>6.9359807396343035E-4</v>
      </c>
      <c r="N1177">
        <v>7.0780847659480825E-2</v>
      </c>
      <c r="O1177">
        <v>8.7445804795008904E-3</v>
      </c>
      <c r="P1177">
        <v>1.2728848075024935E-2</v>
      </c>
      <c r="Q1177">
        <v>2.9616069893890645E-3</v>
      </c>
      <c r="R1177">
        <v>6.8218057432196217E-4</v>
      </c>
      <c r="S1177">
        <v>8.5959404487675237E-2</v>
      </c>
      <c r="T1177">
        <v>0.81523053311264959</v>
      </c>
      <c r="U1177">
        <v>1.6807455275772827E-2</v>
      </c>
      <c r="V1177">
        <v>1.0412541683238441E-2</v>
      </c>
      <c r="W1177">
        <v>4.2092307908694684E-2</v>
      </c>
      <c r="X1177">
        <v>9.9207448751947175E-3</v>
      </c>
      <c r="Y1177">
        <v>1.8566706425384937E-3</v>
      </c>
    </row>
    <row r="1178" spans="1:25">
      <c r="A1178" s="876"/>
      <c r="B1178" s="1202">
        <v>928</v>
      </c>
      <c r="C1178" s="880">
        <v>0.97901452745487783</v>
      </c>
      <c r="D1178" s="880">
        <v>1.0257087909344433</v>
      </c>
      <c r="E1178" s="880">
        <v>0.9669288685631483</v>
      </c>
      <c r="F1178" s="880">
        <v>0.99740935711499623</v>
      </c>
      <c r="G1178" s="880">
        <v>0.97273207034310982</v>
      </c>
      <c r="H1178" s="880">
        <v>1.012504408955458</v>
      </c>
      <c r="I1178" s="880">
        <v>0.99565371009003245</v>
      </c>
      <c r="K1178">
        <v>1.0771474570588133</v>
      </c>
      <c r="L1178">
        <v>0</v>
      </c>
      <c r="M1178">
        <v>7.547808763970794E-4</v>
      </c>
      <c r="N1178">
        <v>6.7860740658858137E-2</v>
      </c>
      <c r="O1178">
        <v>8.8553650946389985E-3</v>
      </c>
      <c r="P1178">
        <v>1.2398783362335535E-2</v>
      </c>
      <c r="Q1178">
        <v>2.8843062041916099E-3</v>
      </c>
      <c r="R1178">
        <v>7.4216312025999728E-4</v>
      </c>
      <c r="S1178">
        <v>8.6286582919661625E-2</v>
      </c>
      <c r="T1178">
        <v>0.81852530654613231</v>
      </c>
      <c r="U1178">
        <v>1.7273113311111518E-2</v>
      </c>
      <c r="V1178">
        <v>1.04152186041862E-2</v>
      </c>
      <c r="W1178">
        <v>4.1502740493341364E-2</v>
      </c>
      <c r="X1178">
        <v>9.1379942611509949E-3</v>
      </c>
      <c r="Y1178">
        <v>2.0199233593408716E-3</v>
      </c>
    </row>
    <row r="1179" spans="1:25">
      <c r="A1179" s="876"/>
      <c r="B1179" s="1202">
        <v>929</v>
      </c>
      <c r="C1179" s="880">
        <v>0.98481606294850754</v>
      </c>
      <c r="D1179" s="880">
        <v>0.98578246534300384</v>
      </c>
      <c r="E1179" s="880">
        <v>1.0323269694672026</v>
      </c>
      <c r="F1179" s="880">
        <v>1.0203198475773003</v>
      </c>
      <c r="G1179" s="880">
        <v>1.0041932662288693</v>
      </c>
      <c r="H1179" s="880">
        <v>0.97750978990436888</v>
      </c>
      <c r="I1179" s="880">
        <v>0.99551910623000917</v>
      </c>
      <c r="K1179">
        <v>1.076762720246766</v>
      </c>
      <c r="L1179">
        <v>0</v>
      </c>
      <c r="M1179">
        <v>6.446745273077808E-4</v>
      </c>
      <c r="N1179">
        <v>7.1000355563570719E-2</v>
      </c>
      <c r="O1179">
        <v>8.9914715204144346E-3</v>
      </c>
      <c r="P1179">
        <v>1.2943456858993204E-2</v>
      </c>
      <c r="Q1179">
        <v>3.1184456851693059E-3</v>
      </c>
      <c r="R1179">
        <v>6.3354403287572329E-4</v>
      </c>
      <c r="S1179">
        <v>8.6204796104053308E-2</v>
      </c>
      <c r="T1179">
        <v>0.81324461624239508</v>
      </c>
      <c r="U1179">
        <v>1.7171357680054986E-2</v>
      </c>
      <c r="V1179">
        <v>1.041463364320698E-2</v>
      </c>
      <c r="W1179">
        <v>4.1521922843454802E-2</v>
      </c>
      <c r="X1179">
        <v>1.043849659013131E-2</v>
      </c>
      <c r="Y1179">
        <v>1.7242980097534105E-3</v>
      </c>
    </row>
    <row r="1180" spans="1:25">
      <c r="A1180" s="876"/>
      <c r="B1180" s="1202">
        <v>930</v>
      </c>
      <c r="C1180" s="880">
        <v>1.010971123474161</v>
      </c>
      <c r="D1180" s="880">
        <v>0.96899997726919518</v>
      </c>
      <c r="E1180" s="880">
        <v>1.0106928220101423</v>
      </c>
      <c r="F1180" s="880">
        <v>1.0200175806836047</v>
      </c>
      <c r="G1180" s="880">
        <v>1.0031563192162549</v>
      </c>
      <c r="H1180" s="880">
        <v>0.97865997130261861</v>
      </c>
      <c r="I1180" s="880">
        <v>0.99063182571325537</v>
      </c>
      <c r="K1180">
        <v>1.0716500015731303</v>
      </c>
      <c r="L1180">
        <v>0</v>
      </c>
      <c r="M1180">
        <v>6.6419392632613905E-4</v>
      </c>
      <c r="N1180">
        <v>6.8398935849104114E-2</v>
      </c>
      <c r="O1180">
        <v>8.8395997723428286E-3</v>
      </c>
      <c r="P1180">
        <v>1.2731657535355604E-2</v>
      </c>
      <c r="Q1180">
        <v>2.9967091254679882E-3</v>
      </c>
      <c r="R1180">
        <v>6.5275447759544092E-4</v>
      </c>
      <c r="S1180">
        <v>8.4322500745344781E-2</v>
      </c>
      <c r="T1180">
        <v>0.81497541376906479</v>
      </c>
      <c r="U1180">
        <v>1.6727113636875908E-2</v>
      </c>
      <c r="V1180">
        <v>1.0412079824535674E-2</v>
      </c>
      <c r="W1180">
        <v>4.0588187675083591E-2</v>
      </c>
      <c r="X1180">
        <v>9.8926605811252687E-3</v>
      </c>
      <c r="Y1180">
        <v>1.7765825075590816E-3</v>
      </c>
    </row>
    <row r="1181" spans="1:25">
      <c r="A1181" s="876"/>
      <c r="B1181" s="1202">
        <v>931</v>
      </c>
      <c r="C1181" s="880">
        <v>1.0013655190666382</v>
      </c>
      <c r="D1181" s="880">
        <v>1.0091915315839901</v>
      </c>
      <c r="E1181" s="880">
        <v>1.0092747331804273</v>
      </c>
      <c r="F1181" s="880">
        <v>1.0331755883708462</v>
      </c>
      <c r="G1181" s="880">
        <v>1.0153959217002935</v>
      </c>
      <c r="H1181" s="880">
        <v>0.9854040719556717</v>
      </c>
      <c r="I1181" s="880">
        <v>0.97639478550445247</v>
      </c>
      <c r="K1181">
        <v>1.069130000288171</v>
      </c>
      <c r="L1181">
        <v>0</v>
      </c>
      <c r="M1181">
        <v>6.6270880765080542E-4</v>
      </c>
      <c r="N1181">
        <v>6.7950390550452808E-2</v>
      </c>
      <c r="O1181">
        <v>8.7328618328031855E-3</v>
      </c>
      <c r="P1181">
        <v>1.2696478487179693E-2</v>
      </c>
      <c r="Q1181">
        <v>2.9653611283371557E-3</v>
      </c>
      <c r="R1181">
        <v>6.513390105525647E-4</v>
      </c>
      <c r="S1181">
        <v>8.2459250150990995E-2</v>
      </c>
      <c r="T1181">
        <v>0.8150894221996946</v>
      </c>
      <c r="U1181">
        <v>1.6887568569082141E-2</v>
      </c>
      <c r="V1181">
        <v>1.0413002229254575E-2</v>
      </c>
      <c r="W1181">
        <v>4.0360891536471509E-2</v>
      </c>
      <c r="X1181">
        <v>9.8134133281244269E-3</v>
      </c>
      <c r="Y1181">
        <v>1.7727300728769579E-3</v>
      </c>
    </row>
    <row r="1182" spans="1:25">
      <c r="A1182" s="876"/>
      <c r="B1182" s="1202">
        <v>932</v>
      </c>
      <c r="C1182" s="880">
        <v>1.0413908002276389</v>
      </c>
      <c r="D1182" s="880">
        <v>0.98934152700659628</v>
      </c>
      <c r="E1182" s="880">
        <v>0.99377346132599464</v>
      </c>
      <c r="F1182" s="880">
        <v>1.0109408602797025</v>
      </c>
      <c r="G1182" s="880">
        <v>0.98536592018061131</v>
      </c>
      <c r="H1182" s="880">
        <v>0.98218424885822442</v>
      </c>
      <c r="I1182" s="880">
        <v>0.97985807160924143</v>
      </c>
      <c r="K1182">
        <v>1.0618882262826586</v>
      </c>
      <c r="L1182">
        <v>0</v>
      </c>
      <c r="M1182">
        <v>6.6321003159861642E-4</v>
      </c>
      <c r="N1182">
        <v>6.4798438044581769E-2</v>
      </c>
      <c r="O1182">
        <v>8.4866544399052491E-3</v>
      </c>
      <c r="P1182">
        <v>1.2528675192109298E-2</v>
      </c>
      <c r="Q1182">
        <v>2.8330328444466581E-3</v>
      </c>
      <c r="R1182">
        <v>6.5181097958890084E-4</v>
      </c>
      <c r="S1182">
        <v>8.0253294674533446E-2</v>
      </c>
      <c r="T1182">
        <v>0.8163401191833084</v>
      </c>
      <c r="U1182">
        <v>1.6238504183305486E-2</v>
      </c>
      <c r="V1182">
        <v>1.0409270963134661E-2</v>
      </c>
      <c r="W1182">
        <v>3.8898679088014983E-2</v>
      </c>
      <c r="X1182">
        <v>9.3389421043190805E-3</v>
      </c>
      <c r="Y1182">
        <v>1.7740146170093136E-3</v>
      </c>
    </row>
    <row r="1183" spans="1:25">
      <c r="A1183" s="876"/>
      <c r="B1183" s="1202">
        <v>933</v>
      </c>
      <c r="C1183" s="880">
        <v>0.99563908705701376</v>
      </c>
      <c r="D1183" s="880">
        <v>0.99696359108229904</v>
      </c>
      <c r="E1183" s="880">
        <v>1.0103260254218658</v>
      </c>
      <c r="F1183" s="880">
        <v>0.97573356392201194</v>
      </c>
      <c r="G1183" s="880">
        <v>1.0088785301546721</v>
      </c>
      <c r="H1183" s="880">
        <v>0.9877893821416488</v>
      </c>
      <c r="I1183" s="880">
        <v>0.99813528843439414</v>
      </c>
      <c r="K1183">
        <v>1.074080430124349</v>
      </c>
      <c r="L1183">
        <v>0</v>
      </c>
      <c r="M1183">
        <v>6.7099033603869557E-4</v>
      </c>
      <c r="N1183">
        <v>6.9028741325652038E-2</v>
      </c>
      <c r="O1183">
        <v>8.8403556923965718E-3</v>
      </c>
      <c r="P1183">
        <v>1.2746738457821332E-2</v>
      </c>
      <c r="Q1183">
        <v>3.0022875458858658E-3</v>
      </c>
      <c r="R1183">
        <v>6.5951651694762063E-4</v>
      </c>
      <c r="S1183">
        <v>8.5381739167372295E-2</v>
      </c>
      <c r="T1183">
        <v>0.81500489612288829</v>
      </c>
      <c r="U1183">
        <v>1.6984697653783482E-2</v>
      </c>
      <c r="V1183">
        <v>1.0413560593680277E-2</v>
      </c>
      <c r="W1183">
        <v>4.097212335618694E-2</v>
      </c>
      <c r="X1183">
        <v>9.921777478201381E-3</v>
      </c>
      <c r="Y1183">
        <v>1.7949865495700418E-3</v>
      </c>
    </row>
    <row r="1184" spans="1:25">
      <c r="A1184" s="876"/>
      <c r="B1184" s="1202">
        <v>934</v>
      </c>
      <c r="C1184" s="880">
        <v>0.99268051548887948</v>
      </c>
      <c r="D1184" s="880">
        <v>0.98210342046442922</v>
      </c>
      <c r="E1184" s="880">
        <v>0.96030902517231354</v>
      </c>
      <c r="F1184" s="880">
        <v>0.99467723427129595</v>
      </c>
      <c r="G1184" s="880">
        <v>0.95837195031406763</v>
      </c>
      <c r="H1184" s="880">
        <v>0.99828559767644409</v>
      </c>
      <c r="I1184" s="880">
        <v>1.0074048819277859</v>
      </c>
      <c r="K1184">
        <v>1.0774665911297772</v>
      </c>
      <c r="L1184">
        <v>0</v>
      </c>
      <c r="M1184">
        <v>7.6157343726856259E-4</v>
      </c>
      <c r="N1184">
        <v>6.7059396502369806E-2</v>
      </c>
      <c r="O1184">
        <v>8.9380687872987804E-3</v>
      </c>
      <c r="P1184">
        <v>1.2355207480541341E-2</v>
      </c>
      <c r="Q1184">
        <v>2.8821906676904361E-3</v>
      </c>
      <c r="R1184">
        <v>7.4870185410888469E-4</v>
      </c>
      <c r="S1184">
        <v>8.7465566397617128E-2</v>
      </c>
      <c r="T1184">
        <v>0.81906791267065349</v>
      </c>
      <c r="U1184">
        <v>1.7035318616709403E-2</v>
      </c>
      <c r="V1184">
        <v>1.0413851597605408E-2</v>
      </c>
      <c r="W1184">
        <v>4.1203666047109545E-2</v>
      </c>
      <c r="X1184">
        <v>9.0205643079562838E-3</v>
      </c>
      <c r="Y1184">
        <v>2.0377196373845088E-3</v>
      </c>
    </row>
    <row r="1185" spans="1:25">
      <c r="A1185" s="876"/>
      <c r="B1185" s="1202">
        <v>935</v>
      </c>
      <c r="C1185" s="880">
        <v>1.008070270699239</v>
      </c>
      <c r="D1185" s="880">
        <v>0.96823395557474268</v>
      </c>
      <c r="E1185" s="880">
        <v>1.0143475662768562</v>
      </c>
      <c r="F1185" s="880">
        <v>1.0193116868326548</v>
      </c>
      <c r="G1185" s="880">
        <v>1.0306531180398586</v>
      </c>
      <c r="H1185" s="880">
        <v>1.0143125698532602</v>
      </c>
      <c r="I1185" s="880">
        <v>1.009326328386325</v>
      </c>
      <c r="K1185">
        <v>1.0796978318609067</v>
      </c>
      <c r="L1185">
        <v>0</v>
      </c>
      <c r="M1185">
        <v>6.8535734109948323E-4</v>
      </c>
      <c r="N1185">
        <v>7.1428721270199266E-2</v>
      </c>
      <c r="O1185">
        <v>8.8687877169075034E-3</v>
      </c>
      <c r="P1185">
        <v>1.2806430964931914E-2</v>
      </c>
      <c r="Q1185">
        <v>3.0174125833204867E-3</v>
      </c>
      <c r="R1185">
        <v>6.7396896731052806E-4</v>
      </c>
      <c r="S1185">
        <v>8.7493515906955699E-2</v>
      </c>
      <c r="T1185">
        <v>0.81468190317521572</v>
      </c>
      <c r="U1185">
        <v>1.6775248072956737E-2</v>
      </c>
      <c r="V1185">
        <v>1.0412356534203443E-2</v>
      </c>
      <c r="W1185">
        <v>4.2281128978550415E-2</v>
      </c>
      <c r="X1185">
        <v>1.0109393676244314E-2</v>
      </c>
      <c r="Y1185">
        <v>1.8343213552088947E-3</v>
      </c>
    </row>
    <row r="1186" spans="1:25">
      <c r="A1186" s="876"/>
      <c r="B1186" s="1202">
        <v>936</v>
      </c>
      <c r="C1186" s="880">
        <v>0.99587531734579415</v>
      </c>
      <c r="D1186" s="880">
        <v>1.0039170286226564</v>
      </c>
      <c r="E1186" s="880">
        <v>0.99590067315869812</v>
      </c>
      <c r="F1186" s="880">
        <v>1.0250850198741848</v>
      </c>
      <c r="G1186" s="880">
        <v>0.9828069636896466</v>
      </c>
      <c r="H1186" s="880">
        <v>1.0179656777063808</v>
      </c>
      <c r="I1186" s="880">
        <v>1.0297979171363953</v>
      </c>
      <c r="K1186">
        <v>1.080231061693355</v>
      </c>
      <c r="L1186">
        <v>0</v>
      </c>
      <c r="M1186">
        <v>7.1002866387308045E-4</v>
      </c>
      <c r="N1186">
        <v>6.9875285075997662E-2</v>
      </c>
      <c r="O1186">
        <v>8.8055623324647427E-3</v>
      </c>
      <c r="P1186">
        <v>1.2673859734066324E-2</v>
      </c>
      <c r="Q1186">
        <v>2.949025772574893E-3</v>
      </c>
      <c r="R1186">
        <v>6.9824119832165071E-4</v>
      </c>
      <c r="S1186">
        <v>8.8878411826620998E-2</v>
      </c>
      <c r="T1186">
        <v>0.8161680049944493</v>
      </c>
      <c r="U1186">
        <v>1.6980668735743505E-2</v>
      </c>
      <c r="V1186">
        <v>1.0413537432703146E-2</v>
      </c>
      <c r="W1186">
        <v>4.1885094333029255E-2</v>
      </c>
      <c r="X1186">
        <v>9.7130165545744451E-3</v>
      </c>
      <c r="Y1186">
        <v>1.9003823666823676E-3</v>
      </c>
    </row>
    <row r="1187" spans="1:25">
      <c r="A1187" s="876"/>
      <c r="B1187" s="1202">
        <v>937</v>
      </c>
      <c r="C1187" s="880">
        <v>1.0198076050169582</v>
      </c>
      <c r="D1187" s="880">
        <v>0.96830089085843063</v>
      </c>
      <c r="E1187" s="880">
        <v>0.96738298211500895</v>
      </c>
      <c r="F1187" s="880">
        <v>1.0012841525201834</v>
      </c>
      <c r="G1187" s="880">
        <v>1.0157259431983878</v>
      </c>
      <c r="H1187" s="880">
        <v>1.0110453525442296</v>
      </c>
      <c r="I1187" s="880">
        <v>1.0101020485560133</v>
      </c>
      <c r="K1187">
        <v>1.075133478706555</v>
      </c>
      <c r="L1187">
        <v>0</v>
      </c>
      <c r="M1187">
        <v>7.4535662404047584E-4</v>
      </c>
      <c r="N1187">
        <v>6.7111583477898917E-2</v>
      </c>
      <c r="O1187">
        <v>8.7663894642128985E-3</v>
      </c>
      <c r="P1187">
        <v>1.2395309266578645E-2</v>
      </c>
      <c r="Q1187">
        <v>2.8443724697870335E-3</v>
      </c>
      <c r="R1187">
        <v>7.3293117291884854E-4</v>
      </c>
      <c r="S1187">
        <v>8.643229028671949E-2</v>
      </c>
      <c r="T1187">
        <v>0.81848813853454583</v>
      </c>
      <c r="U1187">
        <v>1.6582175679765769E-2</v>
      </c>
      <c r="V1187">
        <v>1.0411246622004903E-2</v>
      </c>
      <c r="W1187">
        <v>4.1031517132421827E-2</v>
      </c>
      <c r="X1187">
        <v>9.0880841817516846E-3</v>
      </c>
      <c r="Y1187">
        <v>1.994797041988888E-3</v>
      </c>
    </row>
    <row r="1188" spans="1:25">
      <c r="A1188" s="876"/>
      <c r="B1188" s="1202">
        <v>938</v>
      </c>
      <c r="C1188" s="880">
        <v>0.99349046333612689</v>
      </c>
      <c r="D1188" s="880">
        <v>0.96430725494533576</v>
      </c>
      <c r="E1188" s="880">
        <v>1.0192339568493813</v>
      </c>
      <c r="F1188" s="880">
        <v>0.98497425881140033</v>
      </c>
      <c r="G1188" s="880">
        <v>1.0236693551098035</v>
      </c>
      <c r="H1188" s="880">
        <v>1.0324401479822332</v>
      </c>
      <c r="I1188" s="880">
        <v>0.98141250259757129</v>
      </c>
      <c r="K1188">
        <v>1.0842168447635494</v>
      </c>
      <c r="L1188">
        <v>0</v>
      </c>
      <c r="M1188">
        <v>7.0209953769247288E-4</v>
      </c>
      <c r="N1188">
        <v>7.4315515461619408E-2</v>
      </c>
      <c r="O1188">
        <v>9.0185269258962111E-3</v>
      </c>
      <c r="P1188">
        <v>1.2845818071821577E-2</v>
      </c>
      <c r="Q1188">
        <v>3.082376577766251E-3</v>
      </c>
      <c r="R1188">
        <v>6.9064127635550486E-4</v>
      </c>
      <c r="S1188">
        <v>8.7150738206089123E-2</v>
      </c>
      <c r="T1188">
        <v>0.81429019057046792</v>
      </c>
      <c r="U1188">
        <v>1.7021430491810374E-2</v>
      </c>
      <c r="V1188">
        <v>1.0413771759162487E-2</v>
      </c>
      <c r="W1188">
        <v>4.3844793477462354E-2</v>
      </c>
      <c r="X1188">
        <v>1.0365443598386584E-2</v>
      </c>
      <c r="Y1188">
        <v>1.8796978844041214E-3</v>
      </c>
    </row>
    <row r="1189" spans="1:25">
      <c r="A1189" s="876"/>
      <c r="B1189" s="1202">
        <v>939</v>
      </c>
      <c r="C1189" s="880">
        <v>1.0251717747376032</v>
      </c>
      <c r="D1189" s="880">
        <v>1.0035048068835912</v>
      </c>
      <c r="E1189" s="880">
        <v>1.0102007504205937</v>
      </c>
      <c r="F1189" s="880">
        <v>1.0320977620540914</v>
      </c>
      <c r="G1189" s="880">
        <v>0.99455951265196674</v>
      </c>
      <c r="H1189" s="880">
        <v>0.99616870441664629</v>
      </c>
      <c r="I1189" s="880">
        <v>0.98567689530571101</v>
      </c>
      <c r="K1189">
        <v>1.0668417488382864</v>
      </c>
      <c r="L1189">
        <v>0</v>
      </c>
      <c r="M1189">
        <v>6.5507935416812151E-4</v>
      </c>
      <c r="N1189">
        <v>6.7374944088756314E-2</v>
      </c>
      <c r="O1189">
        <v>8.555797668993715E-3</v>
      </c>
      <c r="P1189">
        <v>1.2691164189677976E-2</v>
      </c>
      <c r="Q1189">
        <v>2.9067038383147432E-3</v>
      </c>
      <c r="R1189">
        <v>6.4396649955243907E-4</v>
      </c>
      <c r="S1189">
        <v>8.1908397379402656E-2</v>
      </c>
      <c r="T1189">
        <v>0.81501496651851413</v>
      </c>
      <c r="U1189">
        <v>1.6495410118251348E-2</v>
      </c>
      <c r="V1189">
        <v>1.041074783420025E-2</v>
      </c>
      <c r="W1189">
        <v>3.9993912895755407E-2</v>
      </c>
      <c r="X1189">
        <v>9.7481526327540934E-3</v>
      </c>
      <c r="Y1189">
        <v>1.7526645282822143E-3</v>
      </c>
    </row>
    <row r="1190" spans="1:25">
      <c r="A1190" s="876"/>
      <c r="B1190" s="1202">
        <v>940</v>
      </c>
      <c r="C1190" s="880">
        <v>1.0098240719670148</v>
      </c>
      <c r="D1190" s="880">
        <v>1.0185470346242509</v>
      </c>
      <c r="E1190" s="880">
        <v>0.99126615093219672</v>
      </c>
      <c r="F1190" s="880">
        <v>1.0123821702936409</v>
      </c>
      <c r="G1190" s="880">
        <v>0.99740785737579418</v>
      </c>
      <c r="H1190" s="880">
        <v>0.99466351179845325</v>
      </c>
      <c r="I1190" s="880">
        <v>0.98902726445662004</v>
      </c>
      <c r="K1190">
        <v>1.0682045292306035</v>
      </c>
      <c r="L1190">
        <v>0</v>
      </c>
      <c r="M1190">
        <v>6.8560417654389748E-4</v>
      </c>
      <c r="N1190">
        <v>6.6477790116152319E-2</v>
      </c>
      <c r="O1190">
        <v>8.6172608292377773E-3</v>
      </c>
      <c r="P1190">
        <v>1.2548854545433539E-2</v>
      </c>
      <c r="Q1190">
        <v>2.875592727298884E-3</v>
      </c>
      <c r="R1190">
        <v>6.7394322196458547E-4</v>
      </c>
      <c r="S1190">
        <v>8.276847782873735E-2</v>
      </c>
      <c r="T1190">
        <v>0.81654318457377018</v>
      </c>
      <c r="U1190">
        <v>1.6746113838435769E-2</v>
      </c>
      <c r="V1190">
        <v>1.0412189050692432E-2</v>
      </c>
      <c r="W1190">
        <v>3.9975681293069977E-2</v>
      </c>
      <c r="X1190">
        <v>9.4167940974902529E-3</v>
      </c>
      <c r="Y1190">
        <v>1.8342512848641892E-3</v>
      </c>
    </row>
    <row r="1191" spans="1:25">
      <c r="A1191" s="876"/>
      <c r="B1191" s="1202">
        <v>941</v>
      </c>
      <c r="C1191" s="880">
        <v>1.0242549420418021</v>
      </c>
      <c r="D1191" s="880">
        <v>1.0197625874503149</v>
      </c>
      <c r="E1191" s="880">
        <v>1.0030585530509342</v>
      </c>
      <c r="F1191" s="880">
        <v>0.99788708745579036</v>
      </c>
      <c r="G1191" s="880">
        <v>1.0303486159276058</v>
      </c>
      <c r="H1191" s="880">
        <v>1.003175743684904</v>
      </c>
      <c r="I1191" s="880">
        <v>1.042027723534003</v>
      </c>
      <c r="K1191">
        <v>1.0709071005719553</v>
      </c>
      <c r="L1191">
        <v>0</v>
      </c>
      <c r="M1191">
        <v>6.6459390521217941E-4</v>
      </c>
      <c r="N1191">
        <v>6.6858880717061586E-2</v>
      </c>
      <c r="O1191">
        <v>8.4904588807709572E-3</v>
      </c>
      <c r="P1191">
        <v>1.2691234355386874E-2</v>
      </c>
      <c r="Q1191">
        <v>2.8673696299077412E-3</v>
      </c>
      <c r="R1191">
        <v>6.5338524018963373E-4</v>
      </c>
      <c r="S1191">
        <v>8.6230766060618802E-2</v>
      </c>
      <c r="T1191">
        <v>0.8155899845074186</v>
      </c>
      <c r="U1191">
        <v>1.6510175515718668E-2</v>
      </c>
      <c r="V1191">
        <v>1.0410832715806048E-2</v>
      </c>
      <c r="W1191">
        <v>3.9881104764949493E-2</v>
      </c>
      <c r="X1191">
        <v>9.6092028539276723E-3</v>
      </c>
      <c r="Y1191">
        <v>1.7782992354096411E-3</v>
      </c>
    </row>
    <row r="1192" spans="1:25">
      <c r="A1192" s="876"/>
      <c r="B1192" s="1202">
        <v>942</v>
      </c>
      <c r="C1192" s="880">
        <v>1.0314335353751574</v>
      </c>
      <c r="D1192" s="880">
        <v>0.99803625656719608</v>
      </c>
      <c r="E1192" s="880">
        <v>1.0005709419790403</v>
      </c>
      <c r="F1192" s="880">
        <v>1.0155435885553457</v>
      </c>
      <c r="G1192" s="880">
        <v>1.0117972562413728</v>
      </c>
      <c r="H1192" s="880">
        <v>0.98501943330921005</v>
      </c>
      <c r="I1192" s="880">
        <v>0.96457079242249411</v>
      </c>
      <c r="K1192">
        <v>1.0623841647567374</v>
      </c>
      <c r="L1192">
        <v>0</v>
      </c>
      <c r="M1192">
        <v>6.5892854167267766E-4</v>
      </c>
      <c r="N1192">
        <v>6.5758971429629887E-2</v>
      </c>
      <c r="O1192">
        <v>8.5286702506678531E-3</v>
      </c>
      <c r="P1192">
        <v>1.2577137325086522E-2</v>
      </c>
      <c r="Q1192">
        <v>2.868488233713236E-3</v>
      </c>
      <c r="R1192">
        <v>6.4762839873430515E-4</v>
      </c>
      <c r="S1192">
        <v>7.9511813426311945E-2</v>
      </c>
      <c r="T1192">
        <v>0.81579066927449218</v>
      </c>
      <c r="U1192">
        <v>1.6395267640586818E-2</v>
      </c>
      <c r="V1192">
        <v>1.0410172146730328E-2</v>
      </c>
      <c r="W1192">
        <v>3.9291750536962322E-2</v>
      </c>
      <c r="X1192">
        <v>9.49989362478342E-3</v>
      </c>
      <c r="Y1192">
        <v>1.762631010710513E-3</v>
      </c>
    </row>
    <row r="1193" spans="1:25">
      <c r="A1193" s="876"/>
      <c r="B1193" s="1202">
        <v>943</v>
      </c>
      <c r="C1193" s="880">
        <v>1.0054768084595216</v>
      </c>
      <c r="D1193" s="880">
        <v>0.99648220178449765</v>
      </c>
      <c r="E1193" s="880">
        <v>0.99291510760290902</v>
      </c>
      <c r="F1193" s="880">
        <v>1.0035163367167201</v>
      </c>
      <c r="G1193" s="880">
        <v>0.96954668607633065</v>
      </c>
      <c r="H1193" s="880">
        <v>1.0167062978082484</v>
      </c>
      <c r="I1193" s="880">
        <v>0.98211909534851582</v>
      </c>
      <c r="K1193">
        <v>1.0743519016070167</v>
      </c>
      <c r="L1193">
        <v>0</v>
      </c>
      <c r="M1193">
        <v>7.0960523283135932E-4</v>
      </c>
      <c r="N1193">
        <v>6.9186898157692078E-2</v>
      </c>
      <c r="O1193">
        <v>8.7561160352115346E-3</v>
      </c>
      <c r="P1193">
        <v>1.2583331672266451E-2</v>
      </c>
      <c r="Q1193">
        <v>2.9220288928831668E-3</v>
      </c>
      <c r="R1193">
        <v>6.9781664025640993E-4</v>
      </c>
      <c r="S1193">
        <v>8.4221507597666001E-2</v>
      </c>
      <c r="T1193">
        <v>0.8164096126664141</v>
      </c>
      <c r="U1193">
        <v>1.6818517069390113E-2</v>
      </c>
      <c r="V1193">
        <v>1.0412605273995616E-2</v>
      </c>
      <c r="W1193">
        <v>4.1557597871259726E-2</v>
      </c>
      <c r="X1193">
        <v>9.5962481032287137E-3</v>
      </c>
      <c r="Y1193">
        <v>1.8992268595843102E-3</v>
      </c>
    </row>
    <row r="1194" spans="1:25">
      <c r="A1194" s="876"/>
      <c r="B1194" s="1202">
        <v>944</v>
      </c>
      <c r="C1194" s="880">
        <v>0.96457022109759782</v>
      </c>
      <c r="D1194" s="880">
        <v>1.0224150936200493</v>
      </c>
      <c r="E1194" s="880">
        <v>1.0226302719132305</v>
      </c>
      <c r="F1194" s="880">
        <v>0.97671555258685083</v>
      </c>
      <c r="G1194" s="880">
        <v>0.99483328293209261</v>
      </c>
      <c r="H1194" s="880">
        <v>0.9764260560937571</v>
      </c>
      <c r="I1194" s="880">
        <v>1.023455974498801</v>
      </c>
      <c r="K1194">
        <v>1.0795378266276701</v>
      </c>
      <c r="L1194">
        <v>0</v>
      </c>
      <c r="M1194">
        <v>6.5820091877458057E-4</v>
      </c>
      <c r="N1194">
        <v>7.0335503865633336E-2</v>
      </c>
      <c r="O1194">
        <v>9.0033670351419067E-3</v>
      </c>
      <c r="P1194">
        <v>1.290429737913865E-2</v>
      </c>
      <c r="Q1194">
        <v>3.1011625857955121E-3</v>
      </c>
      <c r="R1194">
        <v>6.4679380493673294E-4</v>
      </c>
      <c r="S1194">
        <v>8.8815557918614507E-2</v>
      </c>
      <c r="T1194">
        <v>0.81401840781013945</v>
      </c>
      <c r="U1194">
        <v>1.7531775806544744E-2</v>
      </c>
      <c r="V1194">
        <v>1.0416705573163156E-2</v>
      </c>
      <c r="W1194">
        <v>4.1401729395006505E-2</v>
      </c>
      <c r="X1194">
        <v>1.0260366850812172E-2</v>
      </c>
      <c r="Y1194">
        <v>1.7603595215172924E-3</v>
      </c>
    </row>
    <row r="1195" spans="1:25">
      <c r="A1195" s="876"/>
      <c r="B1195" s="1202">
        <v>945</v>
      </c>
      <c r="C1195" s="880">
        <v>0.97420826910409719</v>
      </c>
      <c r="D1195" s="880">
        <v>0.99064526204705339</v>
      </c>
      <c r="E1195" s="880">
        <v>0.99850180642864916</v>
      </c>
      <c r="F1195" s="880">
        <v>1.0173444560499496</v>
      </c>
      <c r="G1195" s="880">
        <v>1.0092248666083643</v>
      </c>
      <c r="H1195" s="880">
        <v>0.98873848385037599</v>
      </c>
      <c r="I1195" s="880">
        <v>1.0157787546259693</v>
      </c>
      <c r="K1195">
        <v>1.0812995195108603</v>
      </c>
      <c r="L1195">
        <v>0</v>
      </c>
      <c r="M1195">
        <v>7.06114287144124E-4</v>
      </c>
      <c r="N1195">
        <v>7.0021036913701304E-2</v>
      </c>
      <c r="O1195">
        <v>9.0655291921797835E-3</v>
      </c>
      <c r="P1195">
        <v>1.2704170768666256E-2</v>
      </c>
      <c r="Q1195">
        <v>3.0410230008631519E-3</v>
      </c>
      <c r="R1195">
        <v>6.9405709023110903E-4</v>
      </c>
      <c r="S1195">
        <v>8.9119761503330577E-2</v>
      </c>
      <c r="T1195">
        <v>0.8159577542751576</v>
      </c>
      <c r="U1195">
        <v>1.7358330248524564E-2</v>
      </c>
      <c r="V1195">
        <v>1.041570848944009E-2</v>
      </c>
      <c r="W1195">
        <v>4.1897679670638739E-2</v>
      </c>
      <c r="X1195">
        <v>9.8415880415184519E-3</v>
      </c>
      <c r="Y1195">
        <v>1.8889946037507742E-3</v>
      </c>
    </row>
    <row r="1196" spans="1:25">
      <c r="A1196" s="876"/>
      <c r="B1196" s="1202">
        <v>946</v>
      </c>
      <c r="C1196" s="880">
        <v>0.96879591636068862</v>
      </c>
      <c r="D1196" s="880">
        <v>1.0228549882152205</v>
      </c>
      <c r="E1196" s="880">
        <v>1.0010578757981714</v>
      </c>
      <c r="F1196" s="880">
        <v>1.0036676437047409</v>
      </c>
      <c r="G1196" s="880">
        <v>1.0203952209009231</v>
      </c>
      <c r="H1196" s="880">
        <v>1.011373914261128</v>
      </c>
      <c r="I1196" s="880">
        <v>0.99328338744212608</v>
      </c>
      <c r="K1196">
        <v>1.0805879397335287</v>
      </c>
      <c r="L1196">
        <v>0</v>
      </c>
      <c r="M1196">
        <v>7.1023005916334974E-4</v>
      </c>
      <c r="N1196">
        <v>7.1016256582697557E-2</v>
      </c>
      <c r="O1196">
        <v>8.9620444821576634E-3</v>
      </c>
      <c r="P1196">
        <v>1.2698951321285179E-2</v>
      </c>
      <c r="Q1196">
        <v>3.0212352877411379E-3</v>
      </c>
      <c r="R1196">
        <v>6.9834619887209183E-4</v>
      </c>
      <c r="S1196">
        <v>8.7068700501622312E-2</v>
      </c>
      <c r="T1196">
        <v>0.81575136997091235</v>
      </c>
      <c r="U1196">
        <v>1.7455305684480657E-2</v>
      </c>
      <c r="V1196">
        <v>1.0416265970587665E-2</v>
      </c>
      <c r="W1196">
        <v>4.2418912130714866E-2</v>
      </c>
      <c r="X1196">
        <v>9.8901135180530907E-3</v>
      </c>
      <c r="Y1196">
        <v>1.9006681435672463E-3</v>
      </c>
    </row>
    <row r="1197" spans="1:25">
      <c r="A1197" s="876"/>
      <c r="B1197" s="1202">
        <v>947</v>
      </c>
      <c r="C1197" s="880">
        <v>1.002238364650617</v>
      </c>
      <c r="D1197" s="880">
        <v>1.0352089437045229</v>
      </c>
      <c r="E1197" s="880">
        <v>0.97404898246104921</v>
      </c>
      <c r="F1197" s="880">
        <v>0.99681834182265616</v>
      </c>
      <c r="G1197" s="880">
        <v>1.0269037094975697</v>
      </c>
      <c r="H1197" s="880">
        <v>0.98601872368201771</v>
      </c>
      <c r="I1197" s="880">
        <v>1.0079812654102722</v>
      </c>
      <c r="K1197">
        <v>1.0680667200334732</v>
      </c>
      <c r="L1197">
        <v>0</v>
      </c>
      <c r="M1197">
        <v>7.0391699608662091E-4</v>
      </c>
      <c r="N1197">
        <v>6.4678069163069757E-2</v>
      </c>
      <c r="O1197">
        <v>8.6078660375061376E-3</v>
      </c>
      <c r="P1197">
        <v>1.2422997777752348E-2</v>
      </c>
      <c r="Q1197">
        <v>2.8260850003898898E-3</v>
      </c>
      <c r="R1197">
        <v>6.9182537163969663E-4</v>
      </c>
      <c r="S1197">
        <v>8.4005910773093023E-2</v>
      </c>
      <c r="T1197">
        <v>0.81794334459927631</v>
      </c>
      <c r="U1197">
        <v>1.6872861249776126E-2</v>
      </c>
      <c r="V1197">
        <v>1.0412917681521808E-2</v>
      </c>
      <c r="W1197">
        <v>3.936000655419318E-2</v>
      </c>
      <c r="X1197">
        <v>9.0658322199097165E-3</v>
      </c>
      <c r="Y1197">
        <v>1.8829206014307853E-3</v>
      </c>
    </row>
    <row r="1198" spans="1:25">
      <c r="A1198" s="876"/>
      <c r="B1198" s="1202">
        <v>948</v>
      </c>
      <c r="C1198" s="880">
        <v>0.99852929531140444</v>
      </c>
      <c r="D1198" s="880">
        <v>0.99972016086671389</v>
      </c>
      <c r="E1198" s="880">
        <v>0.96118787410238882</v>
      </c>
      <c r="F1198" s="880">
        <v>1.0001316886656273</v>
      </c>
      <c r="G1198" s="880">
        <v>0.9991889339197837</v>
      </c>
      <c r="H1198" s="880">
        <v>0.99406825952739641</v>
      </c>
      <c r="I1198" s="880">
        <v>0.98030212172752251</v>
      </c>
      <c r="K1198">
        <v>1.0711681816812804</v>
      </c>
      <c r="L1198">
        <v>0</v>
      </c>
      <c r="M1198">
        <v>7.4543844284648503E-4</v>
      </c>
      <c r="N1198">
        <v>6.5812598107386142E-2</v>
      </c>
      <c r="O1198">
        <v>8.8017959523690025E-3</v>
      </c>
      <c r="P1198">
        <v>1.231168145280279E-2</v>
      </c>
      <c r="Q1198">
        <v>2.8446014721145011E-3</v>
      </c>
      <c r="R1198">
        <v>7.327695173954484E-4</v>
      </c>
      <c r="S1198">
        <v>8.3719077894159846E-2</v>
      </c>
      <c r="T1198">
        <v>0.81899579142077372</v>
      </c>
      <c r="U1198">
        <v>1.6935536038207636E-2</v>
      </c>
      <c r="V1198">
        <v>1.0413277979082048E-2</v>
      </c>
      <c r="W1198">
        <v>4.0412600412610702E-2</v>
      </c>
      <c r="X1198">
        <v>8.9395328082813551E-3</v>
      </c>
      <c r="Y1198">
        <v>1.9943570689439213E-3</v>
      </c>
    </row>
    <row r="1199" spans="1:25">
      <c r="A1199" s="876"/>
      <c r="B1199" s="1202">
        <v>949</v>
      </c>
      <c r="C1199" s="880">
        <v>0.97472541507431298</v>
      </c>
      <c r="D1199" s="880">
        <v>0.98338483020851131</v>
      </c>
      <c r="E1199" s="880">
        <v>0.99858116146950648</v>
      </c>
      <c r="F1199" s="880">
        <v>0.99137226650863886</v>
      </c>
      <c r="G1199" s="880">
        <v>1.000376806924959</v>
      </c>
      <c r="H1199" s="880">
        <v>1.0339774884147237</v>
      </c>
      <c r="I1199" s="880">
        <v>0.98964976506011382</v>
      </c>
      <c r="K1199">
        <v>1.0868153140337573</v>
      </c>
      <c r="L1199">
        <v>0</v>
      </c>
      <c r="M1199">
        <v>7.4080395235169604E-4</v>
      </c>
      <c r="N1199">
        <v>7.3535651462017626E-2</v>
      </c>
      <c r="O1199">
        <v>9.0963763169099477E-3</v>
      </c>
      <c r="P1199">
        <v>1.2699767521152277E-2</v>
      </c>
      <c r="Q1199">
        <v>3.0499285839034433E-3</v>
      </c>
      <c r="R1199">
        <v>7.2871443152727809E-4</v>
      </c>
      <c r="S1199">
        <v>8.8757156831806711E-2</v>
      </c>
      <c r="T1199">
        <v>0.81595134358513211</v>
      </c>
      <c r="U1199">
        <v>1.7349120690223419E-2</v>
      </c>
      <c r="V1199">
        <v>1.0415655546598625E-2</v>
      </c>
      <c r="W1199">
        <v>4.3998287494644912E-2</v>
      </c>
      <c r="X1199">
        <v>9.9907950602229484E-3</v>
      </c>
      <c r="Y1199">
        <v>1.983320461969459E-3</v>
      </c>
    </row>
    <row r="1200" spans="1:25">
      <c r="A1200" s="876"/>
      <c r="B1200" s="1202">
        <v>950</v>
      </c>
      <c r="C1200" s="880">
        <v>0.97847918245121901</v>
      </c>
      <c r="D1200" s="880">
        <v>0.98416754835727971</v>
      </c>
      <c r="E1200" s="880">
        <v>0.99878204942197701</v>
      </c>
      <c r="F1200" s="880">
        <v>1.0270589693154517</v>
      </c>
      <c r="G1200" s="880">
        <v>1.0050604026339247</v>
      </c>
      <c r="H1200" s="880">
        <v>0.98666450449567111</v>
      </c>
      <c r="I1200" s="880">
        <v>0.99857960676369817</v>
      </c>
      <c r="K1200">
        <v>1.0791526788164523</v>
      </c>
      <c r="L1200">
        <v>0</v>
      </c>
      <c r="M1200">
        <v>7.0359801515437206E-4</v>
      </c>
      <c r="N1200">
        <v>6.9830416425448419E-2</v>
      </c>
      <c r="O1200">
        <v>9.0576298229720197E-3</v>
      </c>
      <c r="P1200">
        <v>1.2682552528106449E-2</v>
      </c>
      <c r="Q1200">
        <v>3.0377328000306585E-3</v>
      </c>
      <c r="R1200">
        <v>6.915643607694835E-4</v>
      </c>
      <c r="S1200">
        <v>8.74378896714985E-2</v>
      </c>
      <c r="T1200">
        <v>0.8159351158256466</v>
      </c>
      <c r="U1200">
        <v>1.7282563767569401E-2</v>
      </c>
      <c r="V1200">
        <v>1.0415272931875044E-2</v>
      </c>
      <c r="W1200">
        <v>4.1775601290906801E-2</v>
      </c>
      <c r="X1200">
        <v>9.8277271908996898E-3</v>
      </c>
      <c r="Y1200">
        <v>1.8822102158842762E-3</v>
      </c>
    </row>
    <row r="1201" spans="1:25">
      <c r="A1201" s="876"/>
      <c r="B1201" s="1202">
        <v>951</v>
      </c>
      <c r="C1201" s="880">
        <v>0.98670093958268645</v>
      </c>
      <c r="D1201" s="880">
        <v>1.0036441344554361</v>
      </c>
      <c r="E1201" s="880">
        <v>1.0394130364174863</v>
      </c>
      <c r="F1201" s="880">
        <v>0.98584160214997651</v>
      </c>
      <c r="G1201" s="880">
        <v>1.0168965211336551</v>
      </c>
      <c r="H1201" s="880">
        <v>1.0005457314596591</v>
      </c>
      <c r="I1201" s="880">
        <v>0.98947224416626067</v>
      </c>
      <c r="K1201">
        <v>1.0776104765433381</v>
      </c>
      <c r="L1201">
        <v>0</v>
      </c>
      <c r="M1201">
        <v>6.4262685967771279E-4</v>
      </c>
      <c r="N1201">
        <v>7.2375828760217198E-2</v>
      </c>
      <c r="O1201">
        <v>8.8887248482144091E-3</v>
      </c>
      <c r="P1201">
        <v>1.2992838981593618E-2</v>
      </c>
      <c r="Q1201">
        <v>3.108590947667504E-3</v>
      </c>
      <c r="R1201">
        <v>6.3177283099409229E-4</v>
      </c>
      <c r="S1201">
        <v>8.5580367017339357E-2</v>
      </c>
      <c r="T1201">
        <v>0.81268118209220219</v>
      </c>
      <c r="U1201">
        <v>1.7138555551699918E-2</v>
      </c>
      <c r="V1201">
        <v>1.0414445074132977E-2</v>
      </c>
      <c r="W1201">
        <v>4.2126618271474979E-2</v>
      </c>
      <c r="X1201">
        <v>1.0594701645371482E-2</v>
      </c>
      <c r="Y1201">
        <v>1.7194773821081542E-3</v>
      </c>
    </row>
    <row r="1202" spans="1:25">
      <c r="A1202" s="876"/>
      <c r="B1202" s="1202">
        <v>952</v>
      </c>
      <c r="C1202" s="880">
        <v>0.99450559755388135</v>
      </c>
      <c r="D1202" s="880">
        <v>0.9894375053487694</v>
      </c>
      <c r="E1202" s="880">
        <v>1.0133795302850395</v>
      </c>
      <c r="F1202" s="880">
        <v>0.98127819260415039</v>
      </c>
      <c r="G1202" s="880">
        <v>1.0134904375989728</v>
      </c>
      <c r="H1202" s="880">
        <v>0.96110646457061255</v>
      </c>
      <c r="I1202" s="880">
        <v>0.98212471262284107</v>
      </c>
      <c r="K1202">
        <v>1.0697453437377897</v>
      </c>
      <c r="L1202">
        <v>0</v>
      </c>
      <c r="M1202">
        <v>6.5203700015530682E-4</v>
      </c>
      <c r="N1202">
        <v>6.7686575067743962E-2</v>
      </c>
      <c r="O1202">
        <v>8.8862910693749374E-3</v>
      </c>
      <c r="P1202">
        <v>1.2746191357029717E-2</v>
      </c>
      <c r="Q1202">
        <v>3.0253863216269396E-3</v>
      </c>
      <c r="R1202">
        <v>6.4058412665596591E-4</v>
      </c>
      <c r="S1202">
        <v>8.3478642409974976E-2</v>
      </c>
      <c r="T1202">
        <v>0.81475960135286596</v>
      </c>
      <c r="U1202">
        <v>1.7004055992793136E-2</v>
      </c>
      <c r="V1202">
        <v>1.0413671878656109E-2</v>
      </c>
      <c r="W1202">
        <v>4.0092315278221803E-2</v>
      </c>
      <c r="X1202">
        <v>9.9206070587434317E-3</v>
      </c>
      <c r="Y1202">
        <v>1.7434588242569394E-3</v>
      </c>
    </row>
    <row r="1203" spans="1:25">
      <c r="A1203" s="876"/>
      <c r="B1203" s="1202">
        <v>953</v>
      </c>
      <c r="C1203" s="880">
        <v>1.0277602045022314</v>
      </c>
      <c r="D1203" s="880">
        <v>1.0075066726697495</v>
      </c>
      <c r="E1203" s="880">
        <v>1.0410532225503715</v>
      </c>
      <c r="F1203" s="880">
        <v>1.0249408206813266</v>
      </c>
      <c r="G1203" s="880">
        <v>1.0083478506506571</v>
      </c>
      <c r="H1203" s="880">
        <v>1.0155384755857928</v>
      </c>
      <c r="I1203" s="880">
        <v>0.9978284516223398</v>
      </c>
      <c r="K1203">
        <v>1.0706695951388718</v>
      </c>
      <c r="L1203">
        <v>0</v>
      </c>
      <c r="M1203">
        <v>6.2275301749389032E-4</v>
      </c>
      <c r="N1203">
        <v>7.0512826188644975E-2</v>
      </c>
      <c r="O1203">
        <v>8.5161654863408071E-3</v>
      </c>
      <c r="P1203">
        <v>1.2963431400287257E-2</v>
      </c>
      <c r="Q1203">
        <v>2.9839588983138505E-3</v>
      </c>
      <c r="R1203">
        <v>6.1238702976959048E-4</v>
      </c>
      <c r="S1203">
        <v>8.3215370288351381E-2</v>
      </c>
      <c r="T1203">
        <v>0.81255101058710355</v>
      </c>
      <c r="U1203">
        <v>1.6453866176052805E-2</v>
      </c>
      <c r="V1203">
        <v>1.0410509011199942E-2</v>
      </c>
      <c r="W1203">
        <v>4.0997483074432295E-2</v>
      </c>
      <c r="X1203">
        <v>1.040862439416607E-2</v>
      </c>
      <c r="Y1203">
        <v>1.6667156217027163E-3</v>
      </c>
    </row>
    <row r="1204" spans="1:25">
      <c r="A1204" s="876"/>
      <c r="B1204" s="1202">
        <v>954</v>
      </c>
      <c r="C1204" s="880">
        <v>1.0213291198870458</v>
      </c>
      <c r="D1204" s="880">
        <v>0.98081907160111115</v>
      </c>
      <c r="E1204" s="880">
        <v>1.025897120746021</v>
      </c>
      <c r="F1204" s="880">
        <v>0.99838271248907962</v>
      </c>
      <c r="G1204" s="880">
        <v>1.0233530726136035</v>
      </c>
      <c r="H1204" s="880">
        <v>1.0038846292513495</v>
      </c>
      <c r="I1204" s="880">
        <v>0.99919515181777752</v>
      </c>
      <c r="K1204">
        <v>1.0730044986883081</v>
      </c>
      <c r="L1204">
        <v>0</v>
      </c>
      <c r="M1204">
        <v>6.4888453532197909E-4</v>
      </c>
      <c r="N1204">
        <v>7.0084455152418346E-2</v>
      </c>
      <c r="O1204">
        <v>8.6934284682489704E-3</v>
      </c>
      <c r="P1204">
        <v>1.2858859031860523E-2</v>
      </c>
      <c r="Q1204">
        <v>2.9948242350966402E-3</v>
      </c>
      <c r="R1204">
        <v>6.3797976474592414E-4</v>
      </c>
      <c r="S1204">
        <v>8.4572308748424779E-2</v>
      </c>
      <c r="T1204">
        <v>0.81375735650358205</v>
      </c>
      <c r="U1204">
        <v>1.6557472548929773E-2</v>
      </c>
      <c r="V1204">
        <v>1.0411104611509231E-2</v>
      </c>
      <c r="W1204">
        <v>4.1163382152791902E-2</v>
      </c>
      <c r="X1204">
        <v>1.0185841396356483E-2</v>
      </c>
      <c r="Y1204">
        <v>1.7363706096654792E-3</v>
      </c>
    </row>
    <row r="1205" spans="1:25">
      <c r="A1205" s="876"/>
      <c r="B1205" s="1202">
        <v>955</v>
      </c>
      <c r="C1205" s="880">
        <v>0.9659768893134637</v>
      </c>
      <c r="D1205" s="880">
        <v>1.0471715025427315</v>
      </c>
      <c r="E1205" s="880">
        <v>1.0139003108202225</v>
      </c>
      <c r="F1205" s="880">
        <v>1.0293603296042728</v>
      </c>
      <c r="G1205" s="880">
        <v>0.99958873150210459</v>
      </c>
      <c r="H1205" s="880">
        <v>1.0284330245840088</v>
      </c>
      <c r="I1205" s="880">
        <v>1.0493453151998353</v>
      </c>
      <c r="K1205">
        <v>1.0866695753997249</v>
      </c>
      <c r="L1205">
        <v>0</v>
      </c>
      <c r="M1205">
        <v>6.9623985613478684E-4</v>
      </c>
      <c r="N1205">
        <v>7.2471978854754704E-2</v>
      </c>
      <c r="O1205">
        <v>8.8766495948624392E-3</v>
      </c>
      <c r="P1205">
        <v>1.2872614390173931E-2</v>
      </c>
      <c r="Q1205">
        <v>3.0364110270523384E-3</v>
      </c>
      <c r="R1205">
        <v>6.8476383740489956E-4</v>
      </c>
      <c r="S1205">
        <v>9.1828422827637757E-2</v>
      </c>
      <c r="T1205">
        <v>0.81471779759888863</v>
      </c>
      <c r="U1205">
        <v>1.75062458046704E-2</v>
      </c>
      <c r="V1205">
        <v>1.0416558809247094E-2</v>
      </c>
      <c r="W1205">
        <v>4.2911670888906503E-2</v>
      </c>
      <c r="X1205">
        <v>1.0179000189182389E-2</v>
      </c>
      <c r="Y1205">
        <v>1.8637014330778029E-3</v>
      </c>
    </row>
    <row r="1206" spans="1:25">
      <c r="A1206" s="876"/>
      <c r="B1206" s="1202">
        <v>956</v>
      </c>
      <c r="C1206" s="880">
        <v>0.9904805362619612</v>
      </c>
      <c r="D1206" s="880">
        <v>0.98558603312031923</v>
      </c>
      <c r="E1206" s="880">
        <v>1.0094509324942462</v>
      </c>
      <c r="F1206" s="880">
        <v>1.0136519017669836</v>
      </c>
      <c r="G1206" s="880">
        <v>1.0128847157657983</v>
      </c>
      <c r="H1206" s="880">
        <v>1.0435006774169371</v>
      </c>
      <c r="I1206" s="880">
        <v>0.97730072199185136</v>
      </c>
      <c r="K1206">
        <v>1.0834003345306178</v>
      </c>
      <c r="L1206">
        <v>0</v>
      </c>
      <c r="M1206">
        <v>7.1821808692907414E-4</v>
      </c>
      <c r="N1206">
        <v>7.3756068469918987E-2</v>
      </c>
      <c r="O1206">
        <v>8.941001503640628E-3</v>
      </c>
      <c r="P1206">
        <v>1.2756010740089445E-2</v>
      </c>
      <c r="Q1206">
        <v>3.0312031934340189E-3</v>
      </c>
      <c r="R1206">
        <v>7.0660220284957662E-4</v>
      </c>
      <c r="S1206">
        <v>8.6497721461561233E-2</v>
      </c>
      <c r="T1206">
        <v>0.81507525278532889</v>
      </c>
      <c r="U1206">
        <v>1.7073156156881705E-2</v>
      </c>
      <c r="V1206">
        <v>1.0414069113671303E-2</v>
      </c>
      <c r="W1206">
        <v>4.3804076973738171E-2</v>
      </c>
      <c r="X1206">
        <v>1.0140251751628618E-2</v>
      </c>
      <c r="Y1206">
        <v>1.9231382648029795E-3</v>
      </c>
    </row>
    <row r="1207" spans="1:25">
      <c r="A1207" s="876"/>
      <c r="B1207" s="1202">
        <v>957</v>
      </c>
      <c r="C1207" s="880">
        <v>0.96248642878382806</v>
      </c>
      <c r="D1207" s="880">
        <v>0.99928692268863784</v>
      </c>
      <c r="E1207" s="880">
        <v>1.0091074762413439</v>
      </c>
      <c r="F1207" s="880">
        <v>0.98572899299648931</v>
      </c>
      <c r="G1207" s="880">
        <v>0.98153298175280912</v>
      </c>
      <c r="H1207" s="880">
        <v>0.99156233470323318</v>
      </c>
      <c r="I1207" s="880">
        <v>1.0178999355844349</v>
      </c>
      <c r="K1207">
        <v>1.0841986553650733</v>
      </c>
      <c r="L1207">
        <v>0</v>
      </c>
      <c r="M1207">
        <v>6.9768196560552123E-4</v>
      </c>
      <c r="N1207">
        <v>7.1507797681857166E-2</v>
      </c>
      <c r="O1207">
        <v>9.1335136686200562E-3</v>
      </c>
      <c r="P1207">
        <v>1.2809641965099709E-2</v>
      </c>
      <c r="Q1207">
        <v>3.0986098282183303E-3</v>
      </c>
      <c r="R1207">
        <v>6.8579508633610667E-4</v>
      </c>
      <c r="S1207">
        <v>9.0109984692591502E-2</v>
      </c>
      <c r="T1207">
        <v>0.81510287347296484</v>
      </c>
      <c r="U1207">
        <v>1.7569732268661927E-2</v>
      </c>
      <c r="V1207">
        <v>1.041692377287376E-2</v>
      </c>
      <c r="W1207">
        <v>4.2478735593937916E-2</v>
      </c>
      <c r="X1207">
        <v>1.0116221146798166E-2</v>
      </c>
      <c r="Y1207">
        <v>1.8665081527174303E-3</v>
      </c>
    </row>
    <row r="1208" spans="1:25">
      <c r="A1208" s="876"/>
      <c r="B1208" s="1202">
        <v>958</v>
      </c>
      <c r="C1208" s="880">
        <v>0.95965665376362463</v>
      </c>
      <c r="D1208" s="880">
        <v>1.005793172428552</v>
      </c>
      <c r="E1208" s="880">
        <v>1.0169621547772922</v>
      </c>
      <c r="F1208" s="880">
        <v>0.99230724646249724</v>
      </c>
      <c r="G1208" s="880">
        <v>1.0109597221362401</v>
      </c>
      <c r="H1208" s="880">
        <v>0.99495202672877392</v>
      </c>
      <c r="I1208" s="880">
        <v>1.0069870602805255</v>
      </c>
      <c r="K1208">
        <v>1.0839816284282795</v>
      </c>
      <c r="L1208">
        <v>0</v>
      </c>
      <c r="M1208">
        <v>6.8821012102116864E-4</v>
      </c>
      <c r="N1208">
        <v>7.2283896440247797E-2</v>
      </c>
      <c r="O1208">
        <v>9.1288060170525761E-3</v>
      </c>
      <c r="P1208">
        <v>1.2864189908618028E-2</v>
      </c>
      <c r="Q1208">
        <v>3.1228964431573572E-3</v>
      </c>
      <c r="R1208">
        <v>6.7651900366683018E-4</v>
      </c>
      <c r="S1208">
        <v>8.9245160635828297E-2</v>
      </c>
      <c r="T1208">
        <v>0.81447220610370463</v>
      </c>
      <c r="U1208">
        <v>1.7621540787146669E-2</v>
      </c>
      <c r="V1208">
        <v>1.0417221603680664E-2</v>
      </c>
      <c r="W1208">
        <v>4.2711687128191005E-2</v>
      </c>
      <c r="X1208">
        <v>1.0284452764453212E-2</v>
      </c>
      <c r="Y1208">
        <v>1.8412617135514894E-3</v>
      </c>
    </row>
    <row r="1209" spans="1:25">
      <c r="A1209" s="876"/>
      <c r="B1209" s="1202">
        <v>959</v>
      </c>
      <c r="C1209" s="880">
        <v>1.020703366613426</v>
      </c>
      <c r="D1209" s="880">
        <v>1.0147666624428275</v>
      </c>
      <c r="E1209" s="880">
        <v>0.97289748964690703</v>
      </c>
      <c r="F1209" s="880">
        <v>1.0223101257183551</v>
      </c>
      <c r="G1209" s="880">
        <v>1.0442995493567564</v>
      </c>
      <c r="H1209" s="880">
        <v>1.009694795426274</v>
      </c>
      <c r="I1209" s="880">
        <v>0.95910124899254023</v>
      </c>
      <c r="K1209">
        <v>1.0653936163173772</v>
      </c>
      <c r="L1209">
        <v>0</v>
      </c>
      <c r="M1209">
        <v>7.1704110674751281E-4</v>
      </c>
      <c r="N1209">
        <v>6.5676415149911391E-2</v>
      </c>
      <c r="O1209">
        <v>8.5423080508826785E-3</v>
      </c>
      <c r="P1209">
        <v>1.2356399956452466E-2</v>
      </c>
      <c r="Q1209">
        <v>2.7971433275963005E-3</v>
      </c>
      <c r="R1209">
        <v>7.0503027620304214E-4</v>
      </c>
      <c r="S1209">
        <v>8.0056556575155438E-2</v>
      </c>
      <c r="T1209">
        <v>0.81803734575454512</v>
      </c>
      <c r="U1209">
        <v>1.6567623287125886E-2</v>
      </c>
      <c r="V1209">
        <v>1.04111629648966E-2</v>
      </c>
      <c r="W1209">
        <v>3.9999646738101545E-2</v>
      </c>
      <c r="X1209">
        <v>9.0421653445963025E-3</v>
      </c>
      <c r="Y1209">
        <v>1.9188599986565932E-3</v>
      </c>
    </row>
    <row r="1210" spans="1:25">
      <c r="A1210" s="876"/>
      <c r="B1210" s="1202">
        <v>960</v>
      </c>
      <c r="C1210" s="880">
        <v>1.0005871140518645</v>
      </c>
      <c r="D1210" s="880">
        <v>1.0208345236163932</v>
      </c>
      <c r="E1210" s="880">
        <v>0.99291032194688456</v>
      </c>
      <c r="F1210" s="880">
        <v>0.99843665936583981</v>
      </c>
      <c r="G1210" s="880">
        <v>1.0071817504540885</v>
      </c>
      <c r="H1210" s="880">
        <v>1.0367613847695316</v>
      </c>
      <c r="I1210" s="880">
        <v>0.99071886628148231</v>
      </c>
      <c r="K1210">
        <v>1.0765575543229977</v>
      </c>
      <c r="L1210">
        <v>0</v>
      </c>
      <c r="M1210">
        <v>7.1787303165106041E-4</v>
      </c>
      <c r="N1210">
        <v>7.0012793025887851E-2</v>
      </c>
      <c r="O1210">
        <v>8.6864330055547879E-3</v>
      </c>
      <c r="P1210">
        <v>1.2595746678196001E-2</v>
      </c>
      <c r="Q1210">
        <v>2.9039736712691594E-3</v>
      </c>
      <c r="R1210">
        <v>7.0615710628483457E-4</v>
      </c>
      <c r="S1210">
        <v>8.5056289684372011E-2</v>
      </c>
      <c r="T1210">
        <v>0.816410000189706</v>
      </c>
      <c r="U1210">
        <v>1.6900706223841936E-2</v>
      </c>
      <c r="V1210">
        <v>1.0413077753481718E-2</v>
      </c>
      <c r="W1210">
        <v>4.2053815833707139E-2</v>
      </c>
      <c r="X1210">
        <v>9.6145073236664109E-3</v>
      </c>
      <c r="Y1210">
        <v>1.9219268586797955E-3</v>
      </c>
    </row>
    <row r="1211" spans="1:25">
      <c r="A1211" s="876"/>
      <c r="B1211" s="1202">
        <v>961</v>
      </c>
      <c r="C1211" s="880">
        <v>0.98087656024032854</v>
      </c>
      <c r="D1211" s="880">
        <v>0.99921787592263966</v>
      </c>
      <c r="E1211" s="880">
        <v>1.003436702299459</v>
      </c>
      <c r="F1211" s="880">
        <v>0.99816181699966522</v>
      </c>
      <c r="G1211" s="880">
        <v>0.99779421257375489</v>
      </c>
      <c r="H1211" s="880">
        <v>1.0041198962245406</v>
      </c>
      <c r="I1211" s="880">
        <v>1.0043695811836781</v>
      </c>
      <c r="K1211">
        <v>1.080233131067015</v>
      </c>
      <c r="L1211">
        <v>0</v>
      </c>
      <c r="M1211">
        <v>7.0163418990070337E-4</v>
      </c>
      <c r="N1211">
        <v>7.0671185261289016E-2</v>
      </c>
      <c r="O1211">
        <v>8.9626027009190017E-3</v>
      </c>
      <c r="P1211">
        <v>1.2724654621834206E-2</v>
      </c>
      <c r="Q1211">
        <v>3.0233884026604077E-3</v>
      </c>
      <c r="R1211">
        <v>6.8982953370702875E-4</v>
      </c>
      <c r="S1211">
        <v>8.7708152577107693E-2</v>
      </c>
      <c r="T1211">
        <v>0.81555949623016932</v>
      </c>
      <c r="U1211">
        <v>1.7240323147093076E-2</v>
      </c>
      <c r="V1211">
        <v>1.0415030103891384E-2</v>
      </c>
      <c r="W1211">
        <v>4.2144250680791279E-2</v>
      </c>
      <c r="X1211">
        <v>9.9183634089475992E-3</v>
      </c>
      <c r="Y1211">
        <v>1.8774885885058615E-3</v>
      </c>
    </row>
    <row r="1212" spans="1:25">
      <c r="A1212" s="876"/>
      <c r="B1212" s="1202">
        <v>962</v>
      </c>
      <c r="C1212" s="880">
        <v>1.0395605413310363</v>
      </c>
      <c r="D1212" s="880">
        <v>1.0195052952961439</v>
      </c>
      <c r="E1212" s="880">
        <v>1.0137785095173784</v>
      </c>
      <c r="F1212" s="880">
        <v>0.96329034778622435</v>
      </c>
      <c r="G1212" s="880">
        <v>0.97137219667279429</v>
      </c>
      <c r="H1212" s="880">
        <v>1.0120011251478418</v>
      </c>
      <c r="I1212" s="880">
        <v>1.0371805047299769</v>
      </c>
      <c r="K1212">
        <v>1.0687274918532501</v>
      </c>
      <c r="L1212">
        <v>0</v>
      </c>
      <c r="M1212">
        <v>6.4589168836077268E-4</v>
      </c>
      <c r="N1212">
        <v>6.7189694190120303E-2</v>
      </c>
      <c r="O1212">
        <v>8.3665763119720512E-3</v>
      </c>
      <c r="P1212">
        <v>1.2758717854172517E-2</v>
      </c>
      <c r="Q1212">
        <v>2.8559473017328368E-3</v>
      </c>
      <c r="R1212">
        <v>6.3509363971035835E-4</v>
      </c>
      <c r="S1212">
        <v>8.4888176403580207E-2</v>
      </c>
      <c r="T1212">
        <v>0.81472757392570749</v>
      </c>
      <c r="U1212">
        <v>1.6267093828225034E-2</v>
      </c>
      <c r="V1212">
        <v>1.0409435315972075E-2</v>
      </c>
      <c r="W1212">
        <v>3.9787240324440865E-2</v>
      </c>
      <c r="X1212">
        <v>9.7593189172473591E-3</v>
      </c>
      <c r="Y1212">
        <v>1.7285155287295316E-3</v>
      </c>
    </row>
    <row r="1213" spans="1:25">
      <c r="A1213" s="876"/>
      <c r="B1213" s="1202">
        <v>963</v>
      </c>
      <c r="C1213" s="880">
        <v>1.0005186678418363</v>
      </c>
      <c r="D1213" s="880">
        <v>0.9727051469313025</v>
      </c>
      <c r="E1213" s="880">
        <v>0.98788925833908814</v>
      </c>
      <c r="F1213" s="880">
        <v>1.0199561254896325</v>
      </c>
      <c r="G1213" s="880">
        <v>1.0174981175601236</v>
      </c>
      <c r="H1213" s="880">
        <v>1.0278615777545006</v>
      </c>
      <c r="I1213" s="880">
        <v>1.0111012222633011</v>
      </c>
      <c r="K1213">
        <v>1.0823706484760387</v>
      </c>
      <c r="L1213">
        <v>0</v>
      </c>
      <c r="M1213">
        <v>7.3804126904719711E-4</v>
      </c>
      <c r="N1213">
        <v>7.0857334177405973E-2</v>
      </c>
      <c r="O1213">
        <v>8.9137365161324825E-3</v>
      </c>
      <c r="P1213">
        <v>1.2601670304943569E-2</v>
      </c>
      <c r="Q1213">
        <v>2.9541898894554996E-3</v>
      </c>
      <c r="R1213">
        <v>7.2593497246711282E-4</v>
      </c>
      <c r="S1213">
        <v>8.8602533679571938E-2</v>
      </c>
      <c r="T1213">
        <v>0.81681701380284755</v>
      </c>
      <c r="U1213">
        <v>1.6901862413451353E-2</v>
      </c>
      <c r="V1213">
        <v>1.0413084400050536E-2</v>
      </c>
      <c r="W1213">
        <v>4.2708560517080107E-2</v>
      </c>
      <c r="X1213">
        <v>9.637013381024245E-3</v>
      </c>
      <c r="Y1213">
        <v>1.9757556906561226E-3</v>
      </c>
    </row>
    <row r="1214" spans="1:25">
      <c r="A1214" s="876"/>
      <c r="B1214" s="1202">
        <v>964</v>
      </c>
      <c r="C1214" s="880">
        <v>1.020966390198516</v>
      </c>
      <c r="D1214" s="880">
        <v>1.0417874910001768</v>
      </c>
      <c r="E1214" s="880">
        <v>0.96569505349546092</v>
      </c>
      <c r="F1214" s="880">
        <v>1.0195548460824044</v>
      </c>
      <c r="G1214" s="880">
        <v>0.96984090621094143</v>
      </c>
      <c r="H1214" s="880">
        <v>0.98922180113416514</v>
      </c>
      <c r="I1214" s="880">
        <v>0.97923111401234442</v>
      </c>
      <c r="K1214">
        <v>1.0611715920179425</v>
      </c>
      <c r="L1214">
        <v>0</v>
      </c>
      <c r="M1214">
        <v>7.0312943065053979E-4</v>
      </c>
      <c r="N1214">
        <v>6.2947636091501363E-2</v>
      </c>
      <c r="O1214">
        <v>8.4215736811494388E-3</v>
      </c>
      <c r="P1214">
        <v>1.2294847387836772E-2</v>
      </c>
      <c r="Q1214">
        <v>2.7426897764485682E-3</v>
      </c>
      <c r="R1214">
        <v>6.9108493335682001E-4</v>
      </c>
      <c r="S1214">
        <v>7.9969121531965462E-2</v>
      </c>
      <c r="T1214">
        <v>0.81862632621021203</v>
      </c>
      <c r="U1214">
        <v>1.6563355099930645E-2</v>
      </c>
      <c r="V1214">
        <v>1.0411138428436701E-2</v>
      </c>
      <c r="W1214">
        <v>3.8531242670950532E-2</v>
      </c>
      <c r="X1214">
        <v>8.7948002642938249E-3</v>
      </c>
      <c r="Y1214">
        <v>1.88090537251021E-3</v>
      </c>
    </row>
    <row r="1215" spans="1:25">
      <c r="A1215" s="876"/>
      <c r="B1215" s="1202">
        <v>965</v>
      </c>
      <c r="C1215" s="880">
        <v>0.9523548450054824</v>
      </c>
      <c r="D1215" s="880">
        <v>1.0094727348631809</v>
      </c>
      <c r="E1215" s="880">
        <v>1.006506895473444</v>
      </c>
      <c r="F1215" s="880">
        <v>1.0097880909278993</v>
      </c>
      <c r="G1215" s="880">
        <v>0.98646956171415623</v>
      </c>
      <c r="H1215" s="880">
        <v>1.007797844753169</v>
      </c>
      <c r="I1215" s="880">
        <v>0.9936128584893833</v>
      </c>
      <c r="K1215">
        <v>1.0859076277372905</v>
      </c>
      <c r="L1215">
        <v>0</v>
      </c>
      <c r="M1215">
        <v>7.1671395910435508E-4</v>
      </c>
      <c r="N1215">
        <v>7.2886282819029438E-2</v>
      </c>
      <c r="O1215">
        <v>9.1809148663585475E-3</v>
      </c>
      <c r="P1215">
        <v>1.2775879082942565E-2</v>
      </c>
      <c r="Q1215">
        <v>3.1089442891441207E-3</v>
      </c>
      <c r="R1215">
        <v>7.0469060574021526E-4</v>
      </c>
      <c r="S1215">
        <v>8.9050721050270898E-2</v>
      </c>
      <c r="T1215">
        <v>0.81531214195771273</v>
      </c>
      <c r="U1215">
        <v>1.7756647067674679E-2</v>
      </c>
      <c r="V1215">
        <v>1.0417998287008469E-2</v>
      </c>
      <c r="W1215">
        <v>4.3374309862040793E-2</v>
      </c>
      <c r="X1215">
        <v>1.0137876280843191E-2</v>
      </c>
      <c r="Y1215">
        <v>1.9179355276291159E-3</v>
      </c>
    </row>
    <row r="1216" spans="1:25">
      <c r="A1216" s="876"/>
      <c r="B1216" s="1202">
        <v>966</v>
      </c>
      <c r="C1216" s="880">
        <v>1.0028125564116384</v>
      </c>
      <c r="D1216" s="880">
        <v>1.0097833504394866</v>
      </c>
      <c r="E1216" s="880">
        <v>1.0480982655336182</v>
      </c>
      <c r="F1216" s="880">
        <v>0.98635372301015256</v>
      </c>
      <c r="G1216" s="880">
        <v>0.98161861708346465</v>
      </c>
      <c r="H1216" s="880">
        <v>1.0059872510854917</v>
      </c>
      <c r="I1216" s="880">
        <v>0.9972593958210213</v>
      </c>
      <c r="K1216">
        <v>1.0748858276158888</v>
      </c>
      <c r="L1216">
        <v>0</v>
      </c>
      <c r="M1216">
        <v>6.2212314914579449E-4</v>
      </c>
      <c r="N1216">
        <v>7.1985515023475583E-2</v>
      </c>
      <c r="O1216">
        <v>8.7175371458362398E-3</v>
      </c>
      <c r="P1216">
        <v>1.3049554844383447E-2</v>
      </c>
      <c r="Q1216">
        <v>3.0762135178327003E-3</v>
      </c>
      <c r="R1216">
        <v>6.1166760046843808E-4</v>
      </c>
      <c r="S1216">
        <v>8.480335701395865E-2</v>
      </c>
      <c r="T1216">
        <v>0.81199293483662727</v>
      </c>
      <c r="U1216">
        <v>1.6863200164209807E-2</v>
      </c>
      <c r="V1216">
        <v>1.0412862142992745E-2</v>
      </c>
      <c r="W1216">
        <v>4.1658576946622318E-2</v>
      </c>
      <c r="X1216">
        <v>1.06717739563214E-2</v>
      </c>
      <c r="Y1216">
        <v>1.6647575723047843E-3</v>
      </c>
    </row>
    <row r="1217" spans="1:25">
      <c r="A1217" s="876"/>
      <c r="B1217" s="1202">
        <v>967</v>
      </c>
      <c r="C1217" s="880">
        <v>1.0083433973617812</v>
      </c>
      <c r="D1217" s="880">
        <v>1.0068195511881886</v>
      </c>
      <c r="E1217" s="880">
        <v>1.0044463273952511</v>
      </c>
      <c r="F1217" s="880">
        <v>1.0129805812724357</v>
      </c>
      <c r="G1217" s="880">
        <v>0.99048393293422743</v>
      </c>
      <c r="H1217" s="880">
        <v>0.96061187120292546</v>
      </c>
      <c r="I1217" s="880">
        <v>0.99750544801665342</v>
      </c>
      <c r="K1217">
        <v>1.0657254996756738</v>
      </c>
      <c r="L1217">
        <v>0</v>
      </c>
      <c r="M1217">
        <v>6.4893991882221066E-4</v>
      </c>
      <c r="N1217">
        <v>6.5517725430520452E-2</v>
      </c>
      <c r="O1217">
        <v>8.6833103905523939E-3</v>
      </c>
      <c r="P1217">
        <v>1.2660572194632911E-2</v>
      </c>
      <c r="Q1217">
        <v>2.9337994892201687E-3</v>
      </c>
      <c r="R1217">
        <v>6.3752097112724701E-4</v>
      </c>
      <c r="S1217">
        <v>8.2883389835696694E-2</v>
      </c>
      <c r="T1217">
        <v>0.81547811904204071</v>
      </c>
      <c r="U1217">
        <v>1.6770704216636064E-2</v>
      </c>
      <c r="V1217">
        <v>1.04123304130088E-2</v>
      </c>
      <c r="W1217">
        <v>3.904411424900979E-2</v>
      </c>
      <c r="X1217">
        <v>9.6177314373749826E-3</v>
      </c>
      <c r="Y1217">
        <v>1.7351219246767152E-3</v>
      </c>
    </row>
    <row r="1218" spans="1:25">
      <c r="A1218" s="876"/>
      <c r="B1218" s="1202">
        <v>968</v>
      </c>
      <c r="C1218" s="880">
        <v>0.9878618376334154</v>
      </c>
      <c r="D1218" s="880">
        <v>1.0033805685641253</v>
      </c>
      <c r="E1218" s="880">
        <v>0.97374919133926274</v>
      </c>
      <c r="F1218" s="880">
        <v>1.0189397450551978</v>
      </c>
      <c r="G1218" s="880">
        <v>1.0325550364210558</v>
      </c>
      <c r="H1218" s="880">
        <v>1.017219147593581</v>
      </c>
      <c r="I1218" s="880">
        <v>0.99206230540606311</v>
      </c>
      <c r="K1218">
        <v>1.0780961003306806</v>
      </c>
      <c r="L1218">
        <v>0</v>
      </c>
      <c r="M1218">
        <v>7.4955064571159658E-4</v>
      </c>
      <c r="N1218">
        <v>6.8846235048869511E-2</v>
      </c>
      <c r="O1218">
        <v>8.8795223089440985E-3</v>
      </c>
      <c r="P1218">
        <v>1.2454643012801707E-2</v>
      </c>
      <c r="Q1218">
        <v>2.9076481637861145E-3</v>
      </c>
      <c r="R1218">
        <v>7.3709841587547766E-4</v>
      </c>
      <c r="S1218">
        <v>8.6312364508965442E-2</v>
      </c>
      <c r="T1218">
        <v>0.81796781348471626</v>
      </c>
      <c r="U1218">
        <v>1.7118414966271561E-2</v>
      </c>
      <c r="V1218">
        <v>1.0414329292269601E-2</v>
      </c>
      <c r="W1218">
        <v>4.1905308471948031E-2</v>
      </c>
      <c r="X1218">
        <v>9.2961343983579553E-3</v>
      </c>
      <c r="Y1218">
        <v>2.0061389035855599E-3</v>
      </c>
    </row>
    <row r="1219" spans="1:25">
      <c r="A1219" s="876"/>
      <c r="B1219" s="1202">
        <v>969</v>
      </c>
      <c r="C1219" s="880">
        <v>0.97866705237359874</v>
      </c>
      <c r="D1219" s="880">
        <v>0.98774665030309028</v>
      </c>
      <c r="E1219" s="880">
        <v>0.98744376070515016</v>
      </c>
      <c r="F1219" s="880">
        <v>1.0239111308733786</v>
      </c>
      <c r="G1219" s="880">
        <v>0.9645537705785896</v>
      </c>
      <c r="H1219" s="880">
        <v>1.0084570307859475</v>
      </c>
      <c r="I1219" s="880">
        <v>1.0013691466965793</v>
      </c>
      <c r="K1219">
        <v>1.0820024590157271</v>
      </c>
      <c r="L1219">
        <v>0</v>
      </c>
      <c r="M1219">
        <v>7.3493359738326298E-4</v>
      </c>
      <c r="N1219">
        <v>7.0437186791617687E-2</v>
      </c>
      <c r="O1219">
        <v>9.0383539594070545E-3</v>
      </c>
      <c r="P1219">
        <v>1.2599086091444528E-2</v>
      </c>
      <c r="Q1219">
        <v>2.9976037895692613E-3</v>
      </c>
      <c r="R1219">
        <v>7.2263233703693131E-4</v>
      </c>
      <c r="S1219">
        <v>8.8309247470400851E-2</v>
      </c>
      <c r="T1219">
        <v>0.81685316767544092</v>
      </c>
      <c r="U1219">
        <v>1.727924611842032E-2</v>
      </c>
      <c r="V1219">
        <v>1.0415253859758101E-2</v>
      </c>
      <c r="W1219">
        <v>4.2468376507852186E-2</v>
      </c>
      <c r="X1219">
        <v>9.6504710064341821E-3</v>
      </c>
      <c r="Y1219">
        <v>1.9667670057286445E-3</v>
      </c>
    </row>
    <row r="1220" spans="1:25">
      <c r="A1220" s="876"/>
      <c r="B1220" s="1202">
        <v>970</v>
      </c>
      <c r="C1220" s="880">
        <v>1.0026191884511448</v>
      </c>
      <c r="D1220" s="880">
        <v>0.97847618479874543</v>
      </c>
      <c r="E1220" s="880">
        <v>1.0140231429236055</v>
      </c>
      <c r="F1220" s="880">
        <v>0.99212178221027414</v>
      </c>
      <c r="G1220" s="880">
        <v>0.97118079253515455</v>
      </c>
      <c r="H1220" s="880">
        <v>0.99429352891183831</v>
      </c>
      <c r="I1220" s="880">
        <v>0.97726924766571532</v>
      </c>
      <c r="K1220">
        <v>1.0738418025970371</v>
      </c>
      <c r="L1220">
        <v>0</v>
      </c>
      <c r="M1220">
        <v>6.7216291669316573E-4</v>
      </c>
      <c r="N1220">
        <v>6.9958234353564575E-2</v>
      </c>
      <c r="O1220">
        <v>8.8669804332183692E-3</v>
      </c>
      <c r="P1220">
        <v>1.2757126112744982E-2</v>
      </c>
      <c r="Q1220">
        <v>3.0182207777297949E-3</v>
      </c>
      <c r="R1220">
        <v>6.6076000131942518E-4</v>
      </c>
      <c r="S1220">
        <v>8.4022602752767642E-2</v>
      </c>
      <c r="T1220">
        <v>0.81470793904706484</v>
      </c>
      <c r="U1220">
        <v>1.6866452448487522E-2</v>
      </c>
      <c r="V1220">
        <v>1.0412880839347676E-2</v>
      </c>
      <c r="W1220">
        <v>4.1419800024670897E-2</v>
      </c>
      <c r="X1220">
        <v>1.0024597818698232E-2</v>
      </c>
      <c r="Y1220">
        <v>1.7983709041155805E-3</v>
      </c>
    </row>
    <row r="1221" spans="1:25">
      <c r="A1221" s="876"/>
      <c r="B1221" s="1202">
        <v>971</v>
      </c>
      <c r="C1221" s="880">
        <v>0.95637943777596779</v>
      </c>
      <c r="D1221" s="880">
        <v>0.98164809754670379</v>
      </c>
      <c r="E1221" s="880">
        <v>1.008944163322762</v>
      </c>
      <c r="F1221" s="880">
        <v>0.98765735666616972</v>
      </c>
      <c r="G1221" s="880">
        <v>0.96678165654373038</v>
      </c>
      <c r="H1221" s="880">
        <v>1.0218733629902923</v>
      </c>
      <c r="I1221" s="880">
        <v>0.98565387572527974</v>
      </c>
      <c r="K1221">
        <v>1.0898035737109075</v>
      </c>
      <c r="L1221">
        <v>0</v>
      </c>
      <c r="M1221">
        <v>7.3074692233078239E-4</v>
      </c>
      <c r="N1221">
        <v>7.4898858466553059E-2</v>
      </c>
      <c r="O1221">
        <v>9.2796275325380748E-3</v>
      </c>
      <c r="P1221">
        <v>1.2804515330010301E-2</v>
      </c>
      <c r="Q1221">
        <v>3.1434642560222133E-3</v>
      </c>
      <c r="R1221">
        <v>7.1868184818952761E-4</v>
      </c>
      <c r="S1221">
        <v>8.9723670134818398E-2</v>
      </c>
      <c r="T1221">
        <v>0.81511600847567933</v>
      </c>
      <c r="U1221">
        <v>1.7681924347179113E-2</v>
      </c>
      <c r="V1221">
        <v>1.04175687296926E-2</v>
      </c>
      <c r="W1221">
        <v>4.449811387207666E-2</v>
      </c>
      <c r="X1221">
        <v>1.0295872563114841E-2</v>
      </c>
      <c r="Y1221">
        <v>1.9560150773643105E-3</v>
      </c>
    </row>
    <row r="1222" spans="1:25">
      <c r="A1222" s="876"/>
      <c r="B1222" s="1202">
        <v>972</v>
      </c>
      <c r="C1222" s="880">
        <v>1.0274905963578089</v>
      </c>
      <c r="D1222" s="880">
        <v>0.98301287077456623</v>
      </c>
      <c r="E1222" s="880">
        <v>1.0245089098299645</v>
      </c>
      <c r="F1222" s="880">
        <v>1.007346369856323</v>
      </c>
      <c r="G1222" s="880">
        <v>0.97357842917471626</v>
      </c>
      <c r="H1222" s="880">
        <v>1.0031728292172197</v>
      </c>
      <c r="I1222" s="880">
        <v>0.99018662948020264</v>
      </c>
      <c r="K1222">
        <v>1.0704338065356513</v>
      </c>
      <c r="L1222">
        <v>0</v>
      </c>
      <c r="M1222">
        <v>6.4566115584073903E-4</v>
      </c>
      <c r="N1222">
        <v>6.9435292799257337E-2</v>
      </c>
      <c r="O1222">
        <v>8.6309899482027649E-3</v>
      </c>
      <c r="P1222">
        <v>1.2826766916060441E-2</v>
      </c>
      <c r="Q1222">
        <v>2.9697251820393518E-3</v>
      </c>
      <c r="R1222">
        <v>6.3480106080912254E-4</v>
      </c>
      <c r="S1222">
        <v>8.3189634003912299E-2</v>
      </c>
      <c r="T1222">
        <v>0.81386824285583426</v>
      </c>
      <c r="U1222">
        <v>1.6458183584254906E-2</v>
      </c>
      <c r="V1222">
        <v>1.0410533830615867E-2</v>
      </c>
      <c r="W1222">
        <v>4.0820185445242178E-2</v>
      </c>
      <c r="X1222">
        <v>1.0107392839854677E-2</v>
      </c>
      <c r="Y1222">
        <v>1.7277192254089759E-3</v>
      </c>
    </row>
    <row r="1223" spans="1:25">
      <c r="A1223" s="876"/>
      <c r="B1223" s="1202">
        <v>973</v>
      </c>
      <c r="C1223" s="880">
        <v>0.99554284037014906</v>
      </c>
      <c r="D1223" s="880">
        <v>0.98588691576532184</v>
      </c>
      <c r="E1223" s="880">
        <v>0.96792293013187525</v>
      </c>
      <c r="F1223" s="880">
        <v>1.0416174827287816</v>
      </c>
      <c r="G1223" s="880">
        <v>0.96918142199918689</v>
      </c>
      <c r="H1223" s="880">
        <v>1.004756499217029</v>
      </c>
      <c r="I1223" s="880">
        <v>1.0159530737475926</v>
      </c>
      <c r="K1223">
        <v>1.078308658413883</v>
      </c>
      <c r="L1223">
        <v>0</v>
      </c>
      <c r="M1223">
        <v>7.5067776111057446E-4</v>
      </c>
      <c r="N1223">
        <v>6.7695879245627935E-2</v>
      </c>
      <c r="O1223">
        <v>8.8940869732271003E-3</v>
      </c>
      <c r="P1223">
        <v>1.2426480216644158E-2</v>
      </c>
      <c r="Q1223">
        <v>2.8913241617402495E-3</v>
      </c>
      <c r="R1223">
        <v>7.3806845501523093E-4</v>
      </c>
      <c r="S1223">
        <v>8.8023436826866197E-2</v>
      </c>
      <c r="T1223">
        <v>0.81844395424714766</v>
      </c>
      <c r="U1223">
        <v>1.6986339693493165E-2</v>
      </c>
      <c r="V1223">
        <v>1.0413570033247863E-2</v>
      </c>
      <c r="W1223">
        <v>4.1373111979244565E-2</v>
      </c>
      <c r="X1223">
        <v>9.1643053123868536E-3</v>
      </c>
      <c r="Y1223">
        <v>2.0087790303506526E-3</v>
      </c>
    </row>
    <row r="1224" spans="1:25">
      <c r="A1224" s="876"/>
      <c r="B1224" s="1202">
        <v>974</v>
      </c>
      <c r="C1224" s="880">
        <v>0.99777375092625487</v>
      </c>
      <c r="D1224" s="880">
        <v>0.96006760117650969</v>
      </c>
      <c r="E1224" s="880">
        <v>0.97491609107078347</v>
      </c>
      <c r="F1224" s="880">
        <v>0.98477749867475395</v>
      </c>
      <c r="G1224" s="880">
        <v>0.96654995564033919</v>
      </c>
      <c r="H1224" s="880">
        <v>0.9818400443191081</v>
      </c>
      <c r="I1224" s="880">
        <v>0.97440459724133366</v>
      </c>
      <c r="K1224">
        <v>1.0737799169752769</v>
      </c>
      <c r="L1224">
        <v>0</v>
      </c>
      <c r="M1224">
        <v>7.3154625750708046E-4</v>
      </c>
      <c r="N1224">
        <v>6.7400171967544303E-2</v>
      </c>
      <c r="O1224">
        <v>9.0010147562867623E-3</v>
      </c>
      <c r="P1224">
        <v>1.2438479367701717E-2</v>
      </c>
      <c r="Q1224">
        <v>2.9411519866001687E-3</v>
      </c>
      <c r="R1224">
        <v>7.189962757311113E-4</v>
      </c>
      <c r="S1224">
        <v>8.4541692147571471E-2</v>
      </c>
      <c r="T1224">
        <v>0.81787258847833799</v>
      </c>
      <c r="U1224">
        <v>1.69483601370089E-2</v>
      </c>
      <c r="V1224">
        <v>1.0413351700775049E-2</v>
      </c>
      <c r="W1224">
        <v>4.0991782123809786E-2</v>
      </c>
      <c r="X1224">
        <v>9.2870034459341267E-3</v>
      </c>
      <c r="Y1224">
        <v>1.9568708454814903E-3</v>
      </c>
    </row>
    <row r="1225" spans="1:25">
      <c r="A1225" s="876"/>
      <c r="B1225" s="1202">
        <v>975</v>
      </c>
      <c r="C1225" s="880">
        <v>1.0178554654047705</v>
      </c>
      <c r="D1225" s="880">
        <v>1.0186817943316135</v>
      </c>
      <c r="E1225" s="880">
        <v>0.99436331998122052</v>
      </c>
      <c r="F1225" s="880">
        <v>1.0051937340842791</v>
      </c>
      <c r="G1225" s="880">
        <v>1.0116431654890083</v>
      </c>
      <c r="H1225" s="880">
        <v>1.0036988647735492</v>
      </c>
      <c r="I1225" s="880">
        <v>1.008112780243404</v>
      </c>
      <c r="K1225">
        <v>1.0694382316015585</v>
      </c>
      <c r="L1225">
        <v>0</v>
      </c>
      <c r="M1225">
        <v>6.818679912200422E-4</v>
      </c>
      <c r="N1225">
        <v>6.676639446953514E-2</v>
      </c>
      <c r="O1225">
        <v>8.5486642225902614E-3</v>
      </c>
      <c r="P1225">
        <v>1.2589782956867499E-2</v>
      </c>
      <c r="Q1225">
        <v>2.8616604236256092E-3</v>
      </c>
      <c r="R1225">
        <v>6.7037487252204371E-4</v>
      </c>
      <c r="S1225">
        <v>8.401131895388142E-2</v>
      </c>
      <c r="T1225">
        <v>0.81629237791976728</v>
      </c>
      <c r="U1225">
        <v>1.6613978546774849E-2</v>
      </c>
      <c r="V1225">
        <v>1.0411429446641094E-2</v>
      </c>
      <c r="W1225">
        <v>4.0063808268651968E-2</v>
      </c>
      <c r="X1225">
        <v>9.4657700979329257E-3</v>
      </c>
      <c r="Y1225">
        <v>1.8245394139876686E-3</v>
      </c>
    </row>
    <row r="1226" spans="1:25">
      <c r="A1226" s="876"/>
      <c r="B1226" s="1202">
        <v>976</v>
      </c>
      <c r="C1226" s="880">
        <v>0.98212002056517833</v>
      </c>
      <c r="D1226" s="880">
        <v>1.003920411015951</v>
      </c>
      <c r="E1226" s="880">
        <v>0.99580469190295895</v>
      </c>
      <c r="F1226" s="880">
        <v>0.98441665015367574</v>
      </c>
      <c r="G1226" s="880">
        <v>1.0143809668156962</v>
      </c>
      <c r="H1226" s="880">
        <v>1.0088237770758786</v>
      </c>
      <c r="I1226" s="880">
        <v>1.0122401196328499</v>
      </c>
      <c r="K1226">
        <v>1.0805844847956494</v>
      </c>
      <c r="L1226">
        <v>0</v>
      </c>
      <c r="M1226">
        <v>7.1365022893887841E-4</v>
      </c>
      <c r="N1226">
        <v>7.0199974003933685E-2</v>
      </c>
      <c r="O1226">
        <v>8.9288745255165433E-3</v>
      </c>
      <c r="P1226">
        <v>1.2667762155635011E-2</v>
      </c>
      <c r="Q1226">
        <v>2.9900352277144552E-3</v>
      </c>
      <c r="R1226">
        <v>7.0169527526863103E-4</v>
      </c>
      <c r="S1226">
        <v>8.8250305367950352E-2</v>
      </c>
      <c r="T1226">
        <v>0.81617576759565247</v>
      </c>
      <c r="U1226">
        <v>1.7218495206136664E-2</v>
      </c>
      <c r="V1226">
        <v>1.0414904621954078E-2</v>
      </c>
      <c r="W1226">
        <v>4.2082493132556666E-2</v>
      </c>
      <c r="X1226">
        <v>9.7580446867738986E-3</v>
      </c>
      <c r="Y1226">
        <v>1.9097832254958882E-3</v>
      </c>
    </row>
    <row r="1227" spans="1:25">
      <c r="A1227" s="876"/>
      <c r="B1227" s="1202">
        <v>977</v>
      </c>
      <c r="C1227" s="880">
        <v>0.9777242814673347</v>
      </c>
      <c r="D1227" s="880">
        <v>1.0172098802126894</v>
      </c>
      <c r="E1227" s="880">
        <v>1.0078941060188711</v>
      </c>
      <c r="F1227" s="880">
        <v>1.0126309537305453</v>
      </c>
      <c r="G1227" s="880">
        <v>0.9956614174447519</v>
      </c>
      <c r="H1227" s="880">
        <v>0.99278442331101702</v>
      </c>
      <c r="I1227" s="880">
        <v>1.0089184571843015</v>
      </c>
      <c r="K1227">
        <v>1.0777354741253733</v>
      </c>
      <c r="L1227">
        <v>0</v>
      </c>
      <c r="M1227">
        <v>6.8293243125092649E-4</v>
      </c>
      <c r="N1227">
        <v>6.9732417890710774E-2</v>
      </c>
      <c r="O1227">
        <v>8.9064017787331192E-3</v>
      </c>
      <c r="P1227">
        <v>1.2755646145297292E-2</v>
      </c>
      <c r="Q1227">
        <v>3.0218902677132285E-3</v>
      </c>
      <c r="R1227">
        <v>6.7129604718112223E-4</v>
      </c>
      <c r="S1227">
        <v>8.7193396507757898E-2</v>
      </c>
      <c r="T1227">
        <v>0.81520048462224648</v>
      </c>
      <c r="U1227">
        <v>1.7295907636223885E-2</v>
      </c>
      <c r="V1227">
        <v>1.0415349641560732E-2</v>
      </c>
      <c r="W1227">
        <v>4.1458285587409362E-2</v>
      </c>
      <c r="X1227">
        <v>9.9402838840451525E-3</v>
      </c>
      <c r="Y1227">
        <v>1.827046547744535E-3</v>
      </c>
    </row>
    <row r="1228" spans="1:25">
      <c r="A1228" s="876"/>
      <c r="B1228" s="1202">
        <v>978</v>
      </c>
      <c r="C1228" s="880">
        <v>0.97765725037490614</v>
      </c>
      <c r="D1228" s="880">
        <v>1.0031009248966369</v>
      </c>
      <c r="E1228" s="880">
        <v>1.028530019145633</v>
      </c>
      <c r="F1228" s="880">
        <v>1.0093267442579263</v>
      </c>
      <c r="G1228" s="880">
        <v>1.0102440969015725</v>
      </c>
      <c r="H1228" s="880">
        <v>0.99253140906435033</v>
      </c>
      <c r="I1228" s="880">
        <v>0.97091191004508448</v>
      </c>
      <c r="K1228">
        <v>1.0765949092702916</v>
      </c>
      <c r="L1228">
        <v>0</v>
      </c>
      <c r="M1228">
        <v>6.5855926534420198E-4</v>
      </c>
      <c r="N1228">
        <v>7.1697173342105555E-2</v>
      </c>
      <c r="O1228">
        <v>8.9735382985665704E-3</v>
      </c>
      <c r="P1228">
        <v>1.2889866267239234E-2</v>
      </c>
      <c r="Q1228">
        <v>3.1046129170325797E-3</v>
      </c>
      <c r="R1228">
        <v>6.4734676677421317E-4</v>
      </c>
      <c r="S1228">
        <v>8.4490616142616284E-2</v>
      </c>
      <c r="T1228">
        <v>0.81354722868041196</v>
      </c>
      <c r="U1228">
        <v>1.7297093495156474E-2</v>
      </c>
      <c r="V1228">
        <v>1.0415356458689115E-2</v>
      </c>
      <c r="W1228">
        <v>4.2036220084163259E-2</v>
      </c>
      <c r="X1228">
        <v>1.0392551581525678E-2</v>
      </c>
      <c r="Y1228">
        <v>1.761864501355093E-3</v>
      </c>
    </row>
    <row r="1229" spans="1:25">
      <c r="A1229" s="876"/>
      <c r="B1229" s="1202">
        <v>979</v>
      </c>
      <c r="C1229" s="880">
        <v>0.96551796451434446</v>
      </c>
      <c r="D1229" s="880">
        <v>0.96874058952578834</v>
      </c>
      <c r="E1229" s="880">
        <v>1.0282166477513679</v>
      </c>
      <c r="F1229" s="880">
        <v>1.0151975282841754</v>
      </c>
      <c r="G1229" s="880">
        <v>0.9816394152773471</v>
      </c>
      <c r="H1229" s="880">
        <v>1.017620094574532</v>
      </c>
      <c r="I1229" s="880">
        <v>0.98690328293878715</v>
      </c>
      <c r="K1229">
        <v>1.0891839979403828</v>
      </c>
      <c r="L1229">
        <v>0</v>
      </c>
      <c r="M1229">
        <v>6.9697048494108771E-4</v>
      </c>
      <c r="N1229">
        <v>7.5840871551910105E-2</v>
      </c>
      <c r="O1229">
        <v>9.2570622675079359E-3</v>
      </c>
      <c r="P1229">
        <v>1.2959003662906117E-2</v>
      </c>
      <c r="Q1229">
        <v>3.1933360121718306E-3</v>
      </c>
      <c r="R1229">
        <v>6.8542633179919212E-4</v>
      </c>
      <c r="S1229">
        <v>8.9419696730512421E-2</v>
      </c>
      <c r="T1229">
        <v>0.81357222599546175</v>
      </c>
      <c r="U1229">
        <v>1.7514566779146812E-2</v>
      </c>
      <c r="V1229">
        <v>1.0416606643900834E-2</v>
      </c>
      <c r="W1229">
        <v>4.4475029098140877E-2</v>
      </c>
      <c r="X1229">
        <v>1.0681638827437253E-2</v>
      </c>
      <c r="Y1229">
        <v>1.8655045244278491E-3</v>
      </c>
    </row>
    <row r="1230" spans="1:25">
      <c r="A1230" s="876"/>
      <c r="B1230" s="1202">
        <v>980</v>
      </c>
      <c r="C1230" s="880">
        <v>1.0129120258341044</v>
      </c>
      <c r="D1230" s="880">
        <v>0.95523557377209001</v>
      </c>
      <c r="E1230" s="880">
        <v>0.99680443951485942</v>
      </c>
      <c r="F1230" s="880">
        <v>1.0248553587021079</v>
      </c>
      <c r="G1230" s="880">
        <v>0.96905326362077082</v>
      </c>
      <c r="H1230" s="880">
        <v>1.0119036701511335</v>
      </c>
      <c r="I1230" s="880">
        <v>0.99935528177668698</v>
      </c>
      <c r="K1230">
        <v>1.0782955124102305</v>
      </c>
      <c r="L1230">
        <v>0</v>
      </c>
      <c r="M1230">
        <v>7.1120777233788879E-4</v>
      </c>
      <c r="N1230">
        <v>7.0185733422485519E-2</v>
      </c>
      <c r="O1230">
        <v>8.8904804338254644E-3</v>
      </c>
      <c r="P1230">
        <v>1.2648060201833585E-2</v>
      </c>
      <c r="Q1230">
        <v>2.9690327977866422E-3</v>
      </c>
      <c r="R1230">
        <v>6.993736672864676E-4</v>
      </c>
      <c r="S1230">
        <v>8.6713233216152735E-2</v>
      </c>
      <c r="T1230">
        <v>0.81609492712570997</v>
      </c>
      <c r="U1230">
        <v>1.6695061796731008E-2</v>
      </c>
      <c r="V1230">
        <v>1.0411895568631575E-2</v>
      </c>
      <c r="W1230">
        <v>4.2045110422950276E-2</v>
      </c>
      <c r="X1230">
        <v>9.7503469552887786E-3</v>
      </c>
      <c r="Y1230">
        <v>1.9034645738863053E-3</v>
      </c>
    </row>
    <row r="1231" spans="1:25">
      <c r="A1231" s="876"/>
      <c r="B1231" s="1202">
        <v>981</v>
      </c>
      <c r="C1231" s="880">
        <v>0.95941344365037706</v>
      </c>
      <c r="D1231" s="880">
        <v>1.0115221066802764</v>
      </c>
      <c r="E1231" s="880">
        <v>0.99811036684499232</v>
      </c>
      <c r="F1231" s="880">
        <v>0.99895860103782319</v>
      </c>
      <c r="G1231" s="880">
        <v>1.0169388537027635</v>
      </c>
      <c r="H1231" s="880">
        <v>1.0165381827797657</v>
      </c>
      <c r="I1231" s="880">
        <v>1.038226021415068</v>
      </c>
      <c r="K1231">
        <v>1.089018852673842</v>
      </c>
      <c r="L1231">
        <v>0</v>
      </c>
      <c r="M1231">
        <v>7.2963081031759112E-4</v>
      </c>
      <c r="N1231">
        <v>7.2297418171407696E-2</v>
      </c>
      <c r="O1231">
        <v>9.1035279356622353E-3</v>
      </c>
      <c r="P1231">
        <v>1.275208423824481E-2</v>
      </c>
      <c r="Q1231">
        <v>3.0573236804429327E-3</v>
      </c>
      <c r="R1231">
        <v>7.174942107183675E-4</v>
      </c>
      <c r="S1231">
        <v>9.2607462851294634E-2</v>
      </c>
      <c r="T1231">
        <v>0.81598937981745179</v>
      </c>
      <c r="U1231">
        <v>1.7626007825792784E-2</v>
      </c>
      <c r="V1231">
        <v>1.0417247283274707E-2</v>
      </c>
      <c r="W1231">
        <v>4.3271373574646492E-2</v>
      </c>
      <c r="X1231">
        <v>9.9563811755510965E-3</v>
      </c>
      <c r="Y1231">
        <v>1.9527827196724004E-3</v>
      </c>
    </row>
    <row r="1232" spans="1:25">
      <c r="A1232" s="876"/>
      <c r="B1232" s="1202">
        <v>982</v>
      </c>
      <c r="C1232" s="880">
        <v>0.97393820689420485</v>
      </c>
      <c r="D1232" s="880">
        <v>1.0051041623860815</v>
      </c>
      <c r="E1232" s="880">
        <v>0.99086734848400748</v>
      </c>
      <c r="F1232" s="880">
        <v>1.0052596542665899</v>
      </c>
      <c r="G1232" s="880">
        <v>0.9957815334665302</v>
      </c>
      <c r="H1232" s="880">
        <v>1.0225541631848918</v>
      </c>
      <c r="I1232" s="880">
        <v>1.0332164592518343</v>
      </c>
      <c r="K1232">
        <v>1.0863299672209537</v>
      </c>
      <c r="L1232">
        <v>0</v>
      </c>
      <c r="M1232">
        <v>7.3659440264457136E-4</v>
      </c>
      <c r="N1232">
        <v>7.1368133439653897E-2</v>
      </c>
      <c r="O1232">
        <v>8.9982297685778229E-3</v>
      </c>
      <c r="P1232">
        <v>1.2669607543627025E-2</v>
      </c>
      <c r="Q1232">
        <v>2.9985512491320539E-3</v>
      </c>
      <c r="R1232">
        <v>7.2441972706986017E-4</v>
      </c>
      <c r="S1232">
        <v>9.1301921135597638E-2</v>
      </c>
      <c r="T1232">
        <v>0.81657550297477377</v>
      </c>
      <c r="U1232">
        <v>1.736314352003784E-2</v>
      </c>
      <c r="V1232">
        <v>1.0415736159417533E-2</v>
      </c>
      <c r="W1232">
        <v>4.2928220868805995E-2</v>
      </c>
      <c r="X1232">
        <v>9.7514635447186245E-3</v>
      </c>
      <c r="Y1232">
        <v>1.971631692185311E-3</v>
      </c>
    </row>
    <row r="1233" spans="1:25">
      <c r="A1233" s="876"/>
      <c r="B1233" s="1202">
        <v>983</v>
      </c>
      <c r="C1233" s="880">
        <v>0.97319717658865523</v>
      </c>
      <c r="D1233" s="880">
        <v>1.0075383499609543</v>
      </c>
      <c r="E1233" s="880">
        <v>0.98563762398627519</v>
      </c>
      <c r="F1233" s="880">
        <v>0.99880471442740792</v>
      </c>
      <c r="G1233" s="880">
        <v>1.0459634915649345</v>
      </c>
      <c r="H1233" s="880">
        <v>1.0083320868860275</v>
      </c>
      <c r="I1233" s="880">
        <v>0.98542129376094367</v>
      </c>
      <c r="K1233">
        <v>1.0795661936702021</v>
      </c>
      <c r="L1233">
        <v>0</v>
      </c>
      <c r="M1233">
        <v>7.3399315969669072E-4</v>
      </c>
      <c r="N1233">
        <v>6.9950597879471846E-2</v>
      </c>
      <c r="O1233">
        <v>8.9934799953272256E-3</v>
      </c>
      <c r="P1233">
        <v>1.2561128584474515E-2</v>
      </c>
      <c r="Q1233">
        <v>2.9816900721917439E-3</v>
      </c>
      <c r="R1233">
        <v>7.2168818694469882E-4</v>
      </c>
      <c r="S1233">
        <v>8.6526963271682189E-2</v>
      </c>
      <c r="T1233">
        <v>0.81699981162771074</v>
      </c>
      <c r="U1233">
        <v>1.7376364495044223E-2</v>
      </c>
      <c r="V1233">
        <v>1.0415812162626466E-2</v>
      </c>
      <c r="W1233">
        <v>4.2227646789885193E-2</v>
      </c>
      <c r="X1233">
        <v>9.5808064241222068E-3</v>
      </c>
      <c r="Y1233">
        <v>1.9641973404165825E-3</v>
      </c>
    </row>
    <row r="1234" spans="1:25">
      <c r="A1234" s="876"/>
      <c r="B1234" s="1202">
        <v>984</v>
      </c>
      <c r="C1234" s="880">
        <v>1.0058238572309606</v>
      </c>
      <c r="D1234" s="880">
        <v>1.0043769750582434</v>
      </c>
      <c r="E1234" s="880">
        <v>0.99943870690853998</v>
      </c>
      <c r="F1234" s="880">
        <v>0.98352859144761162</v>
      </c>
      <c r="G1234" s="880">
        <v>1.0249395158134631</v>
      </c>
      <c r="H1234" s="880">
        <v>1.0451494979160096</v>
      </c>
      <c r="I1234" s="880">
        <v>0.98717078241597556</v>
      </c>
      <c r="K1234">
        <v>1.0783237221617079</v>
      </c>
      <c r="L1234">
        <v>0</v>
      </c>
      <c r="M1234">
        <v>7.1624847786067698E-4</v>
      </c>
      <c r="N1234">
        <v>7.1298933190322475E-2</v>
      </c>
      <c r="O1234">
        <v>8.7163385890774922E-3</v>
      </c>
      <c r="P1234">
        <v>1.2652295776244089E-2</v>
      </c>
      <c r="Q1234">
        <v>2.9296578101764112E-3</v>
      </c>
      <c r="R1234">
        <v>7.0466663770488028E-4</v>
      </c>
      <c r="S1234">
        <v>8.5289157471846053E-2</v>
      </c>
      <c r="T1234">
        <v>0.81588208049811306</v>
      </c>
      <c r="U1234">
        <v>1.6812714019835865E-2</v>
      </c>
      <c r="V1234">
        <v>1.041257191409686E-2</v>
      </c>
      <c r="W1234">
        <v>4.2634959469207673E-2</v>
      </c>
      <c r="X1234">
        <v>9.7887249684053997E-3</v>
      </c>
      <c r="Y1234">
        <v>1.9178702945379948E-3</v>
      </c>
    </row>
    <row r="1235" spans="1:25">
      <c r="A1235" s="876"/>
      <c r="B1235" s="1202">
        <v>985</v>
      </c>
      <c r="C1235" s="880">
        <v>1.0345580121294145</v>
      </c>
      <c r="D1235" s="880">
        <v>0.99011638878563679</v>
      </c>
      <c r="E1235" s="880">
        <v>0.96544760294116061</v>
      </c>
      <c r="F1235" s="880">
        <v>1.0113924585066481</v>
      </c>
      <c r="G1235" s="880">
        <v>1.0108837214274502</v>
      </c>
      <c r="H1235" s="880">
        <v>1.0260547810203318</v>
      </c>
      <c r="I1235" s="880">
        <v>0.98359306559738213</v>
      </c>
      <c r="K1235">
        <v>1.0692788424553956</v>
      </c>
      <c r="L1235">
        <v>0</v>
      </c>
      <c r="M1235">
        <v>7.3982698049760928E-4</v>
      </c>
      <c r="N1235">
        <v>6.6227407378325248E-2</v>
      </c>
      <c r="O1235">
        <v>8.5391356371101578E-3</v>
      </c>
      <c r="P1235">
        <v>1.2324294117799731E-2</v>
      </c>
      <c r="Q1235">
        <v>2.7697981679207506E-3</v>
      </c>
      <c r="R1235">
        <v>7.276540453252648E-4</v>
      </c>
      <c r="S1235">
        <v>8.2558810952870459E-2</v>
      </c>
      <c r="T1235">
        <v>0.81864659261508776</v>
      </c>
      <c r="U1235">
        <v>1.6345752164390957E-2</v>
      </c>
      <c r="V1235">
        <v>1.0409887497899201E-2</v>
      </c>
      <c r="W1235">
        <v>4.0545874783949526E-2</v>
      </c>
      <c r="X1235">
        <v>8.9430276349297556E-3</v>
      </c>
      <c r="Y1235">
        <v>1.9804344402837956E-3</v>
      </c>
    </row>
    <row r="1236" spans="1:25">
      <c r="A1236" s="876"/>
      <c r="B1236" s="1202">
        <v>986</v>
      </c>
      <c r="C1236" s="880">
        <v>0.9599367848758007</v>
      </c>
      <c r="D1236" s="880">
        <v>0.9649974355269183</v>
      </c>
      <c r="E1236" s="880">
        <v>0.98011581583668317</v>
      </c>
      <c r="F1236" s="880">
        <v>1.0352772323886827</v>
      </c>
      <c r="G1236" s="880">
        <v>0.99213556024782168</v>
      </c>
      <c r="H1236" s="880">
        <v>0.97479501736459195</v>
      </c>
      <c r="I1236" s="880">
        <v>0.98828275028205348</v>
      </c>
      <c r="K1236">
        <v>1.0825902990048855</v>
      </c>
      <c r="L1236">
        <v>0</v>
      </c>
      <c r="M1236">
        <v>7.446930125352486E-4</v>
      </c>
      <c r="N1236">
        <v>6.9722997382002647E-2</v>
      </c>
      <c r="O1236">
        <v>9.3301882018766522E-3</v>
      </c>
      <c r="P1236">
        <v>1.2546228339744007E-2</v>
      </c>
      <c r="Q1236">
        <v>3.0660816345891356E-3</v>
      </c>
      <c r="R1236">
        <v>7.3182024065822121E-4</v>
      </c>
      <c r="S1236">
        <v>8.8633303505248173E-2</v>
      </c>
      <c r="T1236">
        <v>0.8174488237760954</v>
      </c>
      <c r="U1236">
        <v>1.7616398425798749E-2</v>
      </c>
      <c r="V1236">
        <v>1.0417192041869671E-2</v>
      </c>
      <c r="W1236">
        <v>4.2251502325022047E-2</v>
      </c>
      <c r="X1236">
        <v>9.5786826939219562E-3</v>
      </c>
      <c r="Y1236">
        <v>1.9917734505941814E-3</v>
      </c>
    </row>
    <row r="1237" spans="1:25">
      <c r="A1237" s="876"/>
      <c r="B1237" s="1202">
        <v>987</v>
      </c>
      <c r="C1237" s="880">
        <v>1.0121685285150614</v>
      </c>
      <c r="D1237" s="880">
        <v>1.0186339013599914</v>
      </c>
      <c r="E1237" s="880">
        <v>0.99534123974081812</v>
      </c>
      <c r="F1237" s="880">
        <v>0.99223442286213881</v>
      </c>
      <c r="G1237" s="880">
        <v>1.0300584284494398</v>
      </c>
      <c r="H1237" s="880">
        <v>1.0298371251175309</v>
      </c>
      <c r="I1237" s="880">
        <v>0.99482227688669844</v>
      </c>
      <c r="K1237">
        <v>1.0735078728225906</v>
      </c>
      <c r="L1237">
        <v>0</v>
      </c>
      <c r="M1237">
        <v>7.0212729555522004E-4</v>
      </c>
      <c r="N1237">
        <v>6.898969868444943E-2</v>
      </c>
      <c r="O1237">
        <v>8.5969106266417048E-3</v>
      </c>
      <c r="P1237">
        <v>1.2602894400987205E-2</v>
      </c>
      <c r="Q1237">
        <v>2.8806391638330282E-3</v>
      </c>
      <c r="R1237">
        <v>6.9059311231600988E-4</v>
      </c>
      <c r="S1237">
        <v>8.4281067521347994E-2</v>
      </c>
      <c r="T1237">
        <v>0.81621325425583646</v>
      </c>
      <c r="U1237">
        <v>1.6707325301609333E-2</v>
      </c>
      <c r="V1237">
        <v>1.0411966067647185E-2</v>
      </c>
      <c r="W1237">
        <v>4.1370131858025093E-2</v>
      </c>
      <c r="X1237">
        <v>9.5859523276863087E-3</v>
      </c>
      <c r="Y1237">
        <v>1.8795667977658873E-3</v>
      </c>
    </row>
    <row r="1238" spans="1:25">
      <c r="A1238" s="876"/>
      <c r="B1238" s="1202">
        <v>988</v>
      </c>
      <c r="C1238" s="880">
        <v>0.97486045543028021</v>
      </c>
      <c r="D1238" s="880">
        <v>1.0077392144623949</v>
      </c>
      <c r="E1238" s="880">
        <v>0.96987642394714213</v>
      </c>
      <c r="F1238" s="880">
        <v>0.99019742151023993</v>
      </c>
      <c r="G1238" s="880">
        <v>1.0329329568088048</v>
      </c>
      <c r="H1238" s="880">
        <v>0.99959350243628264</v>
      </c>
      <c r="I1238" s="880">
        <v>1.0199736684033798</v>
      </c>
      <c r="K1238">
        <v>1.0804033822334398</v>
      </c>
      <c r="L1238">
        <v>0</v>
      </c>
      <c r="M1238">
        <v>7.5073895576793889E-4</v>
      </c>
      <c r="N1238">
        <v>6.8107166481194345E-2</v>
      </c>
      <c r="O1238">
        <v>8.9771819233843246E-3</v>
      </c>
      <c r="P1238">
        <v>1.2461859926323865E-2</v>
      </c>
      <c r="Q1238">
        <v>2.9289720516509467E-3</v>
      </c>
      <c r="R1238">
        <v>7.3804303818137665E-4</v>
      </c>
      <c r="S1238">
        <v>8.9073665851266789E-2</v>
      </c>
      <c r="T1238">
        <v>0.81828418077818088</v>
      </c>
      <c r="U1238">
        <v>1.7346717442229664E-2</v>
      </c>
      <c r="V1238">
        <v>1.0415641731085083E-2</v>
      </c>
      <c r="W1238">
        <v>4.1567649172282652E-2</v>
      </c>
      <c r="X1238">
        <v>9.2443329393192275E-3</v>
      </c>
      <c r="Y1238">
        <v>2.0087098541075577E-3</v>
      </c>
    </row>
    <row r="1239" spans="1:25">
      <c r="A1239" s="876"/>
      <c r="B1239" s="1202">
        <v>989</v>
      </c>
      <c r="C1239" s="880">
        <v>1.0081449616165847</v>
      </c>
      <c r="D1239" s="880">
        <v>0.99429778450798822</v>
      </c>
      <c r="E1239" s="880">
        <v>1.0052182131053893</v>
      </c>
      <c r="F1239" s="880">
        <v>1.0166446978946202</v>
      </c>
      <c r="G1239" s="880">
        <v>0.99579715465736562</v>
      </c>
      <c r="H1239" s="880">
        <v>0.99218811285879371</v>
      </c>
      <c r="I1239" s="880">
        <v>0.98200591770700052</v>
      </c>
      <c r="K1239">
        <v>1.070615376600538</v>
      </c>
      <c r="L1239">
        <v>0</v>
      </c>
      <c r="M1239">
        <v>6.7378437982637735E-4</v>
      </c>
      <c r="N1239">
        <v>6.822950398669618E-2</v>
      </c>
      <c r="O1239">
        <v>8.7431725538330615E-3</v>
      </c>
      <c r="P1239">
        <v>1.2671707281591294E-2</v>
      </c>
      <c r="Q1239">
        <v>2.9535501857628076E-3</v>
      </c>
      <c r="R1239">
        <v>6.6231612172653524E-4</v>
      </c>
      <c r="S1239">
        <v>8.3224378226493645E-2</v>
      </c>
      <c r="T1239">
        <v>0.81541592735966828</v>
      </c>
      <c r="U1239">
        <v>1.6774005237139469E-2</v>
      </c>
      <c r="V1239">
        <v>1.0412349389532914E-2</v>
      </c>
      <c r="W1239">
        <v>4.0638753104607191E-2</v>
      </c>
      <c r="X1239">
        <v>9.7608913824244539E-3</v>
      </c>
      <c r="Y1239">
        <v>1.8026061508887796E-3</v>
      </c>
    </row>
    <row r="1240" spans="1:25">
      <c r="A1240" s="876"/>
      <c r="B1240" s="1202">
        <v>990</v>
      </c>
      <c r="C1240" s="880">
        <v>1.0203718563948052</v>
      </c>
      <c r="D1240" s="880">
        <v>1.0168674156757753</v>
      </c>
      <c r="E1240" s="880">
        <v>0.972738055592683</v>
      </c>
      <c r="F1240" s="880">
        <v>0.9805004433350839</v>
      </c>
      <c r="G1240" s="880">
        <v>1.0394050635977732</v>
      </c>
      <c r="H1240" s="880">
        <v>1.0087759945809878</v>
      </c>
      <c r="I1240" s="880">
        <v>0.9925836146536966</v>
      </c>
      <c r="K1240">
        <v>1.0679516830127791</v>
      </c>
      <c r="L1240">
        <v>0</v>
      </c>
      <c r="M1240">
        <v>7.160738886016389E-4</v>
      </c>
      <c r="N1240">
        <v>6.5554048102186263E-2</v>
      </c>
      <c r="O1240">
        <v>8.5356789382036932E-3</v>
      </c>
      <c r="P1240">
        <v>1.2391302163646402E-2</v>
      </c>
      <c r="Q1240">
        <v>2.7949467127857969E-3</v>
      </c>
      <c r="R1240">
        <v>7.0406652384913881E-4</v>
      </c>
      <c r="S1240">
        <v>8.276138491006102E-2</v>
      </c>
      <c r="T1240">
        <v>0.81805036455048052</v>
      </c>
      <c r="U1240">
        <v>1.6573005968335216E-2</v>
      </c>
      <c r="V1240">
        <v>1.0411193908230533E-2</v>
      </c>
      <c r="W1240">
        <v>3.992955966074771E-2</v>
      </c>
      <c r="X1240">
        <v>9.0459684804029012E-3</v>
      </c>
      <c r="Y1240">
        <v>1.9162369824501468E-3</v>
      </c>
    </row>
    <row r="1241" spans="1:25">
      <c r="A1241" s="876"/>
      <c r="B1241" s="1202">
        <v>991</v>
      </c>
      <c r="C1241" s="880">
        <v>0.97222671766704305</v>
      </c>
      <c r="D1241" s="880">
        <v>1.0123556141170735</v>
      </c>
      <c r="E1241" s="880">
        <v>0.98767456312240554</v>
      </c>
      <c r="F1241" s="880">
        <v>1.0093602100970285</v>
      </c>
      <c r="G1241" s="880">
        <v>1.0044358823708988</v>
      </c>
      <c r="H1241" s="880">
        <v>0.98364781951025249</v>
      </c>
      <c r="I1241" s="880">
        <v>0.96816301365443957</v>
      </c>
      <c r="K1241">
        <v>1.0739864540719923</v>
      </c>
      <c r="L1241">
        <v>0</v>
      </c>
      <c r="M1241">
        <v>7.1187088566101141E-4</v>
      </c>
      <c r="N1241">
        <v>6.8244404625968078E-2</v>
      </c>
      <c r="O1241">
        <v>8.979609154053653E-3</v>
      </c>
      <c r="P1241">
        <v>1.2544605270594301E-2</v>
      </c>
      <c r="Q1241">
        <v>2.9842969682683379E-3</v>
      </c>
      <c r="R1241">
        <v>6.9963303117158242E-4</v>
      </c>
      <c r="S1241">
        <v>8.4021499967379176E-2</v>
      </c>
      <c r="T1241">
        <v>0.81683443631832542</v>
      </c>
      <c r="U1241">
        <v>1.7393709264163351E-2</v>
      </c>
      <c r="V1241">
        <v>1.0415911872225051E-2</v>
      </c>
      <c r="W1241">
        <v>4.1139737934995875E-2</v>
      </c>
      <c r="X1241">
        <v>9.5363100736258703E-3</v>
      </c>
      <c r="Y1241">
        <v>1.9041704768823057E-3</v>
      </c>
    </row>
    <row r="1242" spans="1:25">
      <c r="A1242" s="876"/>
      <c r="B1242" s="1202">
        <v>992</v>
      </c>
      <c r="C1242" s="880">
        <v>0.97976496658217582</v>
      </c>
      <c r="D1242" s="880">
        <v>1.0232054680557028</v>
      </c>
      <c r="E1242" s="880">
        <v>1.008600467491467</v>
      </c>
      <c r="F1242" s="880">
        <v>1.0458003988995328</v>
      </c>
      <c r="G1242" s="880">
        <v>0.97223847419292597</v>
      </c>
      <c r="H1242" s="880">
        <v>1.0070772139624586</v>
      </c>
      <c r="I1242" s="880">
        <v>0.98025915421786547</v>
      </c>
      <c r="K1242">
        <v>1.0762944705675825</v>
      </c>
      <c r="L1242">
        <v>0</v>
      </c>
      <c r="M1242">
        <v>6.8814178657639047E-4</v>
      </c>
      <c r="N1242">
        <v>7.0435626423026518E-2</v>
      </c>
      <c r="O1242">
        <v>8.8600937648769251E-3</v>
      </c>
      <c r="P1242">
        <v>1.2728158267952096E-2</v>
      </c>
      <c r="Q1242">
        <v>3.0096130899238773E-3</v>
      </c>
      <c r="R1242">
        <v>6.7657810258685985E-4</v>
      </c>
      <c r="S1242">
        <v>8.4798719880442019E-2</v>
      </c>
      <c r="T1242">
        <v>0.81514365435919844</v>
      </c>
      <c r="U1242">
        <v>1.7259883178864406E-2</v>
      </c>
      <c r="V1242">
        <v>1.0415142548335176E-2</v>
      </c>
      <c r="W1242">
        <v>4.1856248065624692E-2</v>
      </c>
      <c r="X1242">
        <v>9.9574721119989346E-3</v>
      </c>
      <c r="Y1242">
        <v>1.8414225613298562E-3</v>
      </c>
    </row>
    <row r="1243" spans="1:25">
      <c r="A1243" s="876"/>
      <c r="B1243" s="1202">
        <v>993</v>
      </c>
      <c r="C1243" s="880">
        <v>0.99985054626946412</v>
      </c>
      <c r="D1243" s="880">
        <v>1.014486102785916</v>
      </c>
      <c r="E1243" s="880">
        <v>0.98947815367075409</v>
      </c>
      <c r="F1243" s="880">
        <v>1.0081043229770141</v>
      </c>
      <c r="G1243" s="880">
        <v>0.99432981779486707</v>
      </c>
      <c r="H1243" s="880">
        <v>1.0117814965060401</v>
      </c>
      <c r="I1243" s="880">
        <v>0.97618753619661647</v>
      </c>
      <c r="K1243">
        <v>1.0723081596857167</v>
      </c>
      <c r="L1243">
        <v>0</v>
      </c>
      <c r="M1243">
        <v>7.0851502681365368E-4</v>
      </c>
      <c r="N1243">
        <v>6.8338256582397866E-2</v>
      </c>
      <c r="O1243">
        <v>8.72175009937768E-3</v>
      </c>
      <c r="P1243">
        <v>1.2542933784960339E-2</v>
      </c>
      <c r="Q1243">
        <v>2.9043462506738184E-3</v>
      </c>
      <c r="R1243">
        <v>6.9667172835456942E-4</v>
      </c>
      <c r="S1243">
        <v>8.326588491654234E-2</v>
      </c>
      <c r="T1243">
        <v>0.81668812352608988</v>
      </c>
      <c r="U1243">
        <v>1.691315660030145E-2</v>
      </c>
      <c r="V1243">
        <v>1.0413149326763028E-2</v>
      </c>
      <c r="W1243">
        <v>4.1145098737506498E-2</v>
      </c>
      <c r="X1243">
        <v>9.4911923727533879E-3</v>
      </c>
      <c r="Y1243">
        <v>1.8961107868076079E-3</v>
      </c>
    </row>
    <row r="1244" spans="1:25">
      <c r="A1244" s="876"/>
      <c r="B1244" s="1202">
        <v>994</v>
      </c>
      <c r="C1244" s="880">
        <v>0.99801750038883275</v>
      </c>
      <c r="D1244" s="880">
        <v>0.97625166314442591</v>
      </c>
      <c r="E1244" s="880">
        <v>1.0266804384547052</v>
      </c>
      <c r="F1244" s="880">
        <v>1.0060174519248166</v>
      </c>
      <c r="G1244" s="880">
        <v>0.96633399236268536</v>
      </c>
      <c r="H1244" s="880">
        <v>0.9869382619957654</v>
      </c>
      <c r="I1244" s="880">
        <v>1.0031860212289012</v>
      </c>
      <c r="K1244">
        <v>1.0766998666940193</v>
      </c>
      <c r="L1244">
        <v>0</v>
      </c>
      <c r="M1244">
        <v>6.5337503938240238E-4</v>
      </c>
      <c r="N1244">
        <v>7.0720978742577628E-2</v>
      </c>
      <c r="O1244">
        <v>8.9187066535621317E-3</v>
      </c>
      <c r="P1244">
        <v>1.2897297128775284E-2</v>
      </c>
      <c r="Q1244">
        <v>3.0737343653714395E-3</v>
      </c>
      <c r="R1244">
        <v>6.4221012972963908E-4</v>
      </c>
      <c r="S1244">
        <v>8.6479317821748933E-2</v>
      </c>
      <c r="T1244">
        <v>0.81369481632545593</v>
      </c>
      <c r="U1244">
        <v>1.694422077705441E-2</v>
      </c>
      <c r="V1244">
        <v>1.0413327904902249E-2</v>
      </c>
      <c r="W1244">
        <v>4.1515383889145122E-2</v>
      </c>
      <c r="X1244">
        <v>1.0305363726466966E-2</v>
      </c>
      <c r="Y1244">
        <v>1.7478842686117094E-3</v>
      </c>
    </row>
    <row r="1245" spans="1:25">
      <c r="A1245" s="876"/>
      <c r="B1245" s="1202">
        <v>995</v>
      </c>
      <c r="C1245" s="880">
        <v>0.97027077599366762</v>
      </c>
      <c r="D1245" s="880">
        <v>1.0046645282862019</v>
      </c>
      <c r="E1245" s="880">
        <v>1.0326967806936096</v>
      </c>
      <c r="F1245" s="880">
        <v>1.0022492163369006</v>
      </c>
      <c r="G1245" s="880">
        <v>0.98536809537529524</v>
      </c>
      <c r="H1245" s="880">
        <v>1.0041989143477847</v>
      </c>
      <c r="I1245" s="880">
        <v>1.0312546635412501</v>
      </c>
      <c r="K1245">
        <v>1.0856361895688611</v>
      </c>
      <c r="L1245">
        <v>0</v>
      </c>
      <c r="M1245">
        <v>6.6492964870418507E-4</v>
      </c>
      <c r="N1245">
        <v>7.3347707338876411E-2</v>
      </c>
      <c r="O1245">
        <v>9.03434780651244E-3</v>
      </c>
      <c r="P1245">
        <v>1.3014337501819911E-2</v>
      </c>
      <c r="Q1245">
        <v>3.1389147860048706E-3</v>
      </c>
      <c r="R1245">
        <v>6.5373894666147616E-4</v>
      </c>
      <c r="S1245">
        <v>9.079714775945176E-2</v>
      </c>
      <c r="T1245">
        <v>0.81321516903396385</v>
      </c>
      <c r="U1245">
        <v>1.7428772755351693E-2</v>
      </c>
      <c r="V1245">
        <v>1.0416113441159638E-2</v>
      </c>
      <c r="W1245">
        <v>4.2884074185514633E-2</v>
      </c>
      <c r="X1245">
        <v>1.0591533754420889E-2</v>
      </c>
      <c r="Y1245">
        <v>1.7792619078266896E-3</v>
      </c>
    </row>
    <row r="1246" spans="1:25">
      <c r="A1246" s="876"/>
      <c r="B1246" s="1202">
        <v>996</v>
      </c>
      <c r="C1246" s="880">
        <v>1.0002927997852102</v>
      </c>
      <c r="D1246" s="880">
        <v>1.0067142984014281</v>
      </c>
      <c r="E1246" s="880">
        <v>0.97097362341521332</v>
      </c>
      <c r="F1246" s="880">
        <v>1.0332910950720837</v>
      </c>
      <c r="G1246" s="880">
        <v>0.97929662639074766</v>
      </c>
      <c r="H1246" s="880">
        <v>1.0042880994319276</v>
      </c>
      <c r="I1246" s="880">
        <v>1.0179200751527662</v>
      </c>
      <c r="K1246">
        <v>1.0750473206626505</v>
      </c>
      <c r="L1246">
        <v>0</v>
      </c>
      <c r="M1246">
        <v>7.337959127988083E-4</v>
      </c>
      <c r="N1246">
        <v>6.6803673841686659E-2</v>
      </c>
      <c r="O1246">
        <v>8.7536834617591968E-3</v>
      </c>
      <c r="P1246">
        <v>1.2435521278200749E-2</v>
      </c>
      <c r="Q1246">
        <v>2.8590387846796862E-3</v>
      </c>
      <c r="R1246">
        <v>7.2144545117110181E-4</v>
      </c>
      <c r="S1246">
        <v>8.6848286471802136E-2</v>
      </c>
      <c r="T1246">
        <v>0.81819449888024265</v>
      </c>
      <c r="U1246">
        <v>1.6905678886805494E-2</v>
      </c>
      <c r="V1246">
        <v>1.0413106339750263E-2</v>
      </c>
      <c r="W1246">
        <v>4.0740853346152524E-2</v>
      </c>
      <c r="X1246">
        <v>9.1417931395396546E-3</v>
      </c>
      <c r="Y1246">
        <v>1.9635366936586775E-3</v>
      </c>
    </row>
    <row r="1247" spans="1:25">
      <c r="A1247" s="876"/>
      <c r="B1247" s="1202">
        <v>997</v>
      </c>
      <c r="C1247" s="880">
        <v>1.0065099284451511</v>
      </c>
      <c r="D1247" s="880">
        <v>0.95986686376107855</v>
      </c>
      <c r="E1247" s="880">
        <v>1.0291454535054105</v>
      </c>
      <c r="F1247" s="880">
        <v>0.97392923832443601</v>
      </c>
      <c r="G1247" s="880">
        <v>0.98273553431515193</v>
      </c>
      <c r="H1247" s="880">
        <v>0.99411352520210827</v>
      </c>
      <c r="I1247" s="880">
        <v>1.0033175099706004</v>
      </c>
      <c r="K1247">
        <v>1.0778488084221589</v>
      </c>
      <c r="L1247">
        <v>0</v>
      </c>
      <c r="M1247">
        <v>6.5506941610821243E-4</v>
      </c>
      <c r="N1247">
        <v>7.1459617021846444E-2</v>
      </c>
      <c r="O1247">
        <v>8.9238878368295728E-3</v>
      </c>
      <c r="P1247">
        <v>1.2919520001361253E-2</v>
      </c>
      <c r="Q1247">
        <v>3.0790831760244674E-3</v>
      </c>
      <c r="R1247">
        <v>6.4397034594415527E-4</v>
      </c>
      <c r="S1247">
        <v>8.6750797285276668E-2</v>
      </c>
      <c r="T1247">
        <v>0.81349814586800673</v>
      </c>
      <c r="U1247">
        <v>1.680125390524044E-2</v>
      </c>
      <c r="V1247">
        <v>1.0412506033518209E-2</v>
      </c>
      <c r="W1247">
        <v>4.1879651105619926E-2</v>
      </c>
      <c r="X1247">
        <v>1.0382770261706817E-2</v>
      </c>
      <c r="Y1247">
        <v>1.7526749968925029E-3</v>
      </c>
    </row>
    <row r="1248" spans="1:25">
      <c r="A1248" s="876"/>
      <c r="B1248" s="1202">
        <v>998</v>
      </c>
      <c r="C1248" s="880">
        <v>0.98936356317744634</v>
      </c>
      <c r="D1248" s="880">
        <v>0.96906086186402596</v>
      </c>
      <c r="E1248" s="880">
        <v>1.0205725356764075</v>
      </c>
      <c r="F1248" s="880">
        <v>0.96251701715815108</v>
      </c>
      <c r="G1248" s="880">
        <v>0.98095234794349695</v>
      </c>
      <c r="H1248" s="880">
        <v>1.0080726466634822</v>
      </c>
      <c r="I1248" s="880">
        <v>0.97901199445730525</v>
      </c>
      <c r="K1248">
        <v>1.0806264508867078</v>
      </c>
      <c r="L1248">
        <v>0</v>
      </c>
      <c r="M1248">
        <v>6.8464528565541263E-4</v>
      </c>
      <c r="N1248">
        <v>7.2740362855919213E-2</v>
      </c>
      <c r="O1248">
        <v>9.032351832204218E-3</v>
      </c>
      <c r="P1248">
        <v>1.284489581159882E-2</v>
      </c>
      <c r="Q1248">
        <v>3.092365073577014E-3</v>
      </c>
      <c r="R1248">
        <v>6.7319759608113437E-4</v>
      </c>
      <c r="S1248">
        <v>8.620893477417059E-2</v>
      </c>
      <c r="T1248">
        <v>0.814183026738732</v>
      </c>
      <c r="U1248">
        <v>1.7092431433033663E-2</v>
      </c>
      <c r="V1248">
        <v>1.0414179921144986E-2</v>
      </c>
      <c r="W1248">
        <v>4.287673403541261E-2</v>
      </c>
      <c r="X1248">
        <v>1.0320394163484332E-2</v>
      </c>
      <c r="Y1248">
        <v>1.8322219370049419E-3</v>
      </c>
    </row>
    <row r="1249" spans="1:25">
      <c r="A1249" s="876"/>
      <c r="B1249" s="1202">
        <v>999</v>
      </c>
      <c r="C1249" s="880">
        <v>1.0344444863976496</v>
      </c>
      <c r="D1249" s="880">
        <v>1.0031858001519691</v>
      </c>
      <c r="E1249" s="880">
        <v>1.0016180412614561</v>
      </c>
      <c r="F1249" s="880">
        <v>0.98553419830436073</v>
      </c>
      <c r="G1249" s="880">
        <v>0.99055409448976484</v>
      </c>
      <c r="H1249" s="880">
        <v>1.0029214251115519</v>
      </c>
      <c r="I1249" s="880">
        <v>0.99398171556156345</v>
      </c>
      <c r="K1249">
        <v>1.0663193973587461</v>
      </c>
      <c r="L1249">
        <v>0</v>
      </c>
      <c r="M1249">
        <v>6.656526428384734E-4</v>
      </c>
      <c r="N1249">
        <v>6.6667081577191006E-2</v>
      </c>
      <c r="O1249">
        <v>8.4805411866167527E-3</v>
      </c>
      <c r="P1249">
        <v>1.2620560087419594E-2</v>
      </c>
      <c r="Q1249">
        <v>2.8564000932429548E-3</v>
      </c>
      <c r="R1249">
        <v>6.5443671409559103E-4</v>
      </c>
      <c r="S1249">
        <v>8.2102668161860959E-2</v>
      </c>
      <c r="T1249">
        <v>0.81570617027718273</v>
      </c>
      <c r="U1249">
        <v>1.6347546038784501E-2</v>
      </c>
      <c r="V1249">
        <v>1.0409897810316411E-2</v>
      </c>
      <c r="W1249">
        <v>3.9805848870531645E-2</v>
      </c>
      <c r="X1249">
        <v>9.5527381835793235E-3</v>
      </c>
      <c r="Y1249">
        <v>1.7811610007633771E-3</v>
      </c>
    </row>
    <row r="1250" spans="1:25">
      <c r="A1250" s="876"/>
      <c r="B1250" s="1202">
        <v>1000</v>
      </c>
      <c r="C1250" s="880">
        <v>0.98360251064905402</v>
      </c>
      <c r="D1250" s="880">
        <v>1.0036860298767556</v>
      </c>
      <c r="E1250" s="880">
        <v>1.0002465337917177</v>
      </c>
      <c r="F1250" s="880">
        <v>1.023546084204711</v>
      </c>
      <c r="G1250" s="880">
        <v>1.0073652843652934</v>
      </c>
      <c r="H1250" s="880">
        <v>1.0252643597011131</v>
      </c>
      <c r="I1250" s="880">
        <v>0.96764692928043405</v>
      </c>
      <c r="K1250">
        <v>1.0789670404043097</v>
      </c>
      <c r="L1250">
        <v>0</v>
      </c>
      <c r="M1250">
        <v>7.1753581530908386E-4</v>
      </c>
      <c r="N1250">
        <v>7.1584056293968565E-2</v>
      </c>
      <c r="O1250">
        <v>8.9165266499352004E-3</v>
      </c>
      <c r="P1250">
        <v>1.2657885154287679E-2</v>
      </c>
      <c r="Q1250">
        <v>2.9992240871313061E-3</v>
      </c>
      <c r="R1250">
        <v>7.0570872027190894E-4</v>
      </c>
      <c r="S1250">
        <v>8.4822328055414148E-2</v>
      </c>
      <c r="T1250">
        <v>0.8158168559818314</v>
      </c>
      <c r="U1250">
        <v>1.7192543413490764E-2</v>
      </c>
      <c r="V1250">
        <v>1.0414755433296107E-2</v>
      </c>
      <c r="W1250">
        <v>4.2781799175359791E-2</v>
      </c>
      <c r="X1250">
        <v>9.8721867548684852E-3</v>
      </c>
      <c r="Y1250">
        <v>1.9207064997630214E-3</v>
      </c>
    </row>
    <row r="1251" spans="1:25">
      <c r="A1251" s="876"/>
      <c r="B1251" s="1202">
        <v>1001</v>
      </c>
      <c r="C1251" s="880">
        <v>1.0095602593243638</v>
      </c>
      <c r="D1251" s="880">
        <v>1.0463995381922224</v>
      </c>
      <c r="E1251" s="880">
        <v>1.0024619236360983</v>
      </c>
      <c r="F1251" s="880">
        <v>0.98253747125279878</v>
      </c>
      <c r="G1251" s="880">
        <v>0.99687358552757643</v>
      </c>
      <c r="H1251" s="880">
        <v>1.0203194281750831</v>
      </c>
      <c r="I1251" s="880">
        <v>1.0336322741887836</v>
      </c>
      <c r="K1251">
        <v>1.0732327562456749</v>
      </c>
      <c r="L1251">
        <v>0</v>
      </c>
      <c r="M1251">
        <v>6.7732610839947864E-4</v>
      </c>
      <c r="N1251">
        <v>6.8030878398492048E-2</v>
      </c>
      <c r="O1251">
        <v>8.496765219916616E-3</v>
      </c>
      <c r="P1251">
        <v>1.2690368528364452E-2</v>
      </c>
      <c r="Q1251">
        <v>2.8732327915642329E-3</v>
      </c>
      <c r="R1251">
        <v>6.6607366110069902E-4</v>
      </c>
      <c r="S1251">
        <v>8.6290153152713878E-2</v>
      </c>
      <c r="T1251">
        <v>0.81563809763042194</v>
      </c>
      <c r="U1251">
        <v>1.6750489839278751E-2</v>
      </c>
      <c r="V1251">
        <v>1.0412214206938933E-2</v>
      </c>
      <c r="W1251">
        <v>4.0596735440623775E-2</v>
      </c>
      <c r="X1251">
        <v>9.6522405502661238E-3</v>
      </c>
      <c r="Y1251">
        <v>1.8128329343927319E-3</v>
      </c>
    </row>
    <row r="1252" spans="1:25">
      <c r="A1252" s="876"/>
      <c r="B1252" s="1202">
        <v>1002</v>
      </c>
      <c r="C1252" s="880">
        <v>1.0232089633236947</v>
      </c>
      <c r="D1252" s="880">
        <v>1.0010816581085089</v>
      </c>
      <c r="E1252" s="880">
        <v>1.0133895858409412</v>
      </c>
      <c r="F1252" s="880">
        <v>1.0330497273015584</v>
      </c>
      <c r="G1252" s="880">
        <v>0.97137906268742247</v>
      </c>
      <c r="H1252" s="880">
        <v>0.97754954854238962</v>
      </c>
      <c r="I1252" s="880">
        <v>0.98289641484802404</v>
      </c>
      <c r="K1252">
        <v>1.0645974970916003</v>
      </c>
      <c r="L1252">
        <v>0</v>
      </c>
      <c r="M1252">
        <v>6.405732342772124E-4</v>
      </c>
      <c r="N1252">
        <v>6.6517615830543775E-2</v>
      </c>
      <c r="O1252">
        <v>8.5832664328171927E-3</v>
      </c>
      <c r="P1252">
        <v>1.2709541905781193E-2</v>
      </c>
      <c r="Q1252">
        <v>2.9248092750245045E-3</v>
      </c>
      <c r="R1252">
        <v>6.295014503142339E-4</v>
      </c>
      <c r="S1252">
        <v>8.1293477384263846E-2</v>
      </c>
      <c r="T1252">
        <v>0.81475879409241314</v>
      </c>
      <c r="U1252">
        <v>1.6527053096780452E-2</v>
      </c>
      <c r="V1252">
        <v>1.0410929739688086E-2</v>
      </c>
      <c r="W1252">
        <v>3.9399645264580091E-2</v>
      </c>
      <c r="X1252">
        <v>9.7701404210120725E-3</v>
      </c>
      <c r="Y1252">
        <v>1.7132954326580197E-3</v>
      </c>
    </row>
    <row r="1253" spans="1:25">
      <c r="A1253" s="876"/>
      <c r="B1253" s="1202">
        <v>1003</v>
      </c>
      <c r="C1253" s="880">
        <v>0.97806734408378038</v>
      </c>
      <c r="D1253" s="880">
        <v>1.0382359454205323</v>
      </c>
      <c r="E1253" s="880">
        <v>1.0052428087810616</v>
      </c>
      <c r="F1253" s="880">
        <v>1.0065941609549971</v>
      </c>
      <c r="G1253" s="880">
        <v>0.97949109431085923</v>
      </c>
      <c r="H1253" s="880">
        <v>1.0433338684367102</v>
      </c>
      <c r="I1253" s="880">
        <v>0.99474992123670969</v>
      </c>
      <c r="K1253">
        <v>1.0817991924042827</v>
      </c>
      <c r="L1253">
        <v>0</v>
      </c>
      <c r="M1253">
        <v>7.1368422276269362E-4</v>
      </c>
      <c r="N1253">
        <v>7.2333004856816971E-2</v>
      </c>
      <c r="O1253">
        <v>8.8069163589716819E-3</v>
      </c>
      <c r="P1253">
        <v>1.2728999218733777E-2</v>
      </c>
      <c r="Q1253">
        <v>2.9847154161443115E-3</v>
      </c>
      <c r="R1253">
        <v>7.020958404862583E-4</v>
      </c>
      <c r="S1253">
        <v>8.6872174198580843E-2</v>
      </c>
      <c r="T1253">
        <v>0.81541394599208461</v>
      </c>
      <c r="U1253">
        <v>1.728984099943922E-2</v>
      </c>
      <c r="V1253">
        <v>1.0415314766382249E-2</v>
      </c>
      <c r="W1253">
        <v>4.3082151624253745E-2</v>
      </c>
      <c r="X1253">
        <v>9.9728439231796858E-3</v>
      </c>
      <c r="Y1253">
        <v>1.910873431971981E-3</v>
      </c>
    </row>
    <row r="1254" spans="1:25">
      <c r="A1254" s="876"/>
      <c r="B1254" s="1202">
        <v>1004</v>
      </c>
      <c r="C1254" s="880">
        <v>1.0252370510819726</v>
      </c>
      <c r="D1254" s="880">
        <v>0.97188136618983501</v>
      </c>
      <c r="E1254" s="880">
        <v>1.0206726692788564</v>
      </c>
      <c r="F1254" s="880">
        <v>1.0084663774714298</v>
      </c>
      <c r="G1254" s="880">
        <v>0.98317584838307137</v>
      </c>
      <c r="H1254" s="880">
        <v>1.0082433193645663</v>
      </c>
      <c r="I1254" s="880">
        <v>0.99376486187661794</v>
      </c>
      <c r="K1254">
        <v>1.0731814209397541</v>
      </c>
      <c r="L1254">
        <v>0</v>
      </c>
      <c r="M1254">
        <v>6.5963771990995448E-4</v>
      </c>
      <c r="N1254">
        <v>7.0105172870412374E-2</v>
      </c>
      <c r="O1254">
        <v>8.7027687491041412E-3</v>
      </c>
      <c r="P1254">
        <v>1.2811347337316221E-2</v>
      </c>
      <c r="Q1254">
        <v>2.9804790741426212E-3</v>
      </c>
      <c r="R1254">
        <v>6.4860765486060849E-4</v>
      </c>
      <c r="S1254">
        <v>8.432948375203235E-2</v>
      </c>
      <c r="T1254">
        <v>0.81417501270698756</v>
      </c>
      <c r="U1254">
        <v>1.649435986351248E-2</v>
      </c>
      <c r="V1254">
        <v>1.0410741796617539E-2</v>
      </c>
      <c r="W1254">
        <v>4.13206330987771E-2</v>
      </c>
      <c r="X1254">
        <v>1.0097155532826071E-2</v>
      </c>
      <c r="Y1254">
        <v>1.7652962230746154E-3</v>
      </c>
    </row>
    <row r="1255" spans="1:25">
      <c r="A1255" s="876"/>
      <c r="B1255" s="1202">
        <v>1005</v>
      </c>
      <c r="C1255" s="880">
        <v>0.99354619163517732</v>
      </c>
      <c r="D1255" s="880">
        <v>1.002482634050718</v>
      </c>
      <c r="E1255" s="880">
        <v>1.0103483280451384</v>
      </c>
      <c r="F1255" s="880">
        <v>1.0106193649480879</v>
      </c>
      <c r="G1255" s="880">
        <v>1.0228972833085366</v>
      </c>
      <c r="H1255" s="880">
        <v>0.99185202595157929</v>
      </c>
      <c r="I1255" s="880">
        <v>1.019837917434649</v>
      </c>
      <c r="K1255">
        <v>1.0764758740705966</v>
      </c>
      <c r="L1255">
        <v>0</v>
      </c>
      <c r="M1255">
        <v>6.7315750529382628E-4</v>
      </c>
      <c r="N1255">
        <v>6.9260941040593924E-2</v>
      </c>
      <c r="O1255">
        <v>8.8329351024486174E-3</v>
      </c>
      <c r="P1255">
        <v>1.2774225788186544E-2</v>
      </c>
      <c r="Q1255">
        <v>3.0010716355916376E-3</v>
      </c>
      <c r="R1255">
        <v>6.616891282005484E-4</v>
      </c>
      <c r="S1255">
        <v>8.7330885469301636E-2</v>
      </c>
      <c r="T1255">
        <v>0.81500310335322168</v>
      </c>
      <c r="U1255">
        <v>1.702047575475164E-2</v>
      </c>
      <c r="V1255">
        <v>1.0413766270680724E-2</v>
      </c>
      <c r="W1255">
        <v>4.110932303753171E-2</v>
      </c>
      <c r="X1255">
        <v>9.9397153141822878E-3</v>
      </c>
      <c r="Y1255">
        <v>1.8008996811994045E-3</v>
      </c>
    </row>
    <row r="1256" spans="1:25">
      <c r="A1256" s="876"/>
      <c r="B1256" s="1202">
        <v>1006</v>
      </c>
      <c r="C1256" s="880">
        <v>1.0003570392394749</v>
      </c>
      <c r="D1256" s="880">
        <v>1.0076171729103103</v>
      </c>
      <c r="E1256" s="880">
        <v>1.0139110654699306</v>
      </c>
      <c r="F1256" s="880">
        <v>1.0051389049042134</v>
      </c>
      <c r="G1256" s="880">
        <v>0.9798520570924375</v>
      </c>
      <c r="H1256" s="880">
        <v>1.0048843712311708</v>
      </c>
      <c r="I1256" s="880">
        <v>0.99488105586855446</v>
      </c>
      <c r="K1256">
        <v>1.074242526655137</v>
      </c>
      <c r="L1256">
        <v>0</v>
      </c>
      <c r="M1256">
        <v>6.7046267042832064E-4</v>
      </c>
      <c r="N1256">
        <v>6.9767081580226736E-2</v>
      </c>
      <c r="O1256">
        <v>8.7489407640536296E-3</v>
      </c>
      <c r="P1256">
        <v>1.2768277200738929E-2</v>
      </c>
      <c r="Q1256">
        <v>2.9842627365262984E-3</v>
      </c>
      <c r="R1256">
        <v>6.5918412148686348E-4</v>
      </c>
      <c r="S1256">
        <v>8.4860412388093068E-2</v>
      </c>
      <c r="T1256">
        <v>0.81471693440604087</v>
      </c>
      <c r="U1256">
        <v>1.690459326283017E-2</v>
      </c>
      <c r="V1256">
        <v>1.041310009884096E-2</v>
      </c>
      <c r="W1256">
        <v>4.1309762375116209E-2</v>
      </c>
      <c r="X1256">
        <v>9.986358512911353E-3</v>
      </c>
      <c r="Y1256">
        <v>1.7940818786999948E-3</v>
      </c>
    </row>
    <row r="1257" spans="1:25">
      <c r="A1257" s="876"/>
      <c r="B1257" s="1202">
        <v>1007</v>
      </c>
      <c r="C1257" s="880">
        <v>1.0095853882001522</v>
      </c>
      <c r="D1257" s="880">
        <v>0.99865159607157317</v>
      </c>
      <c r="E1257" s="880">
        <v>1.0007629829729727</v>
      </c>
      <c r="F1257" s="880">
        <v>0.96921466251385513</v>
      </c>
      <c r="G1257" s="880">
        <v>0.98615791349965398</v>
      </c>
      <c r="H1257" s="880">
        <v>1.0210628384244624</v>
      </c>
      <c r="I1257" s="880">
        <v>0.99691254362323312</v>
      </c>
      <c r="K1257">
        <v>1.0753407956644245</v>
      </c>
      <c r="L1257">
        <v>0</v>
      </c>
      <c r="M1257">
        <v>6.9731032229205755E-4</v>
      </c>
      <c r="N1257">
        <v>6.9673772970037018E-2</v>
      </c>
      <c r="O1257">
        <v>8.71037286167178E-3</v>
      </c>
      <c r="P1257">
        <v>1.2661330715663518E-2</v>
      </c>
      <c r="Q1257">
        <v>2.9303014939305707E-3</v>
      </c>
      <c r="R1257">
        <v>6.8577356623606605E-4</v>
      </c>
      <c r="S1257">
        <v>8.5203880964864531E-2</v>
      </c>
      <c r="T1257">
        <v>0.81577516912731096</v>
      </c>
      <c r="U1257">
        <v>1.6750072914684274E-2</v>
      </c>
      <c r="V1257">
        <v>1.0412211810171147E-2</v>
      </c>
      <c r="W1257">
        <v>4.1625422516858808E-2</v>
      </c>
      <c r="X1257">
        <v>9.7433474631881435E-3</v>
      </c>
      <c r="Y1257">
        <v>1.8664495820992178E-3</v>
      </c>
    </row>
    <row r="1258" spans="1:25">
      <c r="A1258" s="876"/>
      <c r="B1258" s="1202">
        <v>1008</v>
      </c>
      <c r="C1258" s="880">
        <v>1.0029985259816523</v>
      </c>
      <c r="D1258" s="880">
        <v>0.95690559678196629</v>
      </c>
      <c r="E1258" s="880">
        <v>1.0110730585809251</v>
      </c>
      <c r="F1258" s="880">
        <v>1.0099657851640402</v>
      </c>
      <c r="G1258" s="880">
        <v>0.99085947191083523</v>
      </c>
      <c r="H1258" s="880">
        <v>0.98525227550648664</v>
      </c>
      <c r="I1258" s="880">
        <v>1.0059033699086541</v>
      </c>
      <c r="K1258">
        <v>1.0772905568523639</v>
      </c>
      <c r="L1258">
        <v>0</v>
      </c>
      <c r="M1258">
        <v>6.7797390606256667E-4</v>
      </c>
      <c r="N1258">
        <v>6.9909913902196516E-2</v>
      </c>
      <c r="O1258">
        <v>8.9699573992049215E-3</v>
      </c>
      <c r="P1258">
        <v>1.277472166597278E-2</v>
      </c>
      <c r="Q1258">
        <v>3.0391578568772404E-3</v>
      </c>
      <c r="R1258">
        <v>6.6638612113920114E-4</v>
      </c>
      <c r="S1258">
        <v>8.708863781417979E-2</v>
      </c>
      <c r="T1258">
        <v>0.81494485597200883</v>
      </c>
      <c r="U1258">
        <v>1.6860073497517523E-2</v>
      </c>
      <c r="V1258">
        <v>1.0412844168773616E-2</v>
      </c>
      <c r="W1258">
        <v>4.147409749872473E-2</v>
      </c>
      <c r="X1258">
        <v>1.0014201514214994E-2</v>
      </c>
      <c r="Y1258">
        <v>1.8136833476151103E-3</v>
      </c>
    </row>
    <row r="1259" spans="1:25">
      <c r="A1259" s="876"/>
      <c r="B1259" s="1202">
        <v>1009</v>
      </c>
      <c r="C1259" s="880">
        <v>0.99049012009286375</v>
      </c>
      <c r="D1259" s="880">
        <v>1.0170390723453171</v>
      </c>
      <c r="E1259" s="880">
        <v>0.98250773548522885</v>
      </c>
      <c r="F1259" s="880">
        <v>1.0104353034562141</v>
      </c>
      <c r="G1259" s="880">
        <v>0.98130612168185594</v>
      </c>
      <c r="H1259" s="880">
        <v>0.9785928864538932</v>
      </c>
      <c r="I1259" s="880">
        <v>1.0303448941466926</v>
      </c>
      <c r="K1259">
        <v>1.0736868135156221</v>
      </c>
      <c r="L1259">
        <v>0</v>
      </c>
      <c r="M1259">
        <v>7.0102037865211965E-4</v>
      </c>
      <c r="N1259">
        <v>6.612502194828522E-2</v>
      </c>
      <c r="O1259">
        <v>8.7923985340387836E-3</v>
      </c>
      <c r="P1259">
        <v>1.2542203407768553E-2</v>
      </c>
      <c r="Q1259">
        <v>2.90781299080627E-3</v>
      </c>
      <c r="R1259">
        <v>6.8890272494717328E-4</v>
      </c>
      <c r="S1259">
        <v>8.7381708464994254E-2</v>
      </c>
      <c r="T1259">
        <v>0.81725419536669841</v>
      </c>
      <c r="U1259">
        <v>1.7072990959634136E-2</v>
      </c>
      <c r="V1259">
        <v>1.0414068164004505E-2</v>
      </c>
      <c r="W1259">
        <v>4.0004770897073508E-2</v>
      </c>
      <c r="X1259">
        <v>9.3287943154379705E-3</v>
      </c>
      <c r="Y1259">
        <v>1.874966120583961E-3</v>
      </c>
    </row>
    <row r="1260" spans="1:25">
      <c r="A1260" s="876"/>
      <c r="B1260" s="1202">
        <v>1010</v>
      </c>
      <c r="C1260" s="880">
        <v>1.0064320927936454</v>
      </c>
      <c r="D1260" s="880">
        <v>0.99592926438542895</v>
      </c>
      <c r="E1260" s="880">
        <v>1.007747588204279</v>
      </c>
      <c r="F1260" s="880">
        <v>0.98137744385232017</v>
      </c>
      <c r="G1260" s="880">
        <v>0.97432299874650763</v>
      </c>
      <c r="H1260" s="880">
        <v>0.96547209645642185</v>
      </c>
      <c r="I1260" s="880">
        <v>0.9983699701311135</v>
      </c>
      <c r="K1260">
        <v>1.0682261617093749</v>
      </c>
      <c r="L1260">
        <v>0</v>
      </c>
      <c r="M1260">
        <v>6.5269534220239404E-4</v>
      </c>
      <c r="N1260">
        <v>6.6583805500489618E-2</v>
      </c>
      <c r="O1260">
        <v>8.7503954672916041E-3</v>
      </c>
      <c r="P1260">
        <v>1.2700157816496336E-2</v>
      </c>
      <c r="Q1260">
        <v>2.9638519898327691E-3</v>
      </c>
      <c r="R1260">
        <v>6.4127724541108251E-4</v>
      </c>
      <c r="S1260">
        <v>8.3736394929162183E-2</v>
      </c>
      <c r="T1260">
        <v>0.8152122748288595</v>
      </c>
      <c r="U1260">
        <v>1.6802553284059132E-2</v>
      </c>
      <c r="V1260">
        <v>1.0412513503236576E-2</v>
      </c>
      <c r="W1260">
        <v>3.9590276092776912E-2</v>
      </c>
      <c r="X1260">
        <v>9.7400111289390589E-3</v>
      </c>
      <c r="Y1260">
        <v>1.7453452650218312E-3</v>
      </c>
    </row>
    <row r="1261" spans="1:25">
      <c r="A1261" s="876"/>
      <c r="B1261" s="1202">
        <v>1011</v>
      </c>
      <c r="C1261" s="880">
        <v>1.0091495302189577</v>
      </c>
      <c r="D1261" s="880">
        <v>0.97456098577983574</v>
      </c>
      <c r="E1261" s="880">
        <v>1.0059252611481135</v>
      </c>
      <c r="F1261" s="880">
        <v>1.0060165141147386</v>
      </c>
      <c r="G1261" s="880">
        <v>0.99820274293192879</v>
      </c>
      <c r="H1261" s="880">
        <v>1.0256903196783316</v>
      </c>
      <c r="I1261" s="880">
        <v>0.98628958199409533</v>
      </c>
      <c r="K1261">
        <v>1.0781470568076352</v>
      </c>
      <c r="L1261">
        <v>0</v>
      </c>
      <c r="M1261">
        <v>7.0226779639375836E-4</v>
      </c>
      <c r="N1261">
        <v>7.1312437210201252E-2</v>
      </c>
      <c r="O1261">
        <v>8.8284994691969782E-3</v>
      </c>
      <c r="P1261">
        <v>1.2708970242746769E-2</v>
      </c>
      <c r="Q1261">
        <v>2.9799920467855107E-3</v>
      </c>
      <c r="R1261">
        <v>6.9072228210351563E-4</v>
      </c>
      <c r="S1261">
        <v>8.5530557006736965E-2</v>
      </c>
      <c r="T1261">
        <v>0.81535897750126796</v>
      </c>
      <c r="U1261">
        <v>1.675730737572979E-2</v>
      </c>
      <c r="V1261">
        <v>1.0412253398802392E-2</v>
      </c>
      <c r="W1261">
        <v>4.2454540714556878E-2</v>
      </c>
      <c r="X1261">
        <v>9.935149000553983E-3</v>
      </c>
      <c r="Y1261">
        <v>1.8799183553466694E-3</v>
      </c>
    </row>
    <row r="1262" spans="1:25">
      <c r="A1262" s="876"/>
      <c r="B1262" s="1202">
        <v>1012</v>
      </c>
      <c r="C1262" s="880">
        <v>0.9879677641444613</v>
      </c>
      <c r="D1262" s="880">
        <v>1.0077289909054659</v>
      </c>
      <c r="E1262" s="880">
        <v>1.0086561272215209</v>
      </c>
      <c r="F1262" s="880">
        <v>0.99402887220029523</v>
      </c>
      <c r="G1262" s="880">
        <v>1.0014715016198701</v>
      </c>
      <c r="H1262" s="880">
        <v>0.99351708708325803</v>
      </c>
      <c r="I1262" s="880">
        <v>0.99484962835735691</v>
      </c>
      <c r="K1262">
        <v>1.0752363795187228</v>
      </c>
      <c r="L1262">
        <v>0</v>
      </c>
      <c r="M1262">
        <v>6.786329727823927E-4</v>
      </c>
      <c r="N1262">
        <v>6.9459492178117213E-2</v>
      </c>
      <c r="O1262">
        <v>8.8581300800761129E-3</v>
      </c>
      <c r="P1262">
        <v>1.2736405717729505E-2</v>
      </c>
      <c r="Q1262">
        <v>3.0057127189102688E-3</v>
      </c>
      <c r="R1262">
        <v>6.6708627335481069E-4</v>
      </c>
      <c r="S1262">
        <v>8.5509528611316984E-2</v>
      </c>
      <c r="T1262">
        <v>0.81513917698114702</v>
      </c>
      <c r="U1262">
        <v>1.7116579588602528E-2</v>
      </c>
      <c r="V1262">
        <v>1.0414318741263152E-2</v>
      </c>
      <c r="W1262">
        <v>4.1274619465319518E-2</v>
      </c>
      <c r="X1262">
        <v>9.9183732045272002E-3</v>
      </c>
      <c r="Y1262">
        <v>1.8155889311408837E-3</v>
      </c>
    </row>
    <row r="1263" spans="1:25">
      <c r="A1263" s="876"/>
      <c r="B1263" s="1202">
        <v>1013</v>
      </c>
      <c r="C1263" s="880">
        <v>1.0289318570891171</v>
      </c>
      <c r="D1263" s="880">
        <v>1.0203491625902745</v>
      </c>
      <c r="E1263" s="880">
        <v>1.0323793213310892</v>
      </c>
      <c r="F1263" s="880">
        <v>0.99573303409422853</v>
      </c>
      <c r="G1263" s="880">
        <v>0.98739652839625025</v>
      </c>
      <c r="H1263" s="880">
        <v>0.98900260077457436</v>
      </c>
      <c r="I1263" s="880">
        <v>0.98325200992134643</v>
      </c>
      <c r="K1263">
        <v>1.0635461156940302</v>
      </c>
      <c r="L1263">
        <v>0</v>
      </c>
      <c r="M1263">
        <v>6.1288148250568722E-4</v>
      </c>
      <c r="N1263">
        <v>6.7520655984120881E-2</v>
      </c>
      <c r="O1263">
        <v>8.4492797979189831E-3</v>
      </c>
      <c r="P1263">
        <v>1.2853736816669509E-2</v>
      </c>
      <c r="Q1263">
        <v>2.9380967867023624E-3</v>
      </c>
      <c r="R1263">
        <v>6.0239640113496167E-4</v>
      </c>
      <c r="S1263">
        <v>8.0494820338406159E-2</v>
      </c>
      <c r="T1263">
        <v>0.81324044730136158</v>
      </c>
      <c r="U1263">
        <v>1.6435130032607898E-2</v>
      </c>
      <c r="V1263">
        <v>1.0410401303029853E-2</v>
      </c>
      <c r="W1263">
        <v>3.9485566695269592E-2</v>
      </c>
      <c r="X1263">
        <v>1.0088941295344983E-2</v>
      </c>
      <c r="Y1263">
        <v>1.639524423969101E-3</v>
      </c>
    </row>
    <row r="1264" spans="1:25">
      <c r="A1264" s="876"/>
      <c r="B1264" s="1202">
        <v>1014</v>
      </c>
      <c r="C1264" s="880">
        <v>0.97768384892346005</v>
      </c>
      <c r="D1264" s="880">
        <v>1.0100141944702852</v>
      </c>
      <c r="E1264" s="880">
        <v>1.0112077819277581</v>
      </c>
      <c r="F1264" s="880">
        <v>0.96654952075935263</v>
      </c>
      <c r="G1264" s="880">
        <v>0.9880835653096891</v>
      </c>
      <c r="H1264" s="880">
        <v>0.97176566008648291</v>
      </c>
      <c r="I1264" s="880">
        <v>1.0338977475964126</v>
      </c>
      <c r="K1264">
        <v>1.0775420833403937</v>
      </c>
      <c r="L1264">
        <v>0</v>
      </c>
      <c r="M1264">
        <v>6.6635443929071196E-4</v>
      </c>
      <c r="N1264">
        <v>6.8719102315518407E-2</v>
      </c>
      <c r="O1264">
        <v>8.940508910254755E-3</v>
      </c>
      <c r="P1264">
        <v>1.28065583637664E-2</v>
      </c>
      <c r="Q1264">
        <v>3.0419261156759314E-3</v>
      </c>
      <c r="R1264">
        <v>6.5476095576857594E-4</v>
      </c>
      <c r="S1264">
        <v>8.8881331468640815E-2</v>
      </c>
      <c r="T1264">
        <v>0.81493403008104603</v>
      </c>
      <c r="U1264">
        <v>1.7296622916061113E-2</v>
      </c>
      <c r="V1264">
        <v>1.0415353753478551E-2</v>
      </c>
      <c r="W1264">
        <v>4.0763918977556206E-2</v>
      </c>
      <c r="X1264">
        <v>9.972280442206858E-3</v>
      </c>
      <c r="Y1264">
        <v>1.7820434797110034E-3</v>
      </c>
    </row>
    <row r="1265" spans="1:25">
      <c r="A1265" s="876"/>
      <c r="B1265" s="1202">
        <v>1015</v>
      </c>
      <c r="C1265" s="880">
        <v>0.95554153931389896</v>
      </c>
      <c r="D1265" s="880">
        <v>1.0438633122362084</v>
      </c>
      <c r="E1265" s="880">
        <v>1.0307238155080627</v>
      </c>
      <c r="F1265" s="880">
        <v>0.98359309403091366</v>
      </c>
      <c r="G1265" s="880">
        <v>1.0001595452950116</v>
      </c>
      <c r="H1265" s="880">
        <v>0.97961844999317194</v>
      </c>
      <c r="I1265" s="880">
        <v>1.0277459342679518</v>
      </c>
      <c r="K1265">
        <v>1.0805650277433301</v>
      </c>
      <c r="L1265">
        <v>0</v>
      </c>
      <c r="M1265">
        <v>6.4810591745602852E-4</v>
      </c>
      <c r="N1265">
        <v>7.1021446504877156E-2</v>
      </c>
      <c r="O1265">
        <v>8.9886806993935281E-3</v>
      </c>
      <c r="P1265">
        <v>1.2979771119819742E-2</v>
      </c>
      <c r="Q1265">
        <v>3.1257996222935789E-3</v>
      </c>
      <c r="R1265">
        <v>6.3689352105728491E-4</v>
      </c>
      <c r="S1265">
        <v>8.9228355095707645E-2</v>
      </c>
      <c r="T1265">
        <v>0.81337232567188011</v>
      </c>
      <c r="U1265">
        <v>1.769742933216132E-2</v>
      </c>
      <c r="V1265">
        <v>1.0417657862953379E-2</v>
      </c>
      <c r="W1265">
        <v>4.1578854127389431E-2</v>
      </c>
      <c r="X1265">
        <v>1.0432505890827498E-2</v>
      </c>
      <c r="Y1265">
        <v>1.7334142124251395E-3</v>
      </c>
    </row>
    <row r="1266" spans="1:25">
      <c r="A1266" s="876"/>
      <c r="B1266" s="1202">
        <v>1016</v>
      </c>
      <c r="C1266" s="880">
        <v>0.99162275947299627</v>
      </c>
      <c r="D1266" s="880">
        <v>1.030992816172962</v>
      </c>
      <c r="E1266" s="880">
        <v>1.0047905734877547</v>
      </c>
      <c r="F1266" s="880">
        <v>1.0412593701578805</v>
      </c>
      <c r="G1266" s="880">
        <v>1.0378978667037217</v>
      </c>
      <c r="H1266" s="880">
        <v>0.97000103644541402</v>
      </c>
      <c r="I1266" s="880">
        <v>0.97408354849415024</v>
      </c>
      <c r="K1266">
        <v>1.0663814174840163</v>
      </c>
      <c r="L1266">
        <v>0</v>
      </c>
      <c r="M1266">
        <v>6.5751175710955186E-4</v>
      </c>
      <c r="N1266">
        <v>6.6463740144073996E-2</v>
      </c>
      <c r="O1266">
        <v>8.7189113873013483E-3</v>
      </c>
      <c r="P1266">
        <v>1.2650610307426714E-2</v>
      </c>
      <c r="Q1266">
        <v>2.95202941888147E-3</v>
      </c>
      <c r="R1266">
        <v>6.4603414955420211E-4</v>
      </c>
      <c r="S1266">
        <v>8.1662668631382967E-2</v>
      </c>
      <c r="T1266">
        <v>0.81545038025179162</v>
      </c>
      <c r="U1266">
        <v>1.7053490053959269E-2</v>
      </c>
      <c r="V1266">
        <v>1.0413956059457951E-2</v>
      </c>
      <c r="W1266">
        <v>3.9598576346257477E-2</v>
      </c>
      <c r="X1266">
        <v>9.6702405010517228E-3</v>
      </c>
      <c r="Y1266">
        <v>1.7582919899863736E-3</v>
      </c>
    </row>
    <row r="1267" spans="1:25">
      <c r="A1267" s="876"/>
      <c r="B1267" s="1202">
        <v>1017</v>
      </c>
      <c r="C1267" s="880">
        <v>1.0084336249970967</v>
      </c>
      <c r="D1267" s="880">
        <v>0.97119813413688061</v>
      </c>
      <c r="E1267" s="880">
        <v>0.99362655047768589</v>
      </c>
      <c r="F1267" s="880">
        <v>1.0138900067243912</v>
      </c>
      <c r="G1267" s="880">
        <v>1.0052828281577078</v>
      </c>
      <c r="H1267" s="880">
        <v>0.98389007106011916</v>
      </c>
      <c r="I1267" s="880">
        <v>1.000769631029897</v>
      </c>
      <c r="K1267">
        <v>1.0731850641831178</v>
      </c>
      <c r="L1267">
        <v>0</v>
      </c>
      <c r="M1267">
        <v>6.9309047904587571E-4</v>
      </c>
      <c r="N1267">
        <v>6.769059763400849E-2</v>
      </c>
      <c r="O1267">
        <v>8.8511099662371903E-3</v>
      </c>
      <c r="P1267">
        <v>1.2605857233600143E-2</v>
      </c>
      <c r="Q1267">
        <v>2.9501417003238227E-3</v>
      </c>
      <c r="R1267">
        <v>6.8121479617517632E-4</v>
      </c>
      <c r="S1267">
        <v>8.5491660063534286E-2</v>
      </c>
      <c r="T1267">
        <v>0.81635201151177739</v>
      </c>
      <c r="U1267">
        <v>1.6769203690526539E-2</v>
      </c>
      <c r="V1267">
        <v>1.0412321786958209E-2</v>
      </c>
      <c r="W1267">
        <v>4.0638953322101011E-2</v>
      </c>
      <c r="X1267">
        <v>9.5810408441290695E-3</v>
      </c>
      <c r="Y1267">
        <v>1.8540421127916239E-3</v>
      </c>
    </row>
    <row r="1268" spans="1:25">
      <c r="A1268" s="876"/>
      <c r="B1268" s="1202">
        <v>1018</v>
      </c>
      <c r="C1268" s="880">
        <v>1.0340131496778893</v>
      </c>
      <c r="D1268" s="880">
        <v>0.99903298328208856</v>
      </c>
      <c r="E1268" s="880">
        <v>0.97206597509797477</v>
      </c>
      <c r="F1268" s="880">
        <v>1.0200060221551859</v>
      </c>
      <c r="G1268" s="880">
        <v>0.98811137316071984</v>
      </c>
      <c r="H1268" s="880">
        <v>0.96730633015613465</v>
      </c>
      <c r="I1268" s="880">
        <v>0.97606419608800066</v>
      </c>
      <c r="K1268">
        <v>1.0594674001390607</v>
      </c>
      <c r="L1268">
        <v>0</v>
      </c>
      <c r="M1268">
        <v>6.8494657395092094E-4</v>
      </c>
      <c r="N1268">
        <v>6.2528901280610852E-2</v>
      </c>
      <c r="O1268">
        <v>8.5028653389507235E-3</v>
      </c>
      <c r="P1268">
        <v>1.2340748228961375E-2</v>
      </c>
      <c r="Q1268">
        <v>2.7786307073718146E-3</v>
      </c>
      <c r="R1268">
        <v>6.7298426716462458E-4</v>
      </c>
      <c r="S1268">
        <v>7.9620496685834055E-2</v>
      </c>
      <c r="T1268">
        <v>0.81810525359789132</v>
      </c>
      <c r="U1268">
        <v>1.6354365388119369E-2</v>
      </c>
      <c r="V1268">
        <v>1.040993701260156E-2</v>
      </c>
      <c r="W1268">
        <v>3.8104776681544696E-2</v>
      </c>
      <c r="X1268">
        <v>8.9017461979427545E-3</v>
      </c>
      <c r="Y1268">
        <v>1.8316413260180606E-3</v>
      </c>
    </row>
    <row r="1269" spans="1:25">
      <c r="A1269" s="876"/>
      <c r="B1269" s="1202">
        <v>1019</v>
      </c>
      <c r="C1269" s="880">
        <v>0.9774567860201816</v>
      </c>
      <c r="D1269" s="880">
        <v>0.97991814061862326</v>
      </c>
      <c r="E1269" s="880">
        <v>0.97986403052397975</v>
      </c>
      <c r="F1269" s="880">
        <v>1.0360029493410388</v>
      </c>
      <c r="G1269" s="880">
        <v>0.99408295633746457</v>
      </c>
      <c r="H1269" s="880">
        <v>1.001950723817536</v>
      </c>
      <c r="I1269" s="880">
        <v>1.0015490016291673</v>
      </c>
      <c r="K1269">
        <v>1.0819778750905562</v>
      </c>
      <c r="L1269">
        <v>0</v>
      </c>
      <c r="M1269">
        <v>7.4598562015812451E-4</v>
      </c>
      <c r="N1269">
        <v>6.9821157540552348E-2</v>
      </c>
      <c r="O1269">
        <v>9.0880867960430323E-3</v>
      </c>
      <c r="P1269">
        <v>1.2538651798962196E-2</v>
      </c>
      <c r="Q1269">
        <v>2.9892234936391669E-3</v>
      </c>
      <c r="R1269">
        <v>7.3342568353553601E-4</v>
      </c>
      <c r="S1269">
        <v>8.8545471939355136E-2</v>
      </c>
      <c r="T1269">
        <v>0.81746932258942684</v>
      </c>
      <c r="U1269">
        <v>1.7300640916112307E-2</v>
      </c>
      <c r="V1269">
        <v>1.041537685169161E-2</v>
      </c>
      <c r="W1269">
        <v>4.2318379397303027E-2</v>
      </c>
      <c r="X1269">
        <v>9.5079807672207532E-3</v>
      </c>
      <c r="Y1269">
        <v>1.9961429368721296E-3</v>
      </c>
    </row>
    <row r="1270" spans="1:25">
      <c r="A1270" s="876"/>
      <c r="B1270" s="1202">
        <v>1020</v>
      </c>
      <c r="C1270" s="880">
        <v>0.99558113414569893</v>
      </c>
      <c r="D1270" s="880">
        <v>0.96337826964605033</v>
      </c>
      <c r="E1270" s="880">
        <v>1.0050897922918349</v>
      </c>
      <c r="F1270" s="880">
        <v>0.97495459085721836</v>
      </c>
      <c r="G1270" s="880">
        <v>1.0076781218286661</v>
      </c>
      <c r="H1270" s="880">
        <v>1.0228911486951799</v>
      </c>
      <c r="I1270" s="880">
        <v>1.011123767696857</v>
      </c>
      <c r="K1270">
        <v>1.0844888943491175</v>
      </c>
      <c r="L1270">
        <v>0</v>
      </c>
      <c r="M1270">
        <v>7.1554021507335027E-4</v>
      </c>
      <c r="N1270">
        <v>7.2469386455105755E-2</v>
      </c>
      <c r="O1270">
        <v>9.0042316042053348E-3</v>
      </c>
      <c r="P1270">
        <v>1.2756654361552103E-2</v>
      </c>
      <c r="Q1270">
        <v>3.0341130982815315E-3</v>
      </c>
      <c r="R1270">
        <v>7.0375443542245299E-4</v>
      </c>
      <c r="S1270">
        <v>8.9290121675741727E-2</v>
      </c>
      <c r="T1270">
        <v>0.81542627296103276</v>
      </c>
      <c r="U1270">
        <v>1.6985686335311338E-2</v>
      </c>
      <c r="V1270">
        <v>1.0413566277298052E-2</v>
      </c>
      <c r="W1270">
        <v>4.3167884847534088E-2</v>
      </c>
      <c r="X1270">
        <v>1.0037374932072778E-2</v>
      </c>
      <c r="Y1270">
        <v>1.9153875806326294E-3</v>
      </c>
    </row>
    <row r="1271" spans="1:25">
      <c r="A1271" s="876"/>
      <c r="B1271" s="1202">
        <v>1021</v>
      </c>
      <c r="C1271" s="880">
        <v>0.9948557797253087</v>
      </c>
      <c r="D1271" s="880">
        <v>1.0035928809452215</v>
      </c>
      <c r="E1271" s="880">
        <v>1.0064704966385671</v>
      </c>
      <c r="F1271" s="880">
        <v>0.99767870374099987</v>
      </c>
      <c r="G1271" s="880">
        <v>0.96046607926663419</v>
      </c>
      <c r="H1271" s="880">
        <v>0.99204468265328527</v>
      </c>
      <c r="I1271" s="880">
        <v>0.98271690682322865</v>
      </c>
      <c r="K1271">
        <v>1.0727245699330572</v>
      </c>
      <c r="L1271">
        <v>0</v>
      </c>
      <c r="M1271">
        <v>6.7752377727506221E-4</v>
      </c>
      <c r="N1271">
        <v>6.8874881164383089E-2</v>
      </c>
      <c r="O1271">
        <v>8.8161039107546406E-3</v>
      </c>
      <c r="P1271">
        <v>1.2695872781582867E-2</v>
      </c>
      <c r="Q1271">
        <v>2.9840004798214448E-3</v>
      </c>
      <c r="R1271">
        <v>6.6598231819192124E-4</v>
      </c>
      <c r="S1271">
        <v>8.4001854195408648E-2</v>
      </c>
      <c r="T1271">
        <v>0.81531507260127023</v>
      </c>
      <c r="U1271">
        <v>1.6998070685804913E-2</v>
      </c>
      <c r="V1271">
        <v>1.0413637471016927E-2</v>
      </c>
      <c r="W1271">
        <v>4.0988158396759768E-2</v>
      </c>
      <c r="X1271">
        <v>9.8358753762319163E-3</v>
      </c>
      <c r="Y1271">
        <v>1.8125843291062211E-3</v>
      </c>
    </row>
    <row r="1272" spans="1:25">
      <c r="A1272" s="876"/>
      <c r="B1272" s="1202">
        <v>1022</v>
      </c>
      <c r="C1272" s="880">
        <v>0.99630294262228725</v>
      </c>
      <c r="D1272" s="880">
        <v>1.014907640557527</v>
      </c>
      <c r="E1272" s="880">
        <v>1.0133441499788143</v>
      </c>
      <c r="F1272" s="880">
        <v>0.97916191196656666</v>
      </c>
      <c r="G1272" s="880">
        <v>1.0153606694945672</v>
      </c>
      <c r="H1272" s="880">
        <v>1.0371456695847683</v>
      </c>
      <c r="I1272" s="880">
        <v>0.97869846433138952</v>
      </c>
      <c r="K1272">
        <v>1.0778887661088039</v>
      </c>
      <c r="L1272">
        <v>0</v>
      </c>
      <c r="M1272">
        <v>6.9297496501549444E-4</v>
      </c>
      <c r="N1272">
        <v>7.2020407755459204E-2</v>
      </c>
      <c r="O1272">
        <v>8.7508700696960658E-3</v>
      </c>
      <c r="P1272">
        <v>1.2761533333720074E-2</v>
      </c>
      <c r="Q1272">
        <v>2.9848321304468428E-3</v>
      </c>
      <c r="R1272">
        <v>6.8167437049258079E-4</v>
      </c>
      <c r="S1272">
        <v>8.4643872316866806E-2</v>
      </c>
      <c r="T1272">
        <v>0.81476244171271517</v>
      </c>
      <c r="U1272">
        <v>1.6973380427285783E-2</v>
      </c>
      <c r="V1272">
        <v>1.0413495534520137E-2</v>
      </c>
      <c r="W1272">
        <v>4.266036722693501E-2</v>
      </c>
      <c r="X1272">
        <v>1.0073573273097203E-2</v>
      </c>
      <c r="Y1272">
        <v>1.8552929225849656E-3</v>
      </c>
    </row>
    <row r="1273" spans="1:25">
      <c r="A1273" s="876"/>
      <c r="B1273" s="1202">
        <v>1023</v>
      </c>
      <c r="C1273" s="880">
        <v>1.0198203008817754</v>
      </c>
      <c r="D1273" s="880">
        <v>1.0286417884720378</v>
      </c>
      <c r="E1273" s="880">
        <v>1.0097568575408014</v>
      </c>
      <c r="F1273" s="880">
        <v>1.032856841802041</v>
      </c>
      <c r="G1273" s="880">
        <v>1.0148542543725407</v>
      </c>
      <c r="H1273" s="880">
        <v>1.0090283269839253</v>
      </c>
      <c r="I1273" s="880">
        <v>1.0190973024639254</v>
      </c>
      <c r="K1273">
        <v>1.0700705994820414</v>
      </c>
      <c r="L1273">
        <v>0</v>
      </c>
      <c r="M1273">
        <v>6.589254776265699E-4</v>
      </c>
      <c r="N1273">
        <v>6.7689862787949459E-2</v>
      </c>
      <c r="O1273">
        <v>8.4881362572600955E-3</v>
      </c>
      <c r="P1273">
        <v>1.272488473249179E-2</v>
      </c>
      <c r="Q1273">
        <v>2.8877323807473508E-3</v>
      </c>
      <c r="R1273">
        <v>6.4786990838242118E-4</v>
      </c>
      <c r="S1273">
        <v>8.4541899822278221E-2</v>
      </c>
      <c r="T1273">
        <v>0.81505065373103358</v>
      </c>
      <c r="U1273">
        <v>1.6581969246278794E-2</v>
      </c>
      <c r="V1273">
        <v>1.0411245435284013E-2</v>
      </c>
      <c r="W1273">
        <v>4.0192970640820308E-2</v>
      </c>
      <c r="X1273">
        <v>9.749011696781662E-3</v>
      </c>
      <c r="Y1273">
        <v>1.7632883203590507E-3</v>
      </c>
    </row>
    <row r="1274" spans="1:25">
      <c r="A1274" s="876"/>
      <c r="B1274" s="1202">
        <v>1024</v>
      </c>
      <c r="C1274" s="880">
        <v>0.97435813959594353</v>
      </c>
      <c r="D1274" s="880">
        <v>0.9723171344937469</v>
      </c>
      <c r="E1274" s="880">
        <v>1.0380327027495313</v>
      </c>
      <c r="F1274" s="880">
        <v>1.0103874893582501</v>
      </c>
      <c r="G1274" s="880">
        <v>0.99707697136083551</v>
      </c>
      <c r="H1274" s="880">
        <v>0.96294201270794977</v>
      </c>
      <c r="I1274" s="880">
        <v>1.0078675116484257</v>
      </c>
      <c r="K1274">
        <v>1.0798309082178226</v>
      </c>
      <c r="L1274">
        <v>0</v>
      </c>
      <c r="M1274">
        <v>6.3884277615863187E-4</v>
      </c>
      <c r="N1274">
        <v>7.1597135533448306E-2</v>
      </c>
      <c r="O1274">
        <v>9.1550141387932403E-3</v>
      </c>
      <c r="P1274">
        <v>1.3022268654860872E-2</v>
      </c>
      <c r="Q1274">
        <v>3.1897687210275167E-3</v>
      </c>
      <c r="R1274">
        <v>6.2765751137184959E-4</v>
      </c>
      <c r="S1274">
        <v>8.8271389240412557E-2</v>
      </c>
      <c r="T1274">
        <v>0.81279080195523312</v>
      </c>
      <c r="U1274">
        <v>1.7355660284179536E-2</v>
      </c>
      <c r="V1274">
        <v>1.0415693140658469E-2</v>
      </c>
      <c r="W1274">
        <v>4.1711709979532413E-2</v>
      </c>
      <c r="X1274">
        <v>1.0624374995751844E-2</v>
      </c>
      <c r="Y1274">
        <v>1.7082768387111584E-3</v>
      </c>
    </row>
    <row r="1275" spans="1:25">
      <c r="A1275" s="876"/>
      <c r="B1275" s="1202">
        <v>1025</v>
      </c>
      <c r="C1275" s="880">
        <v>1.0174913423170273</v>
      </c>
      <c r="D1275" s="880">
        <v>1.0068414625804061</v>
      </c>
      <c r="E1275" s="880">
        <v>0.98598062570251788</v>
      </c>
      <c r="F1275" s="880">
        <v>1.0008759904862332</v>
      </c>
      <c r="G1275" s="880">
        <v>0.96093675259894085</v>
      </c>
      <c r="H1275" s="880">
        <v>0.96926633145052798</v>
      </c>
      <c r="I1275" s="880">
        <v>1.0204457386886538</v>
      </c>
      <c r="K1275">
        <v>1.066493908665624</v>
      </c>
      <c r="L1275">
        <v>0</v>
      </c>
      <c r="M1275">
        <v>6.7460322638681432E-4</v>
      </c>
      <c r="N1275">
        <v>6.4315196753435958E-2</v>
      </c>
      <c r="O1275">
        <v>8.6051416736251628E-3</v>
      </c>
      <c r="P1275">
        <v>1.2524141549099468E-2</v>
      </c>
      <c r="Q1275">
        <v>2.8537852889517915E-3</v>
      </c>
      <c r="R1275">
        <v>6.6283867092545312E-4</v>
      </c>
      <c r="S1275">
        <v>8.4335497472674742E-2</v>
      </c>
      <c r="T1275">
        <v>0.81697195411140544</v>
      </c>
      <c r="U1275">
        <v>1.6619924084507243E-2</v>
      </c>
      <c r="V1275">
        <v>1.0411463625659353E-2</v>
      </c>
      <c r="W1275">
        <v>3.8816476269009581E-2</v>
      </c>
      <c r="X1275">
        <v>9.248064035167267E-3</v>
      </c>
      <c r="Y1275">
        <v>1.804028357549937E-3</v>
      </c>
    </row>
    <row r="1276" spans="1:25">
      <c r="A1276" s="876"/>
      <c r="B1276" s="1202">
        <v>1026</v>
      </c>
      <c r="C1276" s="880">
        <v>0.98439604713428375</v>
      </c>
      <c r="D1276" s="880">
        <v>1.0450806279373361</v>
      </c>
      <c r="E1276" s="880">
        <v>0.99340936369896848</v>
      </c>
      <c r="F1276" s="880">
        <v>1.0241529030314447</v>
      </c>
      <c r="G1276" s="880">
        <v>1.0219548116027113</v>
      </c>
      <c r="H1276" s="880">
        <v>0.96808776848375111</v>
      </c>
      <c r="I1276" s="880">
        <v>1.0122959174210555</v>
      </c>
      <c r="K1276">
        <v>1.0692607706849353</v>
      </c>
      <c r="L1276">
        <v>0</v>
      </c>
      <c r="M1276">
        <v>6.7221116357277851E-4</v>
      </c>
      <c r="N1276">
        <v>6.5582131119457723E-2</v>
      </c>
      <c r="O1276">
        <v>8.7198066947628966E-3</v>
      </c>
      <c r="P1276">
        <v>1.2600883777550502E-2</v>
      </c>
      <c r="Q1276">
        <v>2.9216458040000099E-3</v>
      </c>
      <c r="R1276">
        <v>6.6044223654195401E-4</v>
      </c>
      <c r="S1276">
        <v>8.484747500925803E-2</v>
      </c>
      <c r="T1276">
        <v>0.81636959396844289</v>
      </c>
      <c r="U1276">
        <v>1.7178684245209661E-2</v>
      </c>
      <c r="V1276">
        <v>1.0414675761315665E-2</v>
      </c>
      <c r="W1276">
        <v>3.9378985489790186E-2</v>
      </c>
      <c r="X1276">
        <v>9.4611516890357947E-3</v>
      </c>
      <c r="Y1276">
        <v>1.7975060531424346E-3</v>
      </c>
    </row>
    <row r="1277" spans="1:25">
      <c r="A1277" s="876"/>
      <c r="B1277" s="1202">
        <v>1027</v>
      </c>
      <c r="C1277" s="880">
        <v>0.98883764028175924</v>
      </c>
      <c r="D1277" s="880">
        <v>0.99903232368556516</v>
      </c>
      <c r="E1277" s="880">
        <v>1.0056782694770607</v>
      </c>
      <c r="F1277" s="880">
        <v>1.0084230225871298</v>
      </c>
      <c r="G1277" s="880">
        <v>0.99305248196905294</v>
      </c>
      <c r="H1277" s="880">
        <v>1.0110119161367832</v>
      </c>
      <c r="I1277" s="880">
        <v>1.0031096270003066</v>
      </c>
      <c r="K1277">
        <v>1.0793579638865489</v>
      </c>
      <c r="L1277">
        <v>0</v>
      </c>
      <c r="M1277">
        <v>6.9752882288721539E-4</v>
      </c>
      <c r="N1277">
        <v>7.0757453570891221E-2</v>
      </c>
      <c r="O1277">
        <v>8.8913258436706735E-3</v>
      </c>
      <c r="P1277">
        <v>1.2733864957433606E-2</v>
      </c>
      <c r="Q1277">
        <v>3.0060512193418789E-3</v>
      </c>
      <c r="R1277">
        <v>6.8587339743798317E-4</v>
      </c>
      <c r="S1277">
        <v>8.7151021676639046E-2</v>
      </c>
      <c r="T1277">
        <v>0.81537886974837692</v>
      </c>
      <c r="U1277">
        <v>1.7101522208573951E-2</v>
      </c>
      <c r="V1277">
        <v>1.0414232181141866E-2</v>
      </c>
      <c r="W1277">
        <v>4.2131232362762484E-2</v>
      </c>
      <c r="X1277">
        <v>9.9373242534453558E-3</v>
      </c>
      <c r="Y1277">
        <v>1.8667212897214901E-3</v>
      </c>
    </row>
    <row r="1278" spans="1:25">
      <c r="A1278" s="876"/>
      <c r="B1278" s="1202">
        <v>1028</v>
      </c>
      <c r="C1278" s="880">
        <v>0.99195529421270867</v>
      </c>
      <c r="D1278" s="880">
        <v>0.99616972970507323</v>
      </c>
      <c r="E1278" s="880">
        <v>0.99589543840718908</v>
      </c>
      <c r="F1278" s="880">
        <v>0.97814932340131167</v>
      </c>
      <c r="G1278" s="880">
        <v>1.0262110539713738</v>
      </c>
      <c r="H1278" s="880">
        <v>0.99047348344920461</v>
      </c>
      <c r="I1278" s="880">
        <v>1.0001916501313797</v>
      </c>
      <c r="K1278">
        <v>1.0752090797185836</v>
      </c>
      <c r="L1278">
        <v>0</v>
      </c>
      <c r="M1278">
        <v>6.9645517334522827E-4</v>
      </c>
      <c r="N1278">
        <v>6.8506935938957292E-2</v>
      </c>
      <c r="O1278">
        <v>8.8769571971185398E-3</v>
      </c>
      <c r="P1278">
        <v>1.2635657285905107E-2</v>
      </c>
      <c r="Q1278">
        <v>2.971200894763007E-3</v>
      </c>
      <c r="R1278">
        <v>6.8457887878151341E-4</v>
      </c>
      <c r="S1278">
        <v>8.60064214392358E-2</v>
      </c>
      <c r="T1278">
        <v>0.81616842835330317</v>
      </c>
      <c r="U1278">
        <v>1.7047773185558675E-2</v>
      </c>
      <c r="V1278">
        <v>1.0413923194987428E-2</v>
      </c>
      <c r="W1278">
        <v>4.1065017172250064E-2</v>
      </c>
      <c r="X1278">
        <v>9.6654433143913473E-3</v>
      </c>
      <c r="Y1278">
        <v>1.8631980366765398E-3</v>
      </c>
    </row>
    <row r="1279" spans="1:25">
      <c r="A1279" s="876"/>
      <c r="B1279" s="1202">
        <v>1029</v>
      </c>
      <c r="C1279" s="880">
        <v>0.96366770312363315</v>
      </c>
      <c r="D1279" s="880">
        <v>0.99000866573942192</v>
      </c>
      <c r="E1279" s="880">
        <v>1.0289638652153792</v>
      </c>
      <c r="F1279" s="880">
        <v>0.95621295968161812</v>
      </c>
      <c r="G1279" s="880">
        <v>0.98078553436263194</v>
      </c>
      <c r="H1279" s="880">
        <v>0.97437852873535291</v>
      </c>
      <c r="I1279" s="880">
        <v>0.95289571795461248</v>
      </c>
      <c r="K1279">
        <v>1.0770297844276098</v>
      </c>
      <c r="L1279">
        <v>0</v>
      </c>
      <c r="M1279">
        <v>6.5989605871357956E-4</v>
      </c>
      <c r="N1279">
        <v>7.1917549682137941E-2</v>
      </c>
      <c r="O1279">
        <v>9.1678326903807828E-3</v>
      </c>
      <c r="P1279">
        <v>1.289060833617218E-2</v>
      </c>
      <c r="Q1279">
        <v>3.1700786439756374E-3</v>
      </c>
      <c r="R1279">
        <v>6.4846253658862622E-4</v>
      </c>
      <c r="S1279">
        <v>8.4033813317491712E-2</v>
      </c>
      <c r="T1279">
        <v>0.81351262675668023</v>
      </c>
      <c r="U1279">
        <v>1.7548195099968838E-2</v>
      </c>
      <c r="V1279">
        <v>1.0416799962494333E-2</v>
      </c>
      <c r="W1279">
        <v>4.2153159759801349E-2</v>
      </c>
      <c r="X1279">
        <v>1.0465652441654889E-2</v>
      </c>
      <c r="Y1279">
        <v>1.7649012589765049E-3</v>
      </c>
    </row>
    <row r="1280" spans="1:25">
      <c r="A1280" s="876"/>
      <c r="B1280" s="1202">
        <v>1030</v>
      </c>
      <c r="C1280" s="880">
        <v>0.98449124360877649</v>
      </c>
      <c r="D1280" s="880">
        <v>1.0265496449444353</v>
      </c>
      <c r="E1280" s="880">
        <v>0.99988107956184658</v>
      </c>
      <c r="F1280" s="880">
        <v>0.99164994721869948</v>
      </c>
      <c r="G1280" s="880">
        <v>1.0040412867832527</v>
      </c>
      <c r="H1280" s="880">
        <v>0.9912137395653674</v>
      </c>
      <c r="I1280" s="880">
        <v>0.98890381405410355</v>
      </c>
      <c r="K1280">
        <v>1.0728679846943383</v>
      </c>
      <c r="L1280">
        <v>0</v>
      </c>
      <c r="M1280">
        <v>6.8536241441718667E-4</v>
      </c>
      <c r="N1280">
        <v>6.825535591483356E-2</v>
      </c>
      <c r="O1280">
        <v>8.8022649393360488E-3</v>
      </c>
      <c r="P1280">
        <v>1.2649349523267952E-2</v>
      </c>
      <c r="Q1280">
        <v>2.9646540850261065E-3</v>
      </c>
      <c r="R1280">
        <v>6.7365834266645103E-4</v>
      </c>
      <c r="S1280">
        <v>8.4436096937696908E-2</v>
      </c>
      <c r="T1280">
        <v>0.8158463602694912</v>
      </c>
      <c r="U1280">
        <v>1.7177023133252391E-2</v>
      </c>
      <c r="V1280">
        <v>1.0414666212107741E-2</v>
      </c>
      <c r="W1280">
        <v>4.0802621877775537E-2</v>
      </c>
      <c r="X1280">
        <v>9.6978199359767404E-3</v>
      </c>
      <c r="Y1280">
        <v>1.8334759373251029E-3</v>
      </c>
    </row>
    <row r="1281" spans="1:25">
      <c r="A1281" s="876"/>
      <c r="B1281" s="1202">
        <v>1031</v>
      </c>
      <c r="C1281" s="880">
        <v>0.98623721588656288</v>
      </c>
      <c r="D1281" s="880">
        <v>1.0157685319196492</v>
      </c>
      <c r="E1281" s="880">
        <v>0.98059326521907575</v>
      </c>
      <c r="F1281" s="880">
        <v>1.0163621506198142</v>
      </c>
      <c r="G1281" s="880">
        <v>0.96946574105830297</v>
      </c>
      <c r="H1281" s="880">
        <v>1.0167959789301229</v>
      </c>
      <c r="I1281" s="880">
        <v>0.97984370323817505</v>
      </c>
      <c r="K1281">
        <v>1.0761637088698206</v>
      </c>
      <c r="L1281">
        <v>0</v>
      </c>
      <c r="M1281">
        <v>7.3496295159957131E-4</v>
      </c>
      <c r="N1281">
        <v>6.8960114285565685E-2</v>
      </c>
      <c r="O1281">
        <v>8.8361927345042626E-3</v>
      </c>
      <c r="P1281">
        <v>1.2493083984921745E-2</v>
      </c>
      <c r="Q1281">
        <v>2.9163502068545104E-3</v>
      </c>
      <c r="R1281">
        <v>7.227370191050848E-4</v>
      </c>
      <c r="S1281">
        <v>8.48548155652641E-2</v>
      </c>
      <c r="T1281">
        <v>0.81740995867075439</v>
      </c>
      <c r="U1281">
        <v>1.7146614012888185E-2</v>
      </c>
      <c r="V1281">
        <v>1.0414491399680757E-2</v>
      </c>
      <c r="W1281">
        <v>4.1775363186697882E-2</v>
      </c>
      <c r="X1281">
        <v>9.4018988393734879E-3</v>
      </c>
      <c r="Y1281">
        <v>1.9670519158097237E-3</v>
      </c>
    </row>
    <row r="1282" spans="1:25">
      <c r="A1282" s="876"/>
      <c r="B1282" s="1202">
        <v>1032</v>
      </c>
      <c r="C1282" s="880">
        <v>0.99215907630470346</v>
      </c>
      <c r="D1282" s="880">
        <v>0.98455878737697833</v>
      </c>
      <c r="E1282" s="880">
        <v>0.99924496973993948</v>
      </c>
      <c r="F1282" s="880">
        <v>0.99522357566054975</v>
      </c>
      <c r="G1282" s="880">
        <v>1.0045762649915533</v>
      </c>
      <c r="H1282" s="880">
        <v>0.98517226042319883</v>
      </c>
      <c r="I1282" s="880">
        <v>0.95821735997083735</v>
      </c>
      <c r="K1282">
        <v>1.0720652503940709</v>
      </c>
      <c r="L1282">
        <v>0</v>
      </c>
      <c r="M1282">
        <v>6.9202577257831412E-4</v>
      </c>
      <c r="N1282">
        <v>6.8779044959205241E-2</v>
      </c>
      <c r="O1282">
        <v>8.9308472447314803E-3</v>
      </c>
      <c r="P1282">
        <v>1.2618243454312977E-2</v>
      </c>
      <c r="Q1282">
        <v>2.9966970484952434E-3</v>
      </c>
      <c r="R1282">
        <v>6.8017176259805732E-4</v>
      </c>
      <c r="S1282">
        <v>8.2678454686223757E-2</v>
      </c>
      <c r="T1282">
        <v>0.81589772627094215</v>
      </c>
      <c r="U1282">
        <v>1.7044271699792377E-2</v>
      </c>
      <c r="V1282">
        <v>1.0413903066051857E-2</v>
      </c>
      <c r="W1282">
        <v>4.1133584947221004E-2</v>
      </c>
      <c r="X1282">
        <v>9.7331277078431463E-3</v>
      </c>
      <c r="Y1282">
        <v>1.8512033192306316E-3</v>
      </c>
    </row>
    <row r="1283" spans="1:25">
      <c r="A1283" s="876"/>
      <c r="B1283" s="1202">
        <v>1033</v>
      </c>
      <c r="C1283" s="880">
        <v>1.0169396797857604</v>
      </c>
      <c r="D1283" s="880">
        <v>1.0176760247385925</v>
      </c>
      <c r="E1283" s="880">
        <v>0.98055335628287299</v>
      </c>
      <c r="F1283" s="880">
        <v>0.96636979822181723</v>
      </c>
      <c r="G1283" s="880">
        <v>1.0022125646163387</v>
      </c>
      <c r="H1283" s="880">
        <v>1.0259560104587988</v>
      </c>
      <c r="I1283" s="880">
        <v>1.0104318348262198</v>
      </c>
      <c r="K1283">
        <v>1.0728752642302</v>
      </c>
      <c r="L1283">
        <v>0</v>
      </c>
      <c r="M1283">
        <v>7.1853868991802452E-4</v>
      </c>
      <c r="N1283">
        <v>6.7420702665783941E-2</v>
      </c>
      <c r="O1283">
        <v>8.5608632348023531E-3</v>
      </c>
      <c r="P1283">
        <v>1.2489113236624664E-2</v>
      </c>
      <c r="Q1283">
        <v>2.8257573385274673E-3</v>
      </c>
      <c r="R1283">
        <v>7.0669106808814814E-4</v>
      </c>
      <c r="S1283">
        <v>8.5105169953438795E-2</v>
      </c>
      <c r="T1283">
        <v>0.81741320702339015</v>
      </c>
      <c r="U1283">
        <v>1.6628939948055685E-2</v>
      </c>
      <c r="V1283">
        <v>1.0411515455010876E-2</v>
      </c>
      <c r="W1283">
        <v>4.0843933270996439E-2</v>
      </c>
      <c r="X1283">
        <v>9.2645295987111367E-3</v>
      </c>
      <c r="Y1283">
        <v>1.9233801266879537E-3</v>
      </c>
    </row>
    <row r="1284" spans="1:25">
      <c r="A1284" s="876"/>
      <c r="B1284" s="1202">
        <v>1034</v>
      </c>
      <c r="C1284" s="880">
        <v>0.99672018608530122</v>
      </c>
      <c r="D1284" s="880">
        <v>1.014999245129258</v>
      </c>
      <c r="E1284" s="880">
        <v>0.98529692695079918</v>
      </c>
      <c r="F1284" s="880">
        <v>0.98717032936365068</v>
      </c>
      <c r="G1284" s="880">
        <v>1.0105526387971324</v>
      </c>
      <c r="H1284" s="880">
        <v>1.0156989453173852</v>
      </c>
      <c r="I1284" s="880">
        <v>0.99756935508639533</v>
      </c>
      <c r="K1284">
        <v>1.0753085365748178</v>
      </c>
      <c r="L1284">
        <v>0</v>
      </c>
      <c r="M1284">
        <v>7.1959658666723852E-4</v>
      </c>
      <c r="N1284">
        <v>6.85137010181745E-2</v>
      </c>
      <c r="O1284">
        <v>8.746786413236167E-3</v>
      </c>
      <c r="P1284">
        <v>1.2538490723219463E-2</v>
      </c>
      <c r="Q1284">
        <v>2.900490693440257E-3</v>
      </c>
      <c r="R1284">
        <v>7.0761400332584141E-4</v>
      </c>
      <c r="S1284">
        <v>8.5474538381266035E-2</v>
      </c>
      <c r="T1284">
        <v>0.81702748591064833</v>
      </c>
      <c r="U1284">
        <v>1.696627509107667E-2</v>
      </c>
      <c r="V1284">
        <v>1.0413454688186784E-2</v>
      </c>
      <c r="W1284">
        <v>4.1369965099255682E-2</v>
      </c>
      <c r="X1284">
        <v>9.4434390874966641E-3</v>
      </c>
      <c r="Y1284">
        <v>1.9258920521594352E-3</v>
      </c>
    </row>
    <row r="1285" spans="1:25">
      <c r="A1285" s="876"/>
      <c r="B1285" s="1202">
        <v>1035</v>
      </c>
      <c r="C1285" s="880">
        <v>0.9828368518256716</v>
      </c>
      <c r="D1285" s="880">
        <v>1.0314024093935061</v>
      </c>
      <c r="E1285" s="880">
        <v>1.0017391438742449</v>
      </c>
      <c r="F1285" s="880">
        <v>1.0212498923132449</v>
      </c>
      <c r="G1285" s="880">
        <v>1.0017194760130774</v>
      </c>
      <c r="H1285" s="880">
        <v>0.96068399267321924</v>
      </c>
      <c r="I1285" s="880">
        <v>0.97839829936327194</v>
      </c>
      <c r="K1285">
        <v>1.0672241092904429</v>
      </c>
      <c r="L1285">
        <v>0</v>
      </c>
      <c r="M1285">
        <v>6.6111597972160754E-4</v>
      </c>
      <c r="N1285">
        <v>6.6185360781315858E-2</v>
      </c>
      <c r="O1285">
        <v>8.794994987580013E-3</v>
      </c>
      <c r="P1285">
        <v>1.2637634226187531E-2</v>
      </c>
      <c r="Q1285">
        <v>2.9687733889458248E-3</v>
      </c>
      <c r="R1285">
        <v>6.4946319708897597E-4</v>
      </c>
      <c r="S1285">
        <v>8.2415123520620387E-2</v>
      </c>
      <c r="T1285">
        <v>0.81569639992179244</v>
      </c>
      <c r="U1285">
        <v>1.720593691062763E-2</v>
      </c>
      <c r="V1285">
        <v>1.0414832428280269E-2</v>
      </c>
      <c r="W1285">
        <v>3.9514950440146662E-2</v>
      </c>
      <c r="X1285">
        <v>9.6341307405873877E-3</v>
      </c>
      <c r="Y1285">
        <v>1.7676247269908119E-3</v>
      </c>
    </row>
    <row r="1286" spans="1:25">
      <c r="A1286" s="876"/>
      <c r="B1286" s="1202">
        <v>1036</v>
      </c>
      <c r="C1286" s="880">
        <v>1.0133513072050488</v>
      </c>
      <c r="D1286" s="880">
        <v>0.98772026465362028</v>
      </c>
      <c r="E1286" s="880">
        <v>0.998242300919707</v>
      </c>
      <c r="F1286" s="880">
        <v>0.9673915343399444</v>
      </c>
      <c r="G1286" s="880">
        <v>0.98361430717081477</v>
      </c>
      <c r="H1286" s="880">
        <v>0.9916248963126979</v>
      </c>
      <c r="I1286" s="880">
        <v>0.99703464449759094</v>
      </c>
      <c r="K1286">
        <v>1.0711791999439935</v>
      </c>
      <c r="L1286">
        <v>0</v>
      </c>
      <c r="M1286">
        <v>6.822663503485316E-4</v>
      </c>
      <c r="N1286">
        <v>6.760524981995715E-2</v>
      </c>
      <c r="O1286">
        <v>8.729120219260476E-3</v>
      </c>
      <c r="P1286">
        <v>1.2627413573648185E-2</v>
      </c>
      <c r="Q1286">
        <v>2.9267610163997309E-3</v>
      </c>
      <c r="R1286">
        <v>6.7065281140482049E-4</v>
      </c>
      <c r="S1286">
        <v>8.4322587637515031E-2</v>
      </c>
      <c r="T1286">
        <v>0.81597871989842785</v>
      </c>
      <c r="U1286">
        <v>1.6687824593224272E-2</v>
      </c>
      <c r="V1286">
        <v>1.0411853964234786E-2</v>
      </c>
      <c r="W1286">
        <v>4.0459364702731718E-2</v>
      </c>
      <c r="X1286">
        <v>9.6166221855330716E-3</v>
      </c>
      <c r="Y1286">
        <v>1.8252958720040582E-3</v>
      </c>
    </row>
    <row r="1287" spans="1:25">
      <c r="A1287" s="876"/>
      <c r="B1287" s="1202">
        <v>1037</v>
      </c>
      <c r="C1287" s="880">
        <v>0.99257607789198687</v>
      </c>
      <c r="D1287" s="880">
        <v>0.9606014473952843</v>
      </c>
      <c r="E1287" s="880">
        <v>0.98031755844512725</v>
      </c>
      <c r="F1287" s="880">
        <v>0.99557001496952635</v>
      </c>
      <c r="G1287" s="880">
        <v>0.98077568739000842</v>
      </c>
      <c r="H1287" s="880">
        <v>0.9847202195284589</v>
      </c>
      <c r="I1287" s="880">
        <v>0.99784600581172855</v>
      </c>
      <c r="K1287">
        <v>1.077606202557329</v>
      </c>
      <c r="L1287">
        <v>0</v>
      </c>
      <c r="M1287">
        <v>7.2900491240575154E-4</v>
      </c>
      <c r="N1287">
        <v>6.8309605097866807E-2</v>
      </c>
      <c r="O1287">
        <v>9.0454567635717808E-3</v>
      </c>
      <c r="P1287">
        <v>1.2519619108271596E-2</v>
      </c>
      <c r="Q1287">
        <v>2.9720923909697661E-3</v>
      </c>
      <c r="R1287">
        <v>7.1653458996917487E-4</v>
      </c>
      <c r="S1287">
        <v>8.7110455893427294E-2</v>
      </c>
      <c r="T1287">
        <v>0.81743240068015355</v>
      </c>
      <c r="U1287">
        <v>1.7037111051343101E-2</v>
      </c>
      <c r="V1287">
        <v>1.0413861901745879E-2</v>
      </c>
      <c r="W1287">
        <v>4.1389205970296543E-2</v>
      </c>
      <c r="X1287">
        <v>9.4386930737870075E-3</v>
      </c>
      <c r="Y1287">
        <v>1.9501709483319926E-3</v>
      </c>
    </row>
    <row r="1288" spans="1:25">
      <c r="A1288" s="876"/>
      <c r="B1288" s="1202">
        <v>1038</v>
      </c>
      <c r="C1288" s="880">
        <v>0.96687387944665382</v>
      </c>
      <c r="D1288" s="880">
        <v>1.0305058307003929</v>
      </c>
      <c r="E1288" s="880">
        <v>0.98862973705115142</v>
      </c>
      <c r="F1288" s="880">
        <v>1.0202871781554956</v>
      </c>
      <c r="G1288" s="880">
        <v>1.0173104858306203</v>
      </c>
      <c r="H1288" s="880">
        <v>1.0005865776259681</v>
      </c>
      <c r="I1288" s="880">
        <v>1.0055818472986771</v>
      </c>
      <c r="K1288">
        <v>1.0792465968903888</v>
      </c>
      <c r="L1288">
        <v>0</v>
      </c>
      <c r="M1288">
        <v>7.1985420232301167E-4</v>
      </c>
      <c r="N1288">
        <v>6.9234249973859643E-2</v>
      </c>
      <c r="O1288">
        <v>8.9443343682148509E-3</v>
      </c>
      <c r="P1288">
        <v>1.2602352428270899E-2</v>
      </c>
      <c r="Q1288">
        <v>2.9793635969866217E-3</v>
      </c>
      <c r="R1288">
        <v>7.0767286278795871E-4</v>
      </c>
      <c r="S1288">
        <v>8.7600828439371087E-2</v>
      </c>
      <c r="T1288">
        <v>0.81675693594669241</v>
      </c>
      <c r="U1288">
        <v>1.7490004875951787E-2</v>
      </c>
      <c r="V1288">
        <v>1.0416465445278269E-2</v>
      </c>
      <c r="W1288">
        <v>4.1708950312371137E-2</v>
      </c>
      <c r="X1288">
        <v>9.599240594713029E-3</v>
      </c>
      <c r="Y1288">
        <v>1.9260522482123024E-3</v>
      </c>
    </row>
    <row r="1289" spans="1:25">
      <c r="A1289" s="876"/>
      <c r="B1289" s="1202">
        <v>1039</v>
      </c>
      <c r="C1289" s="880">
        <v>0.99271332797468315</v>
      </c>
      <c r="D1289" s="880">
        <v>1.0003046652460061</v>
      </c>
      <c r="E1289" s="880">
        <v>0.99949671270718954</v>
      </c>
      <c r="F1289" s="880">
        <v>0.97585744489997472</v>
      </c>
      <c r="G1289" s="880">
        <v>1.045153101238177</v>
      </c>
      <c r="H1289" s="880">
        <v>1.013792796175083</v>
      </c>
      <c r="I1289" s="880">
        <v>1.0096732388113026</v>
      </c>
      <c r="K1289">
        <v>1.0790969090777083</v>
      </c>
      <c r="L1289">
        <v>0</v>
      </c>
      <c r="M1289">
        <v>7.053716820524527E-4</v>
      </c>
      <c r="N1289">
        <v>7.0193528648686082E-2</v>
      </c>
      <c r="O1289">
        <v>8.850603559965052E-3</v>
      </c>
      <c r="P1289">
        <v>1.2684959161193389E-2</v>
      </c>
      <c r="Q1289">
        <v>2.9740575459949489E-3</v>
      </c>
      <c r="R1289">
        <v>6.9361643771399578E-4</v>
      </c>
      <c r="S1289">
        <v>8.7424510159360216E-2</v>
      </c>
      <c r="T1289">
        <v>0.81587739632987344</v>
      </c>
      <c r="U1289">
        <v>1.7034755542622945E-2</v>
      </c>
      <c r="V1289">
        <v>1.041384836067036E-2</v>
      </c>
      <c r="W1289">
        <v>4.1972288969982015E-2</v>
      </c>
      <c r="X1289">
        <v>9.7949207508362026E-3</v>
      </c>
      <c r="Y1289">
        <v>1.8877952928602552E-3</v>
      </c>
    </row>
    <row r="1290" spans="1:25">
      <c r="A1290" s="876"/>
      <c r="B1290" s="1202">
        <v>1040</v>
      </c>
      <c r="C1290" s="880">
        <v>0.9823465976919783</v>
      </c>
      <c r="D1290" s="880">
        <v>1.0349011456993271</v>
      </c>
      <c r="E1290" s="880">
        <v>0.97302078882291076</v>
      </c>
      <c r="F1290" s="880">
        <v>0.99908107241683819</v>
      </c>
      <c r="G1290" s="880">
        <v>1.0146118695785586</v>
      </c>
      <c r="H1290" s="880">
        <v>0.99496927102229005</v>
      </c>
      <c r="I1290" s="880">
        <v>0.98567489390623475</v>
      </c>
      <c r="K1290">
        <v>1.0720361562860892</v>
      </c>
      <c r="L1290">
        <v>0</v>
      </c>
      <c r="M1290">
        <v>7.2636880035162831E-4</v>
      </c>
      <c r="N1290">
        <v>6.6537925351376925E-2</v>
      </c>
      <c r="O1290">
        <v>8.7835569646230408E-3</v>
      </c>
      <c r="P1290">
        <v>1.2420712971058658E-2</v>
      </c>
      <c r="Q1290">
        <v>2.8806808224144356E-3</v>
      </c>
      <c r="R1290">
        <v>7.1400401641021126E-4</v>
      </c>
      <c r="S1290">
        <v>8.413796047800208E-2</v>
      </c>
      <c r="T1290">
        <v>0.8180272781880028</v>
      </c>
      <c r="U1290">
        <v>1.7214523779777811E-2</v>
      </c>
      <c r="V1290">
        <v>1.0414881791478496E-2</v>
      </c>
      <c r="W1290">
        <v>4.0520857844807474E-2</v>
      </c>
      <c r="X1290">
        <v>9.1668593171795477E-3</v>
      </c>
      <c r="Y1290">
        <v>1.9432835613078432E-3</v>
      </c>
    </row>
    <row r="1291" spans="1:25">
      <c r="A1291" s="876"/>
      <c r="B1291" s="1202">
        <v>1041</v>
      </c>
      <c r="C1291" s="880">
        <v>0.97888569603466813</v>
      </c>
      <c r="D1291" s="880">
        <v>1.0360755299948619</v>
      </c>
      <c r="E1291" s="880">
        <v>0.99965365482463797</v>
      </c>
      <c r="F1291" s="880">
        <v>1.0115429794989592</v>
      </c>
      <c r="G1291" s="880">
        <v>1.0175082548543677</v>
      </c>
      <c r="H1291" s="880">
        <v>1.0295183784320769</v>
      </c>
      <c r="I1291" s="880">
        <v>1.0052214216290034</v>
      </c>
      <c r="K1291">
        <v>1.0804611452230803</v>
      </c>
      <c r="L1291">
        <v>0</v>
      </c>
      <c r="M1291">
        <v>7.1276609463357884E-4</v>
      </c>
      <c r="N1291">
        <v>7.097934421379147E-2</v>
      </c>
      <c r="O1291">
        <v>8.8092998880977564E-3</v>
      </c>
      <c r="P1291">
        <v>1.2687962598130478E-2</v>
      </c>
      <c r="Q1291">
        <v>2.9683652203201451E-3</v>
      </c>
      <c r="R1291">
        <v>7.0103907721497636E-4</v>
      </c>
      <c r="S1291">
        <v>8.730626429951184E-2</v>
      </c>
      <c r="T1291">
        <v>0.81586472328580983</v>
      </c>
      <c r="U1291">
        <v>1.7275386630384967E-2</v>
      </c>
      <c r="V1291">
        <v>1.0415231672780577E-2</v>
      </c>
      <c r="W1291">
        <v>4.2437609342637586E-2</v>
      </c>
      <c r="X1291">
        <v>9.8206878183243439E-3</v>
      </c>
      <c r="Y1291">
        <v>1.9079972707094707E-3</v>
      </c>
    </row>
    <row r="1292" spans="1:25">
      <c r="A1292" s="876"/>
      <c r="B1292" s="1202">
        <v>1042</v>
      </c>
      <c r="C1292" s="880">
        <v>1.0129114419968255</v>
      </c>
      <c r="D1292" s="880">
        <v>0.99292923452805726</v>
      </c>
      <c r="E1292" s="880">
        <v>1.0110744049872471</v>
      </c>
      <c r="F1292" s="880">
        <v>1.0336153488602868</v>
      </c>
      <c r="G1292" s="880">
        <v>0.99883919708344071</v>
      </c>
      <c r="H1292" s="880">
        <v>1.0109496461603205</v>
      </c>
      <c r="I1292" s="880">
        <v>1.0238201518961949</v>
      </c>
      <c r="K1292">
        <v>1.0763235344911475</v>
      </c>
      <c r="L1292">
        <v>0</v>
      </c>
      <c r="M1292">
        <v>6.7540398667592508E-4</v>
      </c>
      <c r="N1292">
        <v>6.9672746894280546E-2</v>
      </c>
      <c r="O1292">
        <v>8.7084274546258087E-3</v>
      </c>
      <c r="P1292">
        <v>1.277260149436747E-2</v>
      </c>
      <c r="Q1292">
        <v>2.9587974761521021E-3</v>
      </c>
      <c r="R1292">
        <v>6.6412264924608946E-4</v>
      </c>
      <c r="S1292">
        <v>8.7099694753496271E-2</v>
      </c>
      <c r="T1292">
        <v>0.81494474777650916</v>
      </c>
      <c r="U1292">
        <v>1.66950714196843E-2</v>
      </c>
      <c r="V1292">
        <v>1.0411895623950909E-2</v>
      </c>
      <c r="W1292">
        <v>4.1333360245730102E-2</v>
      </c>
      <c r="X1292">
        <v>9.9299497665038712E-3</v>
      </c>
      <c r="Y1292">
        <v>1.8075229232753696E-3</v>
      </c>
    </row>
    <row r="1293" spans="1:25">
      <c r="A1293" s="876"/>
      <c r="B1293" s="1202">
        <v>1043</v>
      </c>
      <c r="C1293" s="880">
        <v>0.97977153117411375</v>
      </c>
      <c r="D1293" s="880">
        <v>0.98645517526787319</v>
      </c>
      <c r="E1293" s="880">
        <v>1.0014620559319234</v>
      </c>
      <c r="F1293" s="880">
        <v>1.0131388121563312</v>
      </c>
      <c r="G1293" s="880">
        <v>1.0130395262604908</v>
      </c>
      <c r="H1293" s="880">
        <v>1.0256403379335115</v>
      </c>
      <c r="I1293" s="880">
        <v>0.96441201848805624</v>
      </c>
      <c r="K1293">
        <v>1.0816968147946064</v>
      </c>
      <c r="L1293">
        <v>0</v>
      </c>
      <c r="M1293">
        <v>7.254184887460957E-4</v>
      </c>
      <c r="N1293">
        <v>7.2646636060971409E-2</v>
      </c>
      <c r="O1293">
        <v>9.0344741611246265E-3</v>
      </c>
      <c r="P1293">
        <v>1.2679839089985457E-2</v>
      </c>
      <c r="Q1293">
        <v>3.0386700055491482E-3</v>
      </c>
      <c r="R1293">
        <v>7.1348106870543345E-4</v>
      </c>
      <c r="S1293">
        <v>8.5618807520187717E-2</v>
      </c>
      <c r="T1293">
        <v>0.8157187556460691</v>
      </c>
      <c r="U1293">
        <v>1.7259767535486033E-2</v>
      </c>
      <c r="V1293">
        <v>1.0415141883537959E-2</v>
      </c>
      <c r="W1293">
        <v>4.3380770156708652E-2</v>
      </c>
      <c r="X1293">
        <v>9.9740298849799059E-3</v>
      </c>
      <c r="Y1293">
        <v>1.9418602700451027E-3</v>
      </c>
    </row>
    <row r="1294" spans="1:25">
      <c r="A1294" s="876"/>
      <c r="B1294" s="1202">
        <v>1044</v>
      </c>
      <c r="C1294" s="880">
        <v>1.0396542206841068</v>
      </c>
      <c r="D1294" s="880">
        <v>0.98986385092238593</v>
      </c>
      <c r="E1294" s="880">
        <v>1.0047929577028438</v>
      </c>
      <c r="F1294" s="880">
        <v>1.0232840733161674</v>
      </c>
      <c r="G1294" s="880">
        <v>1.013827033013456</v>
      </c>
      <c r="H1294" s="880">
        <v>1.0036523116495202</v>
      </c>
      <c r="I1294" s="880">
        <v>1.0047502944861098</v>
      </c>
      <c r="K1294">
        <v>1.0677315103715221</v>
      </c>
      <c r="L1294">
        <v>0</v>
      </c>
      <c r="M1294">
        <v>6.6308150264683164E-4</v>
      </c>
      <c r="N1294">
        <v>6.7070594831098909E-2</v>
      </c>
      <c r="O1294">
        <v>8.4984353327687123E-3</v>
      </c>
      <c r="P1294">
        <v>1.2660198468293374E-2</v>
      </c>
      <c r="Q1294">
        <v>2.8686903721616059E-3</v>
      </c>
      <c r="R1294">
        <v>6.5192800331578132E-4</v>
      </c>
      <c r="S1294">
        <v>8.3153652139793907E-2</v>
      </c>
      <c r="T1294">
        <v>0.8154501881496703</v>
      </c>
      <c r="U1294">
        <v>1.626562806124613E-2</v>
      </c>
      <c r="V1294">
        <v>1.0409426889740751E-2</v>
      </c>
      <c r="W1294">
        <v>3.9960070648171121E-2</v>
      </c>
      <c r="X1294">
        <v>9.6314458608902209E-3</v>
      </c>
      <c r="Y1294">
        <v>1.7743331170170218E-3</v>
      </c>
    </row>
    <row r="1295" spans="1:25">
      <c r="A1295" s="876"/>
      <c r="B1295" s="1202">
        <v>1045</v>
      </c>
      <c r="C1295" s="880">
        <v>1.0036860046492446</v>
      </c>
      <c r="D1295" s="880">
        <v>1.0072365501865235</v>
      </c>
      <c r="E1295" s="880">
        <v>1.0158761711902835</v>
      </c>
      <c r="F1295" s="880">
        <v>1.0160005757761419</v>
      </c>
      <c r="G1295" s="880">
        <v>1.0143410058003568</v>
      </c>
      <c r="H1295" s="880">
        <v>0.98263375066197189</v>
      </c>
      <c r="I1295" s="880">
        <v>1.0332062609554353</v>
      </c>
      <c r="K1295">
        <v>1.0734509754405788</v>
      </c>
      <c r="L1295">
        <v>0</v>
      </c>
      <c r="M1295">
        <v>6.5086842995169597E-4</v>
      </c>
      <c r="N1295">
        <v>6.8116650146702554E-2</v>
      </c>
      <c r="O1295">
        <v>8.7216786081789604E-3</v>
      </c>
      <c r="P1295">
        <v>1.2813896418974745E-2</v>
      </c>
      <c r="Q1295">
        <v>2.9807137385857822E-3</v>
      </c>
      <c r="R1295">
        <v>6.396718795894981E-4</v>
      </c>
      <c r="S1295">
        <v>8.7037839363928768E-2</v>
      </c>
      <c r="T1295">
        <v>0.81455927664641226</v>
      </c>
      <c r="U1295">
        <v>1.6848525124012362E-2</v>
      </c>
      <c r="V1295">
        <v>1.0412777780822367E-2</v>
      </c>
      <c r="W1295">
        <v>4.0278890234876276E-2</v>
      </c>
      <c r="X1295">
        <v>9.950947939981851E-3</v>
      </c>
      <c r="Y1295">
        <v>1.7409759884641789E-3</v>
      </c>
    </row>
    <row r="1296" spans="1:25">
      <c r="A1296" s="876"/>
      <c r="B1296" s="1202">
        <v>1046</v>
      </c>
      <c r="C1296" s="880">
        <v>1.0008684158749255</v>
      </c>
      <c r="D1296" s="880">
        <v>1.0317310743424783</v>
      </c>
      <c r="E1296" s="880">
        <v>1.0288993410978049</v>
      </c>
      <c r="F1296" s="880">
        <v>1.005568917330061</v>
      </c>
      <c r="G1296" s="880">
        <v>0.9966797352880159</v>
      </c>
      <c r="H1296" s="880">
        <v>1.0335745356549291</v>
      </c>
      <c r="I1296" s="880">
        <v>0.97403115362162707</v>
      </c>
      <c r="K1296">
        <v>1.0745109837344935</v>
      </c>
      <c r="L1296">
        <v>0</v>
      </c>
      <c r="M1296">
        <v>6.5943384617214685E-4</v>
      </c>
      <c r="N1296">
        <v>7.1921731533718461E-2</v>
      </c>
      <c r="O1296">
        <v>8.6350821537658443E-3</v>
      </c>
      <c r="P1296">
        <v>1.2867226442943022E-2</v>
      </c>
      <c r="Q1296">
        <v>2.994849532934486E-3</v>
      </c>
      <c r="R1296">
        <v>6.4863015895730389E-4</v>
      </c>
      <c r="S1296">
        <v>8.3050898778293455E-2</v>
      </c>
      <c r="T1296">
        <v>0.81351777254984547</v>
      </c>
      <c r="U1296">
        <v>1.6895956149410182E-2</v>
      </c>
      <c r="V1296">
        <v>1.0413050446804314E-2</v>
      </c>
      <c r="W1296">
        <v>4.2157435014795845E-2</v>
      </c>
      <c r="X1296">
        <v>1.030242734738953E-2</v>
      </c>
      <c r="Y1296">
        <v>1.7653574718073466E-3</v>
      </c>
    </row>
    <row r="1297" spans="1:25">
      <c r="A1297" s="876"/>
      <c r="B1297" s="1202">
        <v>1047</v>
      </c>
      <c r="C1297" s="880">
        <v>1.0261087691707174</v>
      </c>
      <c r="D1297" s="880">
        <v>1.0152836983827578</v>
      </c>
      <c r="E1297" s="880">
        <v>1.0180156824403543</v>
      </c>
      <c r="F1297" s="880">
        <v>1.0000074531984116</v>
      </c>
      <c r="G1297" s="880">
        <v>1.0127287005056065</v>
      </c>
      <c r="H1297" s="880">
        <v>1.0256073250756752</v>
      </c>
      <c r="I1297" s="880">
        <v>0.96221066591870141</v>
      </c>
      <c r="K1297">
        <v>1.0679722387701316</v>
      </c>
      <c r="L1297">
        <v>0</v>
      </c>
      <c r="M1297">
        <v>6.5870145422315869E-4</v>
      </c>
      <c r="N1297">
        <v>6.9446444451983502E-2</v>
      </c>
      <c r="O1297">
        <v>8.4950037303275581E-3</v>
      </c>
      <c r="P1297">
        <v>1.2734808954948206E-2</v>
      </c>
      <c r="Q1297">
        <v>2.9111590537669401E-3</v>
      </c>
      <c r="R1297">
        <v>6.4783863002497455E-4</v>
      </c>
      <c r="S1297">
        <v>8.0401992596839736E-2</v>
      </c>
      <c r="T1297">
        <v>0.81438777617403724</v>
      </c>
      <c r="U1297">
        <v>1.6480347282890155E-2</v>
      </c>
      <c r="V1297">
        <v>1.0410661242718005E-2</v>
      </c>
      <c r="W1297">
        <v>4.1005858541705013E-2</v>
      </c>
      <c r="X1297">
        <v>9.9458463741311561E-3</v>
      </c>
      <c r="Y1297">
        <v>1.7632031909809883E-3</v>
      </c>
    </row>
    <row r="1298" spans="1:25">
      <c r="A1298" s="876"/>
      <c r="B1298" s="1202">
        <v>1048</v>
      </c>
      <c r="C1298" s="880">
        <v>0.98499920877777292</v>
      </c>
      <c r="D1298" s="880">
        <v>0.99316467056874091</v>
      </c>
      <c r="E1298" s="880">
        <v>1.0322839189341066</v>
      </c>
      <c r="F1298" s="880">
        <v>0.99351279079493948</v>
      </c>
      <c r="G1298" s="880">
        <v>0.97617446535728003</v>
      </c>
      <c r="H1298" s="880">
        <v>0.96577269616001415</v>
      </c>
      <c r="I1298" s="880">
        <v>0.98425067727917281</v>
      </c>
      <c r="K1298">
        <v>1.0730187439634165</v>
      </c>
      <c r="L1298">
        <v>0</v>
      </c>
      <c r="M1298">
        <v>6.3434804422895846E-4</v>
      </c>
      <c r="N1298">
        <v>6.9838129740983843E-2</v>
      </c>
      <c r="O1298">
        <v>8.9540680267602753E-3</v>
      </c>
      <c r="P1298">
        <v>1.2918895574565461E-2</v>
      </c>
      <c r="Q1298">
        <v>3.1070801674340097E-3</v>
      </c>
      <c r="R1298">
        <v>6.2325663422356547E-4</v>
      </c>
      <c r="S1298">
        <v>8.4476050396250876E-2</v>
      </c>
      <c r="T1298">
        <v>0.81324804455978694</v>
      </c>
      <c r="U1298">
        <v>1.7168164923640688E-2</v>
      </c>
      <c r="V1298">
        <v>1.0414615289058933E-2</v>
      </c>
      <c r="W1298">
        <v>4.0843414595254653E-2</v>
      </c>
      <c r="X1298">
        <v>1.0365072997822867E-2</v>
      </c>
      <c r="Y1298">
        <v>1.6962991018622908E-3</v>
      </c>
    </row>
    <row r="1299" spans="1:25">
      <c r="A1299" s="876"/>
      <c r="B1299" s="1202">
        <v>1049</v>
      </c>
      <c r="C1299" s="880">
        <v>1.043647347167189</v>
      </c>
      <c r="D1299" s="880">
        <v>1.0119270390920172</v>
      </c>
      <c r="E1299" s="880">
        <v>0.98381559051956313</v>
      </c>
      <c r="F1299" s="880">
        <v>1.0330308606181</v>
      </c>
      <c r="G1299" s="880">
        <v>0.99634940291290142</v>
      </c>
      <c r="H1299" s="880">
        <v>0.99589107813323274</v>
      </c>
      <c r="I1299" s="880">
        <v>0.99912604882088774</v>
      </c>
      <c r="K1299">
        <v>1.062397567122346</v>
      </c>
      <c r="L1299">
        <v>0</v>
      </c>
      <c r="M1299">
        <v>6.7702776015607401E-4</v>
      </c>
      <c r="N1299">
        <v>6.4142574859817947E-2</v>
      </c>
      <c r="O1299">
        <v>8.3669883584452168E-3</v>
      </c>
      <c r="P1299">
        <v>1.2458185916268448E-2</v>
      </c>
      <c r="Q1299">
        <v>2.7697599080373264E-3</v>
      </c>
      <c r="R1299">
        <v>6.6553233893904733E-4</v>
      </c>
      <c r="S1299">
        <v>8.1208268574909245E-2</v>
      </c>
      <c r="T1299">
        <v>0.81714785824316405</v>
      </c>
      <c r="U1299">
        <v>1.6203393715179301E-2</v>
      </c>
      <c r="V1299">
        <v>1.0409069124144509E-2</v>
      </c>
      <c r="W1299">
        <v>3.8770294147570147E-2</v>
      </c>
      <c r="X1299">
        <v>9.1213100621109471E-3</v>
      </c>
      <c r="Y1299">
        <v>1.8113596339155191E-3</v>
      </c>
    </row>
    <row r="1300" spans="1:25">
      <c r="A1300" s="876"/>
      <c r="B1300" s="1202">
        <v>1050</v>
      </c>
      <c r="C1300" s="880">
        <v>1.0423762294321182</v>
      </c>
      <c r="D1300" s="880">
        <v>1.0337834055876067</v>
      </c>
      <c r="E1300" s="880">
        <v>1.0019092970094781</v>
      </c>
      <c r="F1300" s="880">
        <v>0.99238305029829843</v>
      </c>
      <c r="G1300" s="880">
        <v>0.99334577193095641</v>
      </c>
      <c r="H1300" s="880">
        <v>0.99033429293101516</v>
      </c>
      <c r="I1300" s="880">
        <v>1.0124613345471007</v>
      </c>
      <c r="K1300">
        <v>1.0611256643317686</v>
      </c>
      <c r="L1300">
        <v>0</v>
      </c>
      <c r="M1300">
        <v>6.4157737487437856E-4</v>
      </c>
      <c r="N1300">
        <v>6.4297659893567213E-2</v>
      </c>
      <c r="O1300">
        <v>8.2824750118703269E-3</v>
      </c>
      <c r="P1300">
        <v>1.2610749657962207E-2</v>
      </c>
      <c r="Q1300">
        <v>2.7967236470113769E-3</v>
      </c>
      <c r="R1300">
        <v>6.3060571636110142E-4</v>
      </c>
      <c r="S1300">
        <v>8.1332883732056382E-2</v>
      </c>
      <c r="T1300">
        <v>0.81568267309483522</v>
      </c>
      <c r="U1300">
        <v>1.6223152819942185E-2</v>
      </c>
      <c r="V1300">
        <v>1.0409182712996044E-2</v>
      </c>
      <c r="W1300">
        <v>3.8383464298927306E-2</v>
      </c>
      <c r="X1300">
        <v>9.4013702402970228E-3</v>
      </c>
      <c r="Y1300">
        <v>1.7163008808163884E-3</v>
      </c>
    </row>
    <row r="1301" spans="1:25">
      <c r="A1301" s="876"/>
      <c r="B1301" s="1202">
        <v>1051</v>
      </c>
      <c r="C1301" s="880">
        <v>1.0221370526093392</v>
      </c>
      <c r="D1301" s="880">
        <v>0.96063723777212806</v>
      </c>
      <c r="E1301" s="880">
        <v>0.98995889080441601</v>
      </c>
      <c r="F1301" s="880">
        <v>1.0163421175510474</v>
      </c>
      <c r="G1301" s="880">
        <v>1.0388231854314025</v>
      </c>
      <c r="H1301" s="880">
        <v>1.0040281348048041</v>
      </c>
      <c r="I1301" s="880">
        <v>0.99670647013130387</v>
      </c>
      <c r="K1301">
        <v>1.0738928645028663</v>
      </c>
      <c r="L1301">
        <v>0</v>
      </c>
      <c r="M1301">
        <v>7.073137251333042E-4</v>
      </c>
      <c r="N1301">
        <v>6.8320312090167007E-2</v>
      </c>
      <c r="O1301">
        <v>8.7836801395824102E-3</v>
      </c>
      <c r="P1301">
        <v>1.2567866000590148E-2</v>
      </c>
      <c r="Q1301">
        <v>2.9144274561785739E-3</v>
      </c>
      <c r="R1301">
        <v>6.9544709256743904E-4</v>
      </c>
      <c r="S1301">
        <v>8.5180706970600178E-2</v>
      </c>
      <c r="T1301">
        <v>0.8166491432714762</v>
      </c>
      <c r="U1301">
        <v>1.6544384946013319E-2</v>
      </c>
      <c r="V1301">
        <v>1.0411029375014336E-2</v>
      </c>
      <c r="W1301">
        <v>4.1120668631270944E-2</v>
      </c>
      <c r="X1301">
        <v>9.5197345226422474E-3</v>
      </c>
      <c r="Y1301">
        <v>1.8927777318961175E-3</v>
      </c>
    </row>
    <row r="1302" spans="1:25">
      <c r="A1302" s="876"/>
      <c r="B1302" s="1202">
        <v>1052</v>
      </c>
      <c r="C1302" s="880">
        <v>1.0352101862951695</v>
      </c>
      <c r="D1302" s="880">
        <v>1.0043937569342145</v>
      </c>
      <c r="E1302" s="880">
        <v>0.97415316936568086</v>
      </c>
      <c r="F1302" s="880">
        <v>0.98618100663420694</v>
      </c>
      <c r="G1302" s="880">
        <v>0.99082592099883882</v>
      </c>
      <c r="H1302" s="880">
        <v>0.99132463024933837</v>
      </c>
      <c r="I1302" s="880">
        <v>0.98062304427114255</v>
      </c>
      <c r="K1302">
        <v>1.0625512034431537</v>
      </c>
      <c r="L1302">
        <v>0</v>
      </c>
      <c r="M1302">
        <v>6.9609571602701717E-4</v>
      </c>
      <c r="N1302">
        <v>6.3988630346870815E-2</v>
      </c>
      <c r="O1302">
        <v>8.4688339946629217E-3</v>
      </c>
      <c r="P1302">
        <v>1.2369700827844379E-2</v>
      </c>
      <c r="Q1302">
        <v>2.7745175656012579E-3</v>
      </c>
      <c r="R1302">
        <v>6.8422858145733578E-4</v>
      </c>
      <c r="S1302">
        <v>8.0498991600389327E-2</v>
      </c>
      <c r="T1302">
        <v>0.81793484159800989</v>
      </c>
      <c r="U1302">
        <v>1.6335454470818592E-2</v>
      </c>
      <c r="V1302">
        <v>1.0409828299711798E-2</v>
      </c>
      <c r="W1302">
        <v>3.8937620014330265E-2</v>
      </c>
      <c r="X1302">
        <v>8.9824072166482249E-3</v>
      </c>
      <c r="Y1302">
        <v>1.8622446428356095E-3</v>
      </c>
    </row>
    <row r="1303" spans="1:25">
      <c r="A1303" s="876"/>
      <c r="B1303" s="1202">
        <v>1053</v>
      </c>
      <c r="C1303" s="880">
        <v>1.027947940075429</v>
      </c>
      <c r="D1303" s="880">
        <v>1.0046102145752873</v>
      </c>
      <c r="E1303" s="880">
        <v>0.98911445750255944</v>
      </c>
      <c r="F1303" s="880">
        <v>0.99118930907689606</v>
      </c>
      <c r="G1303" s="880">
        <v>0.98721850005479561</v>
      </c>
      <c r="H1303" s="880">
        <v>1.0300845812655828</v>
      </c>
      <c r="I1303" s="880">
        <v>1.0150567839526869</v>
      </c>
      <c r="K1303">
        <v>1.0730625378772025</v>
      </c>
      <c r="L1303">
        <v>0</v>
      </c>
      <c r="M1303">
        <v>7.0581270074474825E-4</v>
      </c>
      <c r="N1303">
        <v>6.8021914776174655E-2</v>
      </c>
      <c r="O1303">
        <v>8.5276850359106721E-3</v>
      </c>
      <c r="P1303">
        <v>1.2560734877943933E-2</v>
      </c>
      <c r="Q1303">
        <v>2.8366135097959606E-3</v>
      </c>
      <c r="R1303">
        <v>6.9423249584673512E-4</v>
      </c>
      <c r="S1303">
        <v>8.527043268249998E-2</v>
      </c>
      <c r="T1303">
        <v>0.81671761879737126</v>
      </c>
      <c r="U1303">
        <v>1.6450861183409229E-2</v>
      </c>
      <c r="V1303">
        <v>1.0410491736446467E-2</v>
      </c>
      <c r="W1303">
        <v>4.096490531536582E-2</v>
      </c>
      <c r="X1303">
        <v>9.4233881671686396E-3</v>
      </c>
      <c r="Y1303">
        <v>1.8894720000140624E-3</v>
      </c>
    </row>
    <row r="1304" spans="1:25">
      <c r="A1304" s="876"/>
      <c r="B1304" s="1202">
        <v>1054</v>
      </c>
      <c r="C1304" s="880">
        <v>1.0042104496269175</v>
      </c>
      <c r="D1304" s="880">
        <v>1.0079346548151742</v>
      </c>
      <c r="E1304" s="880">
        <v>0.99913826820065621</v>
      </c>
      <c r="F1304" s="880">
        <v>1.0094144907933149</v>
      </c>
      <c r="G1304" s="880">
        <v>1.0072552325370192</v>
      </c>
      <c r="H1304" s="880">
        <v>1.0088635907050036</v>
      </c>
      <c r="I1304" s="880">
        <v>0.98437241248284613</v>
      </c>
      <c r="K1304">
        <v>1.0725685254229569</v>
      </c>
      <c r="L1304">
        <v>0</v>
      </c>
      <c r="M1304">
        <v>6.9162901054150064E-4</v>
      </c>
      <c r="N1304">
        <v>6.8742898400172364E-2</v>
      </c>
      <c r="O1304">
        <v>8.7139059102363005E-3</v>
      </c>
      <c r="P1304">
        <v>1.2629404193296825E-2</v>
      </c>
      <c r="Q1304">
        <v>2.928726772845734E-3</v>
      </c>
      <c r="R1304">
        <v>6.8004002334813378E-4</v>
      </c>
      <c r="S1304">
        <v>8.3767628630534677E-2</v>
      </c>
      <c r="T1304">
        <v>0.8159063437889521</v>
      </c>
      <c r="U1304">
        <v>1.6839726047697463E-2</v>
      </c>
      <c r="V1304">
        <v>1.0412727197712184E-2</v>
      </c>
      <c r="W1304">
        <v>4.1114970723317601E-2</v>
      </c>
      <c r="X1304">
        <v>9.6729379769638132E-3</v>
      </c>
      <c r="Y1304">
        <v>1.8508447684201718E-3</v>
      </c>
    </row>
    <row r="1305" spans="1:25">
      <c r="A1305" s="876"/>
      <c r="B1305" s="1202">
        <v>1055</v>
      </c>
      <c r="C1305" s="880">
        <v>1.0108899817087769</v>
      </c>
      <c r="D1305" s="880">
        <v>1.0093469271439355</v>
      </c>
      <c r="E1305" s="880">
        <v>0.99079459238800094</v>
      </c>
      <c r="F1305" s="880">
        <v>1.023988216221392</v>
      </c>
      <c r="G1305" s="880">
        <v>1.004479350276976</v>
      </c>
      <c r="H1305" s="880">
        <v>0.96501855632876044</v>
      </c>
      <c r="I1305" s="880">
        <v>0.99115342175263699</v>
      </c>
      <c r="K1305">
        <v>1.0646916875853047</v>
      </c>
      <c r="L1305">
        <v>0</v>
      </c>
      <c r="M1305">
        <v>6.6834258051286992E-4</v>
      </c>
      <c r="N1305">
        <v>6.4675369070524014E-2</v>
      </c>
      <c r="O1305">
        <v>8.649872427829634E-3</v>
      </c>
      <c r="P1305">
        <v>1.2536965227445867E-2</v>
      </c>
      <c r="Q1305">
        <v>2.8831576487913873E-3</v>
      </c>
      <c r="R1305">
        <v>6.5663377259347032E-4</v>
      </c>
      <c r="S1305">
        <v>8.2199534447487108E-2</v>
      </c>
      <c r="T1305">
        <v>0.81658139961036635</v>
      </c>
      <c r="U1305">
        <v>1.6728456283014254E-2</v>
      </c>
      <c r="V1305">
        <v>1.0412087542984168E-2</v>
      </c>
      <c r="W1305">
        <v>3.8904445210911368E-2</v>
      </c>
      <c r="X1305">
        <v>9.3449682541366409E-3</v>
      </c>
      <c r="Y1305">
        <v>1.7871406697344656E-3</v>
      </c>
    </row>
    <row r="1306" spans="1:25">
      <c r="A1306" s="876"/>
      <c r="B1306" s="1202">
        <v>1056</v>
      </c>
      <c r="C1306" s="880">
        <v>0.99691907298505922</v>
      </c>
      <c r="D1306" s="880">
        <v>1.0026098493479396</v>
      </c>
      <c r="E1306" s="880">
        <v>0.97339923261540484</v>
      </c>
      <c r="F1306" s="880">
        <v>0.99945194034151463</v>
      </c>
      <c r="G1306" s="880">
        <v>0.99350200245354936</v>
      </c>
      <c r="H1306" s="880">
        <v>0.96420843398786826</v>
      </c>
      <c r="I1306" s="880">
        <v>0.98819906516722167</v>
      </c>
      <c r="K1306">
        <v>1.0677379166773058</v>
      </c>
      <c r="L1306">
        <v>0</v>
      </c>
      <c r="M1306">
        <v>7.0483898114520127E-4</v>
      </c>
      <c r="N1306">
        <v>6.4608884226626334E-2</v>
      </c>
      <c r="O1306">
        <v>8.8024550728134279E-3</v>
      </c>
      <c r="P1306">
        <v>1.2409992760654163E-2</v>
      </c>
      <c r="Q1306">
        <v>2.8812181635860835E-3</v>
      </c>
      <c r="R1306">
        <v>6.9248647189058983E-4</v>
      </c>
      <c r="S1306">
        <v>8.3351582826684575E-2</v>
      </c>
      <c r="T1306">
        <v>0.81799638087961823</v>
      </c>
      <c r="U1306">
        <v>1.6962890292907266E-2</v>
      </c>
      <c r="V1306">
        <v>1.0413435230051348E-2</v>
      </c>
      <c r="W1306">
        <v>3.9335712941155135E-2</v>
      </c>
      <c r="X1306">
        <v>9.1029968940818835E-3</v>
      </c>
      <c r="Y1306">
        <v>1.8847198983820777E-3</v>
      </c>
    </row>
    <row r="1307" spans="1:25">
      <c r="A1307" s="876"/>
      <c r="B1307" s="1202">
        <v>1057</v>
      </c>
      <c r="C1307" s="880">
        <v>1.0041982666901135</v>
      </c>
      <c r="D1307" s="880">
        <v>0.96327965988039599</v>
      </c>
      <c r="E1307" s="880">
        <v>0.98741129721098764</v>
      </c>
      <c r="F1307" s="880">
        <v>0.97175336589356942</v>
      </c>
      <c r="G1307" s="880">
        <v>0.97628333942156853</v>
      </c>
      <c r="H1307" s="880">
        <v>0.95522151376279885</v>
      </c>
      <c r="I1307" s="880">
        <v>0.98557762185224562</v>
      </c>
      <c r="K1307">
        <v>1.0691678383025778</v>
      </c>
      <c r="L1307">
        <v>0</v>
      </c>
      <c r="M1307">
        <v>6.8762056557407196E-4</v>
      </c>
      <c r="N1307">
        <v>6.5835656950906388E-2</v>
      </c>
      <c r="O1307">
        <v>8.9274543859633702E-3</v>
      </c>
      <c r="P1307">
        <v>1.2532812544335086E-2</v>
      </c>
      <c r="Q1307">
        <v>2.9551249629955799E-3</v>
      </c>
      <c r="R1307">
        <v>6.7549239950396483E-4</v>
      </c>
      <c r="S1307">
        <v>8.3869336772691941E-2</v>
      </c>
      <c r="T1307">
        <v>0.81685580247769096</v>
      </c>
      <c r="U1307">
        <v>1.6839930347311422E-2</v>
      </c>
      <c r="V1307">
        <v>1.0412728372166117E-2</v>
      </c>
      <c r="W1307">
        <v>3.9694886313859847E-2</v>
      </c>
      <c r="X1307">
        <v>9.4177657052869311E-3</v>
      </c>
      <c r="Y1307">
        <v>1.8384676354401416E-3</v>
      </c>
    </row>
    <row r="1308" spans="1:25">
      <c r="A1308" s="876"/>
      <c r="B1308" s="1202">
        <v>1058</v>
      </c>
      <c r="C1308" s="880">
        <v>1.0196732211599264</v>
      </c>
      <c r="D1308" s="880">
        <v>0.98739616297267629</v>
      </c>
      <c r="E1308" s="880">
        <v>1.0267399284904699</v>
      </c>
      <c r="F1308" s="880">
        <v>0.98081227165878582</v>
      </c>
      <c r="G1308" s="880">
        <v>1.0184061389101089</v>
      </c>
      <c r="H1308" s="880">
        <v>0.98335452307836468</v>
      </c>
      <c r="I1308" s="880">
        <v>1.0047387334191806</v>
      </c>
      <c r="K1308">
        <v>1.0699812197782139</v>
      </c>
      <c r="L1308">
        <v>0</v>
      </c>
      <c r="M1308">
        <v>6.3325410572500631E-4</v>
      </c>
      <c r="N1308">
        <v>6.855041232354972E-2</v>
      </c>
      <c r="O1308">
        <v>8.6765203501607893E-3</v>
      </c>
      <c r="P1308">
        <v>1.2860578147692996E-2</v>
      </c>
      <c r="Q1308">
        <v>2.9930003133423365E-3</v>
      </c>
      <c r="R1308">
        <v>6.2238445917904475E-4</v>
      </c>
      <c r="S1308">
        <v>8.4167792390299687E-2</v>
      </c>
      <c r="T1308">
        <v>0.81369006748946693</v>
      </c>
      <c r="U1308">
        <v>1.6584361062964612E-2</v>
      </c>
      <c r="V1308">
        <v>1.0411259185082584E-2</v>
      </c>
      <c r="W1308">
        <v>4.0239586967716921E-2</v>
      </c>
      <c r="X1308">
        <v>1.0124585865578869E-2</v>
      </c>
      <c r="Y1308">
        <v>1.6939253289035322E-3</v>
      </c>
    </row>
    <row r="1309" spans="1:25">
      <c r="A1309" s="876"/>
      <c r="B1309" s="1202">
        <v>1059</v>
      </c>
      <c r="C1309" s="880">
        <v>1.0040769090342796</v>
      </c>
      <c r="D1309" s="880">
        <v>0.9959114777689172</v>
      </c>
      <c r="E1309" s="880">
        <v>1.0240772234296289</v>
      </c>
      <c r="F1309" s="880">
        <v>1.0090891956241324</v>
      </c>
      <c r="G1309" s="880">
        <v>1.0050969559101941</v>
      </c>
      <c r="H1309" s="880">
        <v>1.0298337141151614</v>
      </c>
      <c r="I1309" s="880">
        <v>0.98509811081022169</v>
      </c>
      <c r="K1309">
        <v>1.0780008005353563</v>
      </c>
      <c r="L1309">
        <v>0</v>
      </c>
      <c r="M1309">
        <v>6.7419908605964021E-4</v>
      </c>
      <c r="N1309">
        <v>7.2438074270401373E-2</v>
      </c>
      <c r="O1309">
        <v>8.7710041437033433E-3</v>
      </c>
      <c r="P1309">
        <v>1.2854828951651812E-2</v>
      </c>
      <c r="Q1309">
        <v>3.0195611737443015E-3</v>
      </c>
      <c r="R1309">
        <v>6.6314193057116137E-4</v>
      </c>
      <c r="S1309">
        <v>8.5080411782426271E-2</v>
      </c>
      <c r="T1309">
        <v>0.81390273814305913</v>
      </c>
      <c r="U1309">
        <v>1.6841965703819468E-2</v>
      </c>
      <c r="V1309">
        <v>1.0412740072787741E-2</v>
      </c>
      <c r="W1309">
        <v>4.259785480339514E-2</v>
      </c>
      <c r="X1309">
        <v>1.0287824915519394E-2</v>
      </c>
      <c r="Y1309">
        <v>1.8048537303360398E-3</v>
      </c>
    </row>
    <row r="1310" spans="1:25">
      <c r="A1310" s="876"/>
      <c r="B1310" s="1202">
        <v>1060</v>
      </c>
      <c r="C1310" s="880">
        <v>1.0030423227894005</v>
      </c>
      <c r="D1310" s="880">
        <v>1.0049035093988552</v>
      </c>
      <c r="E1310" s="880">
        <v>0.9977840262871126</v>
      </c>
      <c r="F1310" s="880">
        <v>0.97845601336597143</v>
      </c>
      <c r="G1310" s="880">
        <v>0.98909356267710813</v>
      </c>
      <c r="H1310" s="880">
        <v>0.98773665398238419</v>
      </c>
      <c r="I1310" s="880">
        <v>1.0212956614360642</v>
      </c>
      <c r="K1310">
        <v>1.0731172115185175</v>
      </c>
      <c r="L1310">
        <v>0</v>
      </c>
      <c r="M1310">
        <v>6.8095927191257478E-4</v>
      </c>
      <c r="N1310">
        <v>6.7373503792795261E-2</v>
      </c>
      <c r="O1310">
        <v>8.7380684110310997E-3</v>
      </c>
      <c r="P1310">
        <v>1.265389545191529E-2</v>
      </c>
      <c r="Q1310">
        <v>2.932191400581438E-3</v>
      </c>
      <c r="R1310">
        <v>6.6930758200005249E-4</v>
      </c>
      <c r="S1310">
        <v>8.6374365367007364E-2</v>
      </c>
      <c r="T1310">
        <v>0.81601574979812497</v>
      </c>
      <c r="U1310">
        <v>1.6859337319810114E-2</v>
      </c>
      <c r="V1310">
        <v>1.0412839936720516E-2</v>
      </c>
      <c r="W1310">
        <v>4.0333335764416729E-2</v>
      </c>
      <c r="X1310">
        <v>9.613941365008323E-3</v>
      </c>
      <c r="Y1310">
        <v>1.8216346010190339E-3</v>
      </c>
    </row>
    <row r="1311" spans="1:25">
      <c r="A1311" s="876"/>
      <c r="B1311" s="1202">
        <v>1061</v>
      </c>
      <c r="C1311" s="880">
        <v>0.97230771037664798</v>
      </c>
      <c r="D1311" s="880">
        <v>0.98182153488036628</v>
      </c>
      <c r="E1311" s="880">
        <v>1.0201866971735638</v>
      </c>
      <c r="F1311" s="880">
        <v>0.99713764408441663</v>
      </c>
      <c r="G1311" s="880">
        <v>0.98718943163765271</v>
      </c>
      <c r="H1311" s="880">
        <v>1.0000539602234817</v>
      </c>
      <c r="I1311" s="880">
        <v>0.95872537180520145</v>
      </c>
      <c r="K1311">
        <v>1.0801813205223512</v>
      </c>
      <c r="L1311">
        <v>0</v>
      </c>
      <c r="M1311">
        <v>6.8686858774090443E-4</v>
      </c>
      <c r="N1311">
        <v>7.2878010437367594E-2</v>
      </c>
      <c r="O1311">
        <v>9.1267479854075483E-3</v>
      </c>
      <c r="P1311">
        <v>1.2829927192010201E-2</v>
      </c>
      <c r="Q1311">
        <v>3.1265714583553266E-3</v>
      </c>
      <c r="R1311">
        <v>6.7528038782010697E-4</v>
      </c>
      <c r="S1311">
        <v>8.5058326577169441E-2</v>
      </c>
      <c r="T1311">
        <v>0.81421390989898867</v>
      </c>
      <c r="U1311">
        <v>1.7392260377531724E-2</v>
      </c>
      <c r="V1311">
        <v>1.0415903543033487E-2</v>
      </c>
      <c r="W1311">
        <v>4.2969053085534378E-2</v>
      </c>
      <c r="X1311">
        <v>1.034430755734754E-2</v>
      </c>
      <c r="Y1311">
        <v>1.8378906095263129E-3</v>
      </c>
    </row>
    <row r="1312" spans="1:25">
      <c r="A1312" s="876"/>
      <c r="B1312" s="1202">
        <v>1062</v>
      </c>
      <c r="C1312" s="880">
        <v>1.0042058555320168</v>
      </c>
      <c r="D1312" s="880">
        <v>0.9714513114152491</v>
      </c>
      <c r="E1312" s="880">
        <v>0.98835739090024877</v>
      </c>
      <c r="F1312" s="880">
        <v>0.99047070749519717</v>
      </c>
      <c r="G1312" s="880">
        <v>1.0015764340752034</v>
      </c>
      <c r="H1312" s="880">
        <v>0.99788363589276685</v>
      </c>
      <c r="I1312" s="880">
        <v>1.0145959850399839</v>
      </c>
      <c r="K1312">
        <v>1.0773463265565064</v>
      </c>
      <c r="L1312">
        <v>0</v>
      </c>
      <c r="M1312">
        <v>7.1367391286283855E-4</v>
      </c>
      <c r="N1312">
        <v>6.8583577261303111E-2</v>
      </c>
      <c r="O1312">
        <v>8.8871348830387876E-3</v>
      </c>
      <c r="P1312">
        <v>1.2590387167824076E-2</v>
      </c>
      <c r="Q1312">
        <v>2.9464816623614703E-3</v>
      </c>
      <c r="R1312">
        <v>7.0161679308357024E-4</v>
      </c>
      <c r="S1312">
        <v>8.7539721134190215E-2</v>
      </c>
      <c r="T1312">
        <v>0.81677903026566134</v>
      </c>
      <c r="U1312">
        <v>1.6839803086980944E-2</v>
      </c>
      <c r="V1312">
        <v>1.0412727640586695E-2</v>
      </c>
      <c r="W1312">
        <v>4.1324726406548218E-2</v>
      </c>
      <c r="X1312">
        <v>9.5452245449297903E-3</v>
      </c>
      <c r="Y1312">
        <v>1.9095696228597983E-3</v>
      </c>
    </row>
    <row r="1313" spans="1:25">
      <c r="A1313" s="876"/>
      <c r="B1313" s="1202">
        <v>1063</v>
      </c>
      <c r="C1313" s="880">
        <v>0.9803660825523034</v>
      </c>
      <c r="D1313" s="880">
        <v>1.0228625447934427</v>
      </c>
      <c r="E1313" s="880">
        <v>0.99894547166892522</v>
      </c>
      <c r="F1313" s="880">
        <v>0.98235661021644727</v>
      </c>
      <c r="G1313" s="880">
        <v>1.0044547126116825</v>
      </c>
      <c r="H1313" s="880">
        <v>0.98868757786154282</v>
      </c>
      <c r="I1313" s="880">
        <v>0.99942974737701729</v>
      </c>
      <c r="K1313">
        <v>1.0747466021789749</v>
      </c>
      <c r="L1313">
        <v>0</v>
      </c>
      <c r="M1313">
        <v>6.8916099781148E-4</v>
      </c>
      <c r="N1313">
        <v>6.8431435478386288E-2</v>
      </c>
      <c r="O1313">
        <v>8.8562406628733877E-3</v>
      </c>
      <c r="P1313">
        <v>1.2660532406132251E-2</v>
      </c>
      <c r="Q1313">
        <v>2.9792362547595586E-3</v>
      </c>
      <c r="R1313">
        <v>6.7736507062103341E-4</v>
      </c>
      <c r="S1313">
        <v>8.5756193022042751E-2</v>
      </c>
      <c r="T1313">
        <v>0.81592191556277427</v>
      </c>
      <c r="U1313">
        <v>1.724930020215196E-2</v>
      </c>
      <c r="V1313">
        <v>1.0415081710145135E-2</v>
      </c>
      <c r="W1313">
        <v>4.09340887135968E-2</v>
      </c>
      <c r="X1313">
        <v>9.7108096644077345E-3</v>
      </c>
      <c r="Y1313">
        <v>1.8435644288949341E-3</v>
      </c>
    </row>
    <row r="1314" spans="1:25">
      <c r="A1314" s="876"/>
      <c r="B1314" s="1202">
        <v>1064</v>
      </c>
      <c r="C1314" s="880">
        <v>1.0192903380275347</v>
      </c>
      <c r="D1314" s="880">
        <v>0.99635565567338302</v>
      </c>
      <c r="E1314" s="880">
        <v>0.95723546387987135</v>
      </c>
      <c r="F1314" s="880">
        <v>0.98989381733026427</v>
      </c>
      <c r="G1314" s="880">
        <v>0.99236441583600832</v>
      </c>
      <c r="H1314" s="880">
        <v>1.0217739259868128</v>
      </c>
      <c r="I1314" s="880">
        <v>0.9891603094205792</v>
      </c>
      <c r="K1314">
        <v>1.071608457754857</v>
      </c>
      <c r="L1314">
        <v>0</v>
      </c>
      <c r="M1314">
        <v>7.5819995969175508E-4</v>
      </c>
      <c r="N1314">
        <v>6.6150012058751331E-2</v>
      </c>
      <c r="O1314">
        <v>8.6380374275455956E-3</v>
      </c>
      <c r="P1314">
        <v>1.2275546051868787E-2</v>
      </c>
      <c r="Q1314">
        <v>2.7796541289981363E-3</v>
      </c>
      <c r="R1314">
        <v>7.4566665645587412E-4</v>
      </c>
      <c r="S1314">
        <v>8.385723769953049E-2</v>
      </c>
      <c r="T1314">
        <v>0.81932034370464957</v>
      </c>
      <c r="U1314">
        <v>1.6590590762075474E-2</v>
      </c>
      <c r="V1314">
        <v>1.0411294997654865E-2</v>
      </c>
      <c r="W1314">
        <v>4.0732992787534228E-2</v>
      </c>
      <c r="X1314">
        <v>8.8358226095571601E-3</v>
      </c>
      <c r="Y1314">
        <v>2.0294588299256512E-3</v>
      </c>
    </row>
    <row r="1315" spans="1:25">
      <c r="A1315" s="876"/>
      <c r="B1315" s="1202">
        <v>1065</v>
      </c>
      <c r="C1315" s="880">
        <v>1.0002576649420567</v>
      </c>
      <c r="D1315" s="880">
        <v>0.9848109994990889</v>
      </c>
      <c r="E1315" s="880">
        <v>1.0024313971266503</v>
      </c>
      <c r="F1315" s="880">
        <v>1.022481786267005</v>
      </c>
      <c r="G1315" s="880">
        <v>0.97632912295786234</v>
      </c>
      <c r="H1315" s="880">
        <v>0.95436011411263699</v>
      </c>
      <c r="I1315" s="880">
        <v>0.97613081997825546</v>
      </c>
      <c r="K1315">
        <v>1.0670932590581566</v>
      </c>
      <c r="L1315">
        <v>0</v>
      </c>
      <c r="M1315">
        <v>6.6041642104327667E-4</v>
      </c>
      <c r="N1315">
        <v>6.6254013200679251E-2</v>
      </c>
      <c r="O1315">
        <v>8.8573269439382891E-3</v>
      </c>
      <c r="P1315">
        <v>1.2639718054051839E-2</v>
      </c>
      <c r="Q1315">
        <v>2.9816151671252927E-3</v>
      </c>
      <c r="R1315">
        <v>6.4873840680811209E-4</v>
      </c>
      <c r="S1315">
        <v>8.2447612343920687E-2</v>
      </c>
      <c r="T1315">
        <v>0.81564055966098015</v>
      </c>
      <c r="U1315">
        <v>1.6906272712173612E-2</v>
      </c>
      <c r="V1315">
        <v>1.0413109753464734E-2</v>
      </c>
      <c r="W1315">
        <v>3.9537233603807759E-2</v>
      </c>
      <c r="X1315">
        <v>9.6618235454759734E-3</v>
      </c>
      <c r="Y1315">
        <v>1.7656520867733519E-3</v>
      </c>
    </row>
    <row r="1316" spans="1:25">
      <c r="A1316" s="876"/>
      <c r="B1316" s="1202">
        <v>1066</v>
      </c>
      <c r="C1316" s="880">
        <v>1.007201697344692</v>
      </c>
      <c r="D1316" s="880">
        <v>1.0165495316652511</v>
      </c>
      <c r="E1316" s="880">
        <v>1.0204918183519154</v>
      </c>
      <c r="F1316" s="880">
        <v>1.017078021937962</v>
      </c>
      <c r="G1316" s="880">
        <v>1.0026603440497242</v>
      </c>
      <c r="H1316" s="880">
        <v>1.0400209900891388</v>
      </c>
      <c r="I1316" s="880">
        <v>0.99626668589071055</v>
      </c>
      <c r="K1316">
        <v>1.0773367717368725</v>
      </c>
      <c r="L1316">
        <v>0</v>
      </c>
      <c r="M1316">
        <v>6.7649997414737225E-4</v>
      </c>
      <c r="N1316">
        <v>7.1890296458778369E-2</v>
      </c>
      <c r="O1316">
        <v>8.6487310090759828E-3</v>
      </c>
      <c r="P1316">
        <v>1.2826902085826031E-2</v>
      </c>
      <c r="Q1316">
        <v>2.9714224915799326E-3</v>
      </c>
      <c r="R1316">
        <v>6.6549724592378614E-4</v>
      </c>
      <c r="S1316">
        <v>8.5263178799315983E-2</v>
      </c>
      <c r="T1316">
        <v>0.81418948706877503</v>
      </c>
      <c r="U1316">
        <v>1.6789714424165717E-2</v>
      </c>
      <c r="V1316">
        <v>1.0412439696686733E-2</v>
      </c>
      <c r="W1316">
        <v>4.2377970504189816E-2</v>
      </c>
      <c r="X1316">
        <v>1.0166367804405963E-2</v>
      </c>
      <c r="Y1316">
        <v>1.8112641222963874E-3</v>
      </c>
    </row>
    <row r="1317" spans="1:25">
      <c r="A1317" s="876"/>
      <c r="B1317" s="1202">
        <v>1067</v>
      </c>
      <c r="C1317" s="880">
        <v>0.95587235475904508</v>
      </c>
      <c r="D1317" s="880">
        <v>1.0400872620963313</v>
      </c>
      <c r="E1317" s="880">
        <v>1.0190742402928918</v>
      </c>
      <c r="F1317" s="880">
        <v>0.97631207199477776</v>
      </c>
      <c r="G1317" s="880">
        <v>0.98568568259515443</v>
      </c>
      <c r="H1317" s="880">
        <v>0.98055396303179188</v>
      </c>
      <c r="I1317" s="880">
        <v>0.95896968936127169</v>
      </c>
      <c r="K1317">
        <v>1.0745835601701998</v>
      </c>
      <c r="L1317">
        <v>0</v>
      </c>
      <c r="M1317">
        <v>6.6594639370485447E-4</v>
      </c>
      <c r="N1317">
        <v>7.0385123476550987E-2</v>
      </c>
      <c r="O1317">
        <v>9.0028836111179789E-3</v>
      </c>
      <c r="P1317">
        <v>1.280204842741225E-2</v>
      </c>
      <c r="Q1317">
        <v>3.0939632149886926E-3</v>
      </c>
      <c r="R1317">
        <v>6.5443935253941513E-4</v>
      </c>
      <c r="S1317">
        <v>8.341086931417549E-2</v>
      </c>
      <c r="T1317">
        <v>0.81430298122420408</v>
      </c>
      <c r="U1317">
        <v>1.7691304473613719E-2</v>
      </c>
      <c r="V1317">
        <v>1.0417622653076381E-2</v>
      </c>
      <c r="W1317">
        <v>4.1530412423729735E-2</v>
      </c>
      <c r="X1317">
        <v>1.0176690210758309E-2</v>
      </c>
      <c r="Y1317">
        <v>1.7811681817377037E-3</v>
      </c>
    </row>
    <row r="1318" spans="1:25">
      <c r="A1318" s="876"/>
      <c r="B1318" s="1202">
        <v>1068</v>
      </c>
      <c r="C1318" s="880">
        <v>0.96235079504652199</v>
      </c>
      <c r="D1318" s="880">
        <v>0.964363585973249</v>
      </c>
      <c r="E1318" s="880">
        <v>0.98202700129580911</v>
      </c>
      <c r="F1318" s="880">
        <v>1.0026518152882435</v>
      </c>
      <c r="G1318" s="880">
        <v>0.97976806372469993</v>
      </c>
      <c r="H1318" s="880">
        <v>1.0055458109949511</v>
      </c>
      <c r="I1318" s="880">
        <v>1.0225138501360382</v>
      </c>
      <c r="K1318">
        <v>1.0901927594584524</v>
      </c>
      <c r="L1318">
        <v>0</v>
      </c>
      <c r="M1318">
        <v>7.6345706394999053E-4</v>
      </c>
      <c r="N1318">
        <v>7.1945429198629909E-2</v>
      </c>
      <c r="O1318">
        <v>9.3100566565355782E-3</v>
      </c>
      <c r="P1318">
        <v>1.2616448806091873E-2</v>
      </c>
      <c r="Q1318">
        <v>3.065258547626043E-3</v>
      </c>
      <c r="R1318">
        <v>7.5066414732081099E-4</v>
      </c>
      <c r="S1318">
        <v>9.2694318295053743E-2</v>
      </c>
      <c r="T1318">
        <v>0.81729329673899154</v>
      </c>
      <c r="U1318">
        <v>1.7572208547024591E-2</v>
      </c>
      <c r="V1318">
        <v>1.0416938008215831E-2</v>
      </c>
      <c r="W1318">
        <v>4.3540539537981288E-2</v>
      </c>
      <c r="X1318">
        <v>9.7079976862921129E-3</v>
      </c>
      <c r="Y1318">
        <v>2.0430603526375886E-3</v>
      </c>
    </row>
    <row r="1319" spans="1:25">
      <c r="A1319" s="876"/>
      <c r="B1319" s="1202">
        <v>1069</v>
      </c>
      <c r="C1319" s="880">
        <v>0.98134626434177974</v>
      </c>
      <c r="D1319" s="880">
        <v>1.0072729022597118</v>
      </c>
      <c r="E1319" s="880">
        <v>1.0065649419486382</v>
      </c>
      <c r="F1319" s="880">
        <v>1.0008813191918975</v>
      </c>
      <c r="G1319" s="880">
        <v>1.0093485388218635</v>
      </c>
      <c r="H1319" s="880">
        <v>0.96828933184538357</v>
      </c>
      <c r="I1319" s="880">
        <v>1.0187863555589642</v>
      </c>
      <c r="K1319">
        <v>1.0749674277259118</v>
      </c>
      <c r="L1319">
        <v>0</v>
      </c>
      <c r="M1319">
        <v>6.6896687181502426E-4</v>
      </c>
      <c r="N1319">
        <v>6.7995743439473913E-2</v>
      </c>
      <c r="O1319">
        <v>8.9200506669551219E-3</v>
      </c>
      <c r="P1319">
        <v>1.2744362956303129E-2</v>
      </c>
      <c r="Q1319">
        <v>3.020292742653159E-3</v>
      </c>
      <c r="R1319">
        <v>6.572884725329402E-4</v>
      </c>
      <c r="S1319">
        <v>8.7244840309804131E-2</v>
      </c>
      <c r="T1319">
        <v>0.81530746845277502</v>
      </c>
      <c r="U1319">
        <v>1.7232071370134439E-2</v>
      </c>
      <c r="V1319">
        <v>1.0414982667032306E-2</v>
      </c>
      <c r="W1319">
        <v>4.0462371354246074E-2</v>
      </c>
      <c r="X1319">
        <v>9.8479996186688935E-3</v>
      </c>
      <c r="Y1319">
        <v>1.7889225471479251E-3</v>
      </c>
    </row>
    <row r="1320" spans="1:25">
      <c r="A1320" s="876"/>
      <c r="B1320" s="1202">
        <v>1070</v>
      </c>
      <c r="C1320" s="880">
        <v>0.99380044232066334</v>
      </c>
      <c r="D1320" s="880">
        <v>0.98409523820705669</v>
      </c>
      <c r="E1320" s="880">
        <v>0.96725979364786507</v>
      </c>
      <c r="F1320" s="880">
        <v>0.97150314301268859</v>
      </c>
      <c r="G1320" s="880">
        <v>1.0058321192660837</v>
      </c>
      <c r="H1320" s="880">
        <v>0.95810202921904208</v>
      </c>
      <c r="I1320" s="880">
        <v>0.99170019403969856</v>
      </c>
      <c r="K1320">
        <v>1.0696853991670376</v>
      </c>
      <c r="L1320">
        <v>0</v>
      </c>
      <c r="M1320">
        <v>7.1876930332527035E-4</v>
      </c>
      <c r="N1320">
        <v>6.4630819415697524E-2</v>
      </c>
      <c r="O1320">
        <v>8.9183397855544209E-3</v>
      </c>
      <c r="P1320">
        <v>1.2373981357817017E-2</v>
      </c>
      <c r="Q1320">
        <v>2.8968451960698026E-3</v>
      </c>
      <c r="R1320">
        <v>7.0610976595959546E-4</v>
      </c>
      <c r="S1320">
        <v>8.4472110755152888E-2</v>
      </c>
      <c r="T1320">
        <v>0.81849822050232479</v>
      </c>
      <c r="U1320">
        <v>1.7016121291376869E-2</v>
      </c>
      <c r="V1320">
        <v>1.0413741238246333E-2</v>
      </c>
      <c r="W1320">
        <v>3.9518204749540146E-2</v>
      </c>
      <c r="X1320">
        <v>9.0378763987030205E-3</v>
      </c>
      <c r="Y1320">
        <v>1.9217980139202284E-3</v>
      </c>
    </row>
    <row r="1321" spans="1:25">
      <c r="A1321" s="876"/>
      <c r="B1321" s="1202">
        <v>1071</v>
      </c>
      <c r="C1321" s="880">
        <v>1.037878741864243</v>
      </c>
      <c r="D1321" s="880">
        <v>0.991303935755254</v>
      </c>
      <c r="E1321" s="880">
        <v>1.0320608214402518</v>
      </c>
      <c r="F1321" s="880">
        <v>1.0436636683952942</v>
      </c>
      <c r="G1321" s="880">
        <v>1.0407637142757467</v>
      </c>
      <c r="H1321" s="880">
        <v>1.0086312013881842</v>
      </c>
      <c r="I1321" s="880">
        <v>1.0115548829994647</v>
      </c>
      <c r="K1321">
        <v>1.0700483988793887</v>
      </c>
      <c r="L1321">
        <v>0</v>
      </c>
      <c r="M1321">
        <v>6.2966997725340658E-4</v>
      </c>
      <c r="N1321">
        <v>6.9327663652327107E-2</v>
      </c>
      <c r="O1321">
        <v>8.5063703573573027E-3</v>
      </c>
      <c r="P1321">
        <v>1.2897737635128406E-2</v>
      </c>
      <c r="Q1321">
        <v>2.950663202838722E-3</v>
      </c>
      <c r="R1321">
        <v>6.1912963627378588E-4</v>
      </c>
      <c r="S1321">
        <v>8.3973549177508891E-2</v>
      </c>
      <c r="T1321">
        <v>0.81326581188135916</v>
      </c>
      <c r="U1321">
        <v>1.6293453352341943E-2</v>
      </c>
      <c r="V1321">
        <v>1.0409586848549481E-2</v>
      </c>
      <c r="W1321">
        <v>4.055093169920105E-2</v>
      </c>
      <c r="X1321">
        <v>1.0198104639848013E-2</v>
      </c>
      <c r="Y1321">
        <v>1.6850667739074995E-3</v>
      </c>
    </row>
    <row r="1322" spans="1:25">
      <c r="A1322" s="876"/>
      <c r="B1322" s="1202">
        <v>1072</v>
      </c>
      <c r="C1322" s="880">
        <v>0.99535635426877433</v>
      </c>
      <c r="D1322" s="880">
        <v>0.99058495424767912</v>
      </c>
      <c r="E1322" s="880">
        <v>0.98490794536574933</v>
      </c>
      <c r="F1322" s="880">
        <v>0.97548454153504982</v>
      </c>
      <c r="G1322" s="880">
        <v>1.0274190270412971</v>
      </c>
      <c r="H1322" s="880">
        <v>1.0037702688209815</v>
      </c>
      <c r="I1322" s="880">
        <v>0.97576933070393435</v>
      </c>
      <c r="K1322">
        <v>1.0746129079618547</v>
      </c>
      <c r="L1322">
        <v>0</v>
      </c>
      <c r="M1322">
        <v>7.2199134704349643E-4</v>
      </c>
      <c r="N1322">
        <v>6.8646761086448863E-2</v>
      </c>
      <c r="O1322">
        <v>8.8732045041027673E-3</v>
      </c>
      <c r="P1322">
        <v>1.251999737537373E-2</v>
      </c>
      <c r="Q1322">
        <v>2.9359143237437115E-3</v>
      </c>
      <c r="R1322">
        <v>7.0984771754870621E-4</v>
      </c>
      <c r="S1322">
        <v>8.4322670488151605E-2</v>
      </c>
      <c r="T1322">
        <v>0.81705908707868102</v>
      </c>
      <c r="U1322">
        <v>1.6989522188136888E-2</v>
      </c>
      <c r="V1322">
        <v>1.0413588328404244E-2</v>
      </c>
      <c r="W1322">
        <v>4.1461458866597307E-2</v>
      </c>
      <c r="X1322">
        <v>9.4708758657777604E-3</v>
      </c>
      <c r="Y1322">
        <v>1.9319714859303775E-3</v>
      </c>
    </row>
    <row r="1323" spans="1:25">
      <c r="A1323" s="876"/>
      <c r="B1323" s="1202">
        <v>1073</v>
      </c>
      <c r="C1323" s="880">
        <v>1.0209929541063298</v>
      </c>
      <c r="D1323" s="880">
        <v>0.9728239685567851</v>
      </c>
      <c r="E1323" s="880">
        <v>1.0168173663765723</v>
      </c>
      <c r="F1323" s="880">
        <v>1.0280612638461413</v>
      </c>
      <c r="G1323" s="880">
        <v>1.0154229013083289</v>
      </c>
      <c r="H1323" s="880">
        <v>0.99289362028276484</v>
      </c>
      <c r="I1323" s="880">
        <v>0.98757181202668121</v>
      </c>
      <c r="K1323">
        <v>1.0710352393519711</v>
      </c>
      <c r="L1323">
        <v>0</v>
      </c>
      <c r="M1323">
        <v>6.5728839463603534E-4</v>
      </c>
      <c r="N1323">
        <v>6.9005544929341037E-2</v>
      </c>
      <c r="O1323">
        <v>8.7344161498104297E-3</v>
      </c>
      <c r="P1323">
        <v>1.2769883168184823E-2</v>
      </c>
      <c r="Q1323">
        <v>2.9800850499298441E-3</v>
      </c>
      <c r="R1323">
        <v>6.4612689677434056E-4</v>
      </c>
      <c r="S1323">
        <v>8.3572844696320106E-2</v>
      </c>
      <c r="T1323">
        <v>0.8144838124331083</v>
      </c>
      <c r="U1323">
        <v>1.6562924159211446E-2</v>
      </c>
      <c r="V1323">
        <v>1.0411135951094639E-2</v>
      </c>
      <c r="W1323">
        <v>4.0778541041918415E-2</v>
      </c>
      <c r="X1323">
        <v>9.9886688535668969E-3</v>
      </c>
      <c r="Y1323">
        <v>1.7585444173454773E-3</v>
      </c>
    </row>
    <row r="1324" spans="1:25">
      <c r="A1324" s="876"/>
      <c r="B1324" s="1202">
        <v>1074</v>
      </c>
      <c r="C1324" s="880">
        <v>0.98349160231185728</v>
      </c>
      <c r="D1324" s="880">
        <v>1.0101480615123379</v>
      </c>
      <c r="E1324" s="880">
        <v>1.0280974379117569</v>
      </c>
      <c r="F1324" s="880">
        <v>1.0131013882292272</v>
      </c>
      <c r="G1324" s="880">
        <v>1.0222448635721553</v>
      </c>
      <c r="H1324" s="880">
        <v>0.98312951796292813</v>
      </c>
      <c r="I1324" s="880">
        <v>1.0065494256090541</v>
      </c>
      <c r="K1324">
        <v>1.076031877768719</v>
      </c>
      <c r="L1324">
        <v>0</v>
      </c>
      <c r="M1324">
        <v>6.4663342051052644E-4</v>
      </c>
      <c r="N1324">
        <v>7.0292052556826939E-2</v>
      </c>
      <c r="O1324">
        <v>8.8870855525679492E-3</v>
      </c>
      <c r="P1324">
        <v>1.2911831395002715E-2</v>
      </c>
      <c r="Q1324">
        <v>3.0749894242383126E-3</v>
      </c>
      <c r="R1324">
        <v>6.355129843599774E-4</v>
      </c>
      <c r="S1324">
        <v>8.6427227526694031E-2</v>
      </c>
      <c r="T1324">
        <v>0.813581736122307</v>
      </c>
      <c r="U1324">
        <v>1.7194482216422818E-2</v>
      </c>
      <c r="V1324">
        <v>1.0414766578861735E-2</v>
      </c>
      <c r="W1324">
        <v>4.1224356809750007E-2</v>
      </c>
      <c r="X1324">
        <v>1.0304813175567133E-2</v>
      </c>
      <c r="Y1324">
        <v>1.7296568466288679E-3</v>
      </c>
    </row>
    <row r="1325" spans="1:25">
      <c r="A1325" s="876"/>
      <c r="B1325" s="1202">
        <v>1075</v>
      </c>
      <c r="C1325" s="880">
        <v>1.0244076165613538</v>
      </c>
      <c r="D1325" s="880">
        <v>1.0270639164088045</v>
      </c>
      <c r="E1325" s="880">
        <v>0.98823898471627825</v>
      </c>
      <c r="F1325" s="880">
        <v>0.99904283022156171</v>
      </c>
      <c r="G1325" s="880">
        <v>1.0184940257101929</v>
      </c>
      <c r="H1325" s="880">
        <v>1.0097551073794746</v>
      </c>
      <c r="I1325" s="880">
        <v>1.0418974220810868</v>
      </c>
      <c r="K1325">
        <v>1.0706751606859282</v>
      </c>
      <c r="L1325">
        <v>0</v>
      </c>
      <c r="M1325">
        <v>6.8743338245190813E-4</v>
      </c>
      <c r="N1325">
        <v>6.6046274060319918E-2</v>
      </c>
      <c r="O1325">
        <v>8.4570284869081181E-3</v>
      </c>
      <c r="P1325">
        <v>1.2565910497533412E-2</v>
      </c>
      <c r="Q1325">
        <v>2.8152333530439824E-3</v>
      </c>
      <c r="R1325">
        <v>6.7590908779838871E-4</v>
      </c>
      <c r="S1325">
        <v>8.6137983204503277E-2</v>
      </c>
      <c r="T1325">
        <v>0.81678863685475289</v>
      </c>
      <c r="U1325">
        <v>1.6507714890598504E-2</v>
      </c>
      <c r="V1325">
        <v>1.0410818570449523E-2</v>
      </c>
      <c r="W1325">
        <v>3.9799136585708626E-2</v>
      </c>
      <c r="X1325">
        <v>9.3183467531462848E-3</v>
      </c>
      <c r="Y1325">
        <v>1.8396017236163033E-3</v>
      </c>
    </row>
    <row r="1326" spans="1:25">
      <c r="A1326" s="876"/>
      <c r="B1326" s="1202">
        <v>1076</v>
      </c>
      <c r="C1326" s="880">
        <v>1.0181549492189117</v>
      </c>
      <c r="D1326" s="880">
        <v>1.0370741989416763</v>
      </c>
      <c r="E1326" s="880">
        <v>1.0104666685908166</v>
      </c>
      <c r="F1326" s="880">
        <v>1.0346035366497883</v>
      </c>
      <c r="G1326" s="880">
        <v>0.95575676366024542</v>
      </c>
      <c r="H1326" s="880">
        <v>1.0138785477136592</v>
      </c>
      <c r="I1326" s="880">
        <v>0.97953030000040486</v>
      </c>
      <c r="K1326">
        <v>1.0669509982713459</v>
      </c>
      <c r="L1326">
        <v>0</v>
      </c>
      <c r="M1326">
        <v>6.5932249308975474E-4</v>
      </c>
      <c r="N1326">
        <v>6.7885129647706599E-2</v>
      </c>
      <c r="O1326">
        <v>8.465198284504271E-3</v>
      </c>
      <c r="P1326">
        <v>1.2685566655463843E-2</v>
      </c>
      <c r="Q1326">
        <v>2.883706229741846E-3</v>
      </c>
      <c r="R1326">
        <v>6.483066726854441E-4</v>
      </c>
      <c r="S1326">
        <v>8.1226870609238805E-2</v>
      </c>
      <c r="T1326">
        <v>0.81499359097344815</v>
      </c>
      <c r="U1326">
        <v>1.6609091650465913E-2</v>
      </c>
      <c r="V1326">
        <v>1.0411401353417929E-2</v>
      </c>
      <c r="W1326">
        <v>4.028948136611675E-2</v>
      </c>
      <c r="X1326">
        <v>9.7475002728335831E-3</v>
      </c>
      <c r="Y1326">
        <v>1.7644770488125649E-3</v>
      </c>
    </row>
    <row r="1327" spans="1:25">
      <c r="A1327" s="876"/>
      <c r="B1327" s="1202">
        <v>1077</v>
      </c>
      <c r="C1327" s="880">
        <v>1.0241274867656422</v>
      </c>
      <c r="D1327" s="880">
        <v>1.0395478539540672</v>
      </c>
      <c r="E1327" s="880">
        <v>0.99043479492695474</v>
      </c>
      <c r="F1327" s="880">
        <v>1.0263434433223075</v>
      </c>
      <c r="G1327" s="880">
        <v>1.0084134060076153</v>
      </c>
      <c r="H1327" s="880">
        <v>1.0208881585515117</v>
      </c>
      <c r="I1327" s="880">
        <v>1.0215576068454819</v>
      </c>
      <c r="K1327">
        <v>1.0694014013034101</v>
      </c>
      <c r="L1327">
        <v>0</v>
      </c>
      <c r="M1327">
        <v>6.8758080885744112E-4</v>
      </c>
      <c r="N1327">
        <v>6.6525014126899734E-2</v>
      </c>
      <c r="O1327">
        <v>8.4051837062523709E-3</v>
      </c>
      <c r="P1327">
        <v>1.2560336942794171E-2</v>
      </c>
      <c r="Q1327">
        <v>2.8066899815720222E-3</v>
      </c>
      <c r="R1327">
        <v>6.7616976931222364E-4</v>
      </c>
      <c r="S1327">
        <v>8.4363333380770331E-2</v>
      </c>
      <c r="T1327">
        <v>0.81661056261715115</v>
      </c>
      <c r="U1327">
        <v>1.6512230249144902E-2</v>
      </c>
      <c r="V1327">
        <v>1.041084452781944E-2</v>
      </c>
      <c r="W1327">
        <v>4.0026987752038168E-2</v>
      </c>
      <c r="X1327">
        <v>9.3513178457490659E-3</v>
      </c>
      <c r="Y1327">
        <v>1.8403112127633248E-3</v>
      </c>
    </row>
    <row r="1328" spans="1:25">
      <c r="A1328" s="876"/>
      <c r="B1328" s="1202">
        <v>1078</v>
      </c>
      <c r="C1328" s="880">
        <v>0.96737088690798734</v>
      </c>
      <c r="D1328" s="880">
        <v>0.99344084512886588</v>
      </c>
      <c r="E1328" s="880">
        <v>1.0294699618678165</v>
      </c>
      <c r="F1328" s="880">
        <v>0.99202990288703152</v>
      </c>
      <c r="G1328" s="880">
        <v>0.99514253024886246</v>
      </c>
      <c r="H1328" s="880">
        <v>0.99069531978656045</v>
      </c>
      <c r="I1328" s="880">
        <v>1.0242541355165606</v>
      </c>
      <c r="K1328">
        <v>1.0847702234808385</v>
      </c>
      <c r="L1328">
        <v>0</v>
      </c>
      <c r="M1328">
        <v>6.6643387192962108E-4</v>
      </c>
      <c r="N1328">
        <v>7.2765064400984347E-2</v>
      </c>
      <c r="O1328">
        <v>9.1158847285677021E-3</v>
      </c>
      <c r="P1328">
        <v>1.2983279802754641E-2</v>
      </c>
      <c r="Q1328">
        <v>3.1545124857039644E-3</v>
      </c>
      <c r="R1328">
        <v>6.5507435348950986E-4</v>
      </c>
      <c r="S1328">
        <v>9.0445828816924548E-2</v>
      </c>
      <c r="T1328">
        <v>0.81347227051865567</v>
      </c>
      <c r="U1328">
        <v>1.7481019012267243E-2</v>
      </c>
      <c r="V1328">
        <v>1.0416413788386482E-2</v>
      </c>
      <c r="W1328">
        <v>4.2635445228462063E-2</v>
      </c>
      <c r="X1328">
        <v>1.0528967771576534E-2</v>
      </c>
      <c r="Y1328">
        <v>1.7828964449958554E-3</v>
      </c>
    </row>
    <row r="1329" spans="1:25">
      <c r="A1329" s="876"/>
      <c r="B1329" s="1202">
        <v>1079</v>
      </c>
      <c r="C1329" s="880">
        <v>0.96449985824086082</v>
      </c>
      <c r="D1329" s="880">
        <v>1.0055882029099339</v>
      </c>
      <c r="E1329" s="880">
        <v>1.0229314116071098</v>
      </c>
      <c r="F1329" s="880">
        <v>0.97909608294938599</v>
      </c>
      <c r="G1329" s="880">
        <v>0.99791072706049422</v>
      </c>
      <c r="H1329" s="880">
        <v>0.975563621634573</v>
      </c>
      <c r="I1329" s="880">
        <v>1.0217842203923895</v>
      </c>
      <c r="K1329">
        <v>1.0811875807377509</v>
      </c>
      <c r="L1329">
        <v>0</v>
      </c>
      <c r="M1329">
        <v>6.6306973383936565E-4</v>
      </c>
      <c r="N1329">
        <v>7.0922498726501429E-2</v>
      </c>
      <c r="O1329">
        <v>9.0839527188140146E-3</v>
      </c>
      <c r="P1329">
        <v>1.29146432676784E-2</v>
      </c>
      <c r="Q1329">
        <v>3.1260015275185889E-3</v>
      </c>
      <c r="R1329">
        <v>6.5158200357019519E-4</v>
      </c>
      <c r="S1329">
        <v>8.9378770259284548E-2</v>
      </c>
      <c r="T1329">
        <v>0.81399432874287381</v>
      </c>
      <c r="U1329">
        <v>1.7533054796706193E-2</v>
      </c>
      <c r="V1329">
        <v>1.0416712925673571E-2</v>
      </c>
      <c r="W1329">
        <v>4.1738787433481937E-2</v>
      </c>
      <c r="X1329">
        <v>1.0316926649718602E-2</v>
      </c>
      <c r="Y1329">
        <v>1.7733914197683215E-3</v>
      </c>
    </row>
    <row r="1330" spans="1:25">
      <c r="A1330" s="876"/>
      <c r="B1330" s="1202">
        <v>1080</v>
      </c>
      <c r="C1330" s="880">
        <v>0.99699734414959396</v>
      </c>
      <c r="D1330" s="880">
        <v>0.99782151267282637</v>
      </c>
      <c r="E1330" s="880">
        <v>0.98103362565679109</v>
      </c>
      <c r="F1330" s="880">
        <v>1.0167749209083379</v>
      </c>
      <c r="G1330" s="880">
        <v>1.0324436590920076</v>
      </c>
      <c r="H1330" s="880">
        <v>1.0386367860304544</v>
      </c>
      <c r="I1330" s="880">
        <v>0.99923181878880263</v>
      </c>
      <c r="K1330">
        <v>1.0806552704492673</v>
      </c>
      <c r="L1330">
        <v>0</v>
      </c>
      <c r="M1330">
        <v>7.4902666310229721E-4</v>
      </c>
      <c r="N1330">
        <v>7.0402725730140656E-2</v>
      </c>
      <c r="O1330">
        <v>8.8242624487133488E-3</v>
      </c>
      <c r="P1330">
        <v>1.2525116465268524E-2</v>
      </c>
      <c r="Q1330">
        <v>2.9098502596226032E-3</v>
      </c>
      <c r="R1330">
        <v>7.3684470433871133E-4</v>
      </c>
      <c r="S1330">
        <v>8.7146726251720069E-2</v>
      </c>
      <c r="T1330">
        <v>0.81737411949996897</v>
      </c>
      <c r="U1330">
        <v>1.6961558589081868E-2</v>
      </c>
      <c r="V1330">
        <v>1.0413427574506721E-2</v>
      </c>
      <c r="W1330">
        <v>4.2636260534836941E-2</v>
      </c>
      <c r="X1330">
        <v>9.4679566697531813E-3</v>
      </c>
      <c r="Y1330">
        <v>2.0054483844184679E-3</v>
      </c>
    </row>
    <row r="1331" spans="1:25">
      <c r="A1331" s="876"/>
      <c r="B1331" s="1202">
        <v>1081</v>
      </c>
      <c r="C1331" s="880">
        <v>0.96685959686127931</v>
      </c>
      <c r="D1331" s="880">
        <v>0.97010758532353647</v>
      </c>
      <c r="E1331" s="880">
        <v>0.993376646599611</v>
      </c>
      <c r="F1331" s="880">
        <v>1.0035089678920417</v>
      </c>
      <c r="G1331" s="880">
        <v>1.0240893080115474</v>
      </c>
      <c r="H1331" s="880">
        <v>0.99495560297479846</v>
      </c>
      <c r="I1331" s="880">
        <v>1.0139625154680805</v>
      </c>
      <c r="K1331">
        <v>1.0862323261822004</v>
      </c>
      <c r="L1331">
        <v>0</v>
      </c>
      <c r="M1331">
        <v>7.3184584969896447E-4</v>
      </c>
      <c r="N1331">
        <v>7.1434010411436863E-2</v>
      </c>
      <c r="O1331">
        <v>9.2372476247471712E-3</v>
      </c>
      <c r="P1331">
        <v>1.2685915891890418E-2</v>
      </c>
      <c r="Q1331">
        <v>3.0778065713338923E-3</v>
      </c>
      <c r="R1331">
        <v>7.194466157270517E-4</v>
      </c>
      <c r="S1331">
        <v>9.0815592967347203E-2</v>
      </c>
      <c r="T1331">
        <v>0.81637224273515685</v>
      </c>
      <c r="U1331">
        <v>1.7490263240753309E-2</v>
      </c>
      <c r="V1331">
        <v>1.0416466930535894E-2</v>
      </c>
      <c r="W1331">
        <v>4.2893728466537766E-2</v>
      </c>
      <c r="X1331">
        <v>9.8633540539362369E-3</v>
      </c>
      <c r="Y1331">
        <v>1.9580965224959002E-3</v>
      </c>
    </row>
    <row r="1332" spans="1:25">
      <c r="A1332" s="876"/>
      <c r="B1332" s="1202">
        <v>1082</v>
      </c>
      <c r="C1332" s="880">
        <v>0.96745182989145251</v>
      </c>
      <c r="D1332" s="880">
        <v>1.0182714521790337</v>
      </c>
      <c r="E1332" s="880">
        <v>1.014760942479036</v>
      </c>
      <c r="F1332" s="880">
        <v>1.033538146310176</v>
      </c>
      <c r="G1332" s="880">
        <v>1.029334167496113</v>
      </c>
      <c r="H1332" s="880">
        <v>1.0404902040044741</v>
      </c>
      <c r="I1332" s="880">
        <v>0.98540426808648029</v>
      </c>
      <c r="K1332">
        <v>1.085769424345101</v>
      </c>
      <c r="L1332">
        <v>0</v>
      </c>
      <c r="M1332">
        <v>7.1255096919107836E-4</v>
      </c>
      <c r="N1332">
        <v>7.4385394098042679E-2</v>
      </c>
      <c r="O1332">
        <v>8.9959735164215626E-3</v>
      </c>
      <c r="P1332">
        <v>1.282307329921676E-2</v>
      </c>
      <c r="Q1332">
        <v>3.0735276525686566E-3</v>
      </c>
      <c r="R1332">
        <v>7.0096569774553952E-4</v>
      </c>
      <c r="S1332">
        <v>8.774157137848948E-2</v>
      </c>
      <c r="T1332">
        <v>0.81464873378551128</v>
      </c>
      <c r="U1332">
        <v>1.747955644246366E-2</v>
      </c>
      <c r="V1332">
        <v>1.0416405380534711E-2</v>
      </c>
      <c r="W1332">
        <v>4.401895901529506E-2</v>
      </c>
      <c r="X1332">
        <v>1.0290017492018796E-2</v>
      </c>
      <c r="Y1332">
        <v>1.9077975559831993E-3</v>
      </c>
    </row>
    <row r="1333" spans="1:25">
      <c r="A1333" s="876"/>
      <c r="B1333" s="1202">
        <v>1083</v>
      </c>
      <c r="C1333" s="880">
        <v>0.97721002243614485</v>
      </c>
      <c r="D1333" s="880">
        <v>0.99379526952063102</v>
      </c>
      <c r="E1333" s="880">
        <v>1.0036062720234287</v>
      </c>
      <c r="F1333" s="880">
        <v>0.98868319136036686</v>
      </c>
      <c r="G1333" s="880">
        <v>1.0233301537870034</v>
      </c>
      <c r="H1333" s="880">
        <v>1.0404665212568651</v>
      </c>
      <c r="I1333" s="880">
        <v>1.0290638654110817</v>
      </c>
      <c r="K1333">
        <v>1.0897311957881926</v>
      </c>
      <c r="L1333">
        <v>0</v>
      </c>
      <c r="M1333">
        <v>7.3161439767518218E-4</v>
      </c>
      <c r="N1333">
        <v>7.37743401886502E-2</v>
      </c>
      <c r="O1333">
        <v>9.0223831220690633E-3</v>
      </c>
      <c r="P1333">
        <v>1.2783230538458857E-2</v>
      </c>
      <c r="Q1333">
        <v>3.042833309825316E-3</v>
      </c>
      <c r="R1333">
        <v>7.1974008421035664E-4</v>
      </c>
      <c r="S1333">
        <v>9.1819794577285063E-2</v>
      </c>
      <c r="T1333">
        <v>0.81554582625266092</v>
      </c>
      <c r="U1333">
        <v>1.7305009647562635E-2</v>
      </c>
      <c r="V1333">
        <v>1.0415401966148676E-2</v>
      </c>
      <c r="W1333">
        <v>4.3989702959726741E-2</v>
      </c>
      <c r="X1333">
        <v>1.0085652292302972E-2</v>
      </c>
      <c r="Y1333">
        <v>1.9588952469655968E-3</v>
      </c>
    </row>
    <row r="1334" spans="1:25">
      <c r="A1334" s="876"/>
      <c r="B1334" s="1202">
        <v>1084</v>
      </c>
      <c r="C1334" s="880">
        <v>0.98415699293057435</v>
      </c>
      <c r="D1334" s="880">
        <v>1.0065358261476465</v>
      </c>
      <c r="E1334" s="880">
        <v>1.0230723250850493</v>
      </c>
      <c r="F1334" s="880">
        <v>0.97447947180719785</v>
      </c>
      <c r="G1334" s="880">
        <v>1.0107798089468532</v>
      </c>
      <c r="H1334" s="880">
        <v>0.99383053230797302</v>
      </c>
      <c r="I1334" s="880">
        <v>0.98744378567435365</v>
      </c>
      <c r="K1334">
        <v>1.0761247263141498</v>
      </c>
      <c r="L1334">
        <v>0</v>
      </c>
      <c r="M1334">
        <v>6.6146503976997244E-4</v>
      </c>
      <c r="N1334">
        <v>7.0804682969529326E-2</v>
      </c>
      <c r="O1334">
        <v>8.8980457353315511E-3</v>
      </c>
      <c r="P1334">
        <v>1.2853794555591297E-2</v>
      </c>
      <c r="Q1334">
        <v>3.0626697377725406E-3</v>
      </c>
      <c r="R1334">
        <v>6.5021497192672766E-4</v>
      </c>
      <c r="S1334">
        <v>8.5263068047423674E-2</v>
      </c>
      <c r="T1334">
        <v>0.81398306239278695</v>
      </c>
      <c r="U1334">
        <v>1.7182856990729429E-2</v>
      </c>
      <c r="V1334">
        <v>1.0414699749111517E-2</v>
      </c>
      <c r="W1334">
        <v>4.1665497650711814E-2</v>
      </c>
      <c r="X1334">
        <v>1.0237927742727446E-2</v>
      </c>
      <c r="Y1334">
        <v>1.7696708102766631E-3</v>
      </c>
    </row>
    <row r="1335" spans="1:25">
      <c r="A1335" s="876"/>
      <c r="B1335" s="1202">
        <v>1085</v>
      </c>
      <c r="C1335" s="880">
        <v>0.97996093540151885</v>
      </c>
      <c r="D1335" s="880">
        <v>1.0051748669035323</v>
      </c>
      <c r="E1335" s="880">
        <v>0.99455707306134078</v>
      </c>
      <c r="F1335" s="880">
        <v>1.0374433692062424</v>
      </c>
      <c r="G1335" s="880">
        <v>0.96798139140114492</v>
      </c>
      <c r="H1335" s="880">
        <v>1.0103465445283908</v>
      </c>
      <c r="I1335" s="880">
        <v>1.0179235006229432</v>
      </c>
      <c r="K1335">
        <v>1.0816711360750686</v>
      </c>
      <c r="L1335">
        <v>0</v>
      </c>
      <c r="M1335">
        <v>7.1770846831171E-4</v>
      </c>
      <c r="N1335">
        <v>7.0327273436404159E-2</v>
      </c>
      <c r="O1335">
        <v>8.9425923778202188E-3</v>
      </c>
      <c r="P1335">
        <v>1.2667210198130576E-2</v>
      </c>
      <c r="Q1335">
        <v>2.9911442131245834E-3</v>
      </c>
      <c r="R1335">
        <v>7.0570255364235527E-4</v>
      </c>
      <c r="S1335">
        <v>8.8942435303673767E-2</v>
      </c>
      <c r="T1335">
        <v>0.81627669874465247</v>
      </c>
      <c r="U1335">
        <v>1.7256431613800617E-2</v>
      </c>
      <c r="V1335">
        <v>1.0415122706377976E-2</v>
      </c>
      <c r="W1335">
        <v>4.219493145424219E-2</v>
      </c>
      <c r="X1335">
        <v>9.7486122252789763E-3</v>
      </c>
      <c r="Y1335">
        <v>1.9206897162302051E-3</v>
      </c>
    </row>
    <row r="1336" spans="1:25">
      <c r="A1336" s="876"/>
      <c r="B1336" s="1202">
        <v>1086</v>
      </c>
      <c r="C1336" s="880">
        <v>1.0003956633570228</v>
      </c>
      <c r="D1336" s="880">
        <v>1.0144706529806997</v>
      </c>
      <c r="E1336" s="880">
        <v>1.0316810092073998</v>
      </c>
      <c r="F1336" s="880">
        <v>1.033971884038686</v>
      </c>
      <c r="G1336" s="880">
        <v>1.0217836553125454</v>
      </c>
      <c r="H1336" s="880">
        <v>0.9687788081110279</v>
      </c>
      <c r="I1336" s="880">
        <v>0.99431029815554217</v>
      </c>
      <c r="K1336">
        <v>1.0683951792373181</v>
      </c>
      <c r="L1336">
        <v>0</v>
      </c>
      <c r="M1336">
        <v>6.2028757044784116E-4</v>
      </c>
      <c r="N1336">
        <v>6.8164361100584353E-2</v>
      </c>
      <c r="O1336">
        <v>8.7170683014682528E-3</v>
      </c>
      <c r="P1336">
        <v>1.2893067662717698E-2</v>
      </c>
      <c r="Q1336">
        <v>3.0278288101284472E-3</v>
      </c>
      <c r="R1336">
        <v>6.0945882095540392E-4</v>
      </c>
      <c r="S1336">
        <v>8.3249583719949283E-2</v>
      </c>
      <c r="T1336">
        <v>0.81329606376031893</v>
      </c>
      <c r="U1336">
        <v>1.6903940596069224E-2</v>
      </c>
      <c r="V1336">
        <v>1.0413096346865939E-2</v>
      </c>
      <c r="W1336">
        <v>3.9880632134402717E-2</v>
      </c>
      <c r="X1336">
        <v>1.0201619551711012E-2</v>
      </c>
      <c r="Y1336">
        <v>1.6587460025942761E-3</v>
      </c>
    </row>
    <row r="1337" spans="1:25">
      <c r="A1337" s="876"/>
      <c r="B1337" s="1202">
        <v>1087</v>
      </c>
      <c r="C1337" s="880">
        <v>0.98027377750161504</v>
      </c>
      <c r="D1337" s="880">
        <v>0.97675028175660139</v>
      </c>
      <c r="E1337" s="880">
        <v>1.0135083249800823</v>
      </c>
      <c r="F1337" s="880">
        <v>0.97745636018447479</v>
      </c>
      <c r="G1337" s="880">
        <v>1.0063150366850184</v>
      </c>
      <c r="H1337" s="880">
        <v>1.0246159609759704</v>
      </c>
      <c r="I1337" s="880">
        <v>1.0177936716322991</v>
      </c>
      <c r="K1337">
        <v>1.0878329337279993</v>
      </c>
      <c r="L1337">
        <v>0</v>
      </c>
      <c r="M1337">
        <v>7.0988875467221989E-4</v>
      </c>
      <c r="N1337">
        <v>7.3804424809809879E-2</v>
      </c>
      <c r="O1337">
        <v>9.077664459318735E-3</v>
      </c>
      <c r="P1337">
        <v>1.2850509793335534E-2</v>
      </c>
      <c r="Q1337">
        <v>3.0879375826901746E-3</v>
      </c>
      <c r="R1337">
        <v>6.9820376610793566E-4</v>
      </c>
      <c r="S1337">
        <v>9.0720264922603197E-2</v>
      </c>
      <c r="T1337">
        <v>0.8147492619697333</v>
      </c>
      <c r="U1337">
        <v>1.725092443975379E-2</v>
      </c>
      <c r="V1337">
        <v>1.0415091047374035E-2</v>
      </c>
      <c r="W1337">
        <v>4.3712241945184555E-2</v>
      </c>
      <c r="X1337">
        <v>1.0276017258223476E-2</v>
      </c>
      <c r="Y1337">
        <v>1.900280488536161E-3</v>
      </c>
    </row>
    <row r="1338" spans="1:25">
      <c r="A1338" s="876"/>
      <c r="B1338" s="1202">
        <v>1088</v>
      </c>
      <c r="C1338" s="880">
        <v>0.98024257017568139</v>
      </c>
      <c r="D1338" s="880">
        <v>1.0066908911794072</v>
      </c>
      <c r="E1338" s="880">
        <v>0.97748887398175266</v>
      </c>
      <c r="F1338" s="880">
        <v>0.99340189781616184</v>
      </c>
      <c r="G1338" s="880">
        <v>1.0453557524607564</v>
      </c>
      <c r="H1338" s="880">
        <v>1.0040485998540909</v>
      </c>
      <c r="I1338" s="880">
        <v>0.97147078792941433</v>
      </c>
      <c r="K1338">
        <v>1.0758224376485455</v>
      </c>
      <c r="L1338">
        <v>0</v>
      </c>
      <c r="M1338">
        <v>7.384753614738934E-4</v>
      </c>
      <c r="N1338">
        <v>6.8608693376333893E-2</v>
      </c>
      <c r="O1338">
        <v>8.9328451006250344E-3</v>
      </c>
      <c r="P1338">
        <v>1.2464624530128667E-2</v>
      </c>
      <c r="Q1338">
        <v>2.936996651413417E-3</v>
      </c>
      <c r="R1338">
        <v>7.2604319678569863E-4</v>
      </c>
      <c r="S1338">
        <v>8.457315028266485E-2</v>
      </c>
      <c r="T1338">
        <v>0.81766279877243364</v>
      </c>
      <c r="U1338">
        <v>1.7251473645876869E-2</v>
      </c>
      <c r="V1338">
        <v>1.041509420458654E-2</v>
      </c>
      <c r="W1338">
        <v>4.1652162809004772E-2</v>
      </c>
      <c r="X1338">
        <v>9.3609801985904944E-3</v>
      </c>
      <c r="Y1338">
        <v>1.9760502415751748E-3</v>
      </c>
    </row>
    <row r="1339" spans="1:25">
      <c r="A1339" s="876"/>
      <c r="B1339" s="1202">
        <v>1089</v>
      </c>
      <c r="C1339" s="880">
        <v>1.015917753940381</v>
      </c>
      <c r="D1339" s="880">
        <v>1.0033439219289788</v>
      </c>
      <c r="E1339" s="880">
        <v>1.003070821391056</v>
      </c>
      <c r="F1339" s="880">
        <v>0.96802180159798623</v>
      </c>
      <c r="G1339" s="880">
        <v>1.0095318245460809</v>
      </c>
      <c r="H1339" s="880">
        <v>1.0207956327668364</v>
      </c>
      <c r="I1339" s="880">
        <v>0.9839011563373361</v>
      </c>
      <c r="K1339">
        <v>1.0722642150062021</v>
      </c>
      <c r="L1339">
        <v>0</v>
      </c>
      <c r="M1339">
        <v>6.8770566902467273E-4</v>
      </c>
      <c r="N1339">
        <v>6.9208458856963265E-2</v>
      </c>
      <c r="O1339">
        <v>8.6344706402768628E-3</v>
      </c>
      <c r="P1339">
        <v>1.265397831666272E-2</v>
      </c>
      <c r="Q1339">
        <v>2.9125250762816902E-3</v>
      </c>
      <c r="R1339">
        <v>6.7632092396208057E-4</v>
      </c>
      <c r="S1339">
        <v>8.3363437988997896E-2</v>
      </c>
      <c r="T1339">
        <v>0.81558899529638518</v>
      </c>
      <c r="U1339">
        <v>1.6645667230799074E-2</v>
      </c>
      <c r="V1339">
        <v>1.0411611614875369E-2</v>
      </c>
      <c r="W1339">
        <v>4.1282274673972628E-2</v>
      </c>
      <c r="X1339">
        <v>9.7334574501567409E-3</v>
      </c>
      <c r="Y1339">
        <v>1.8407226058921181E-3</v>
      </c>
    </row>
    <row r="1340" spans="1:25">
      <c r="A1340" s="876"/>
      <c r="B1340" s="1202">
        <v>1090</v>
      </c>
      <c r="C1340" s="880">
        <v>1.0014415851832073</v>
      </c>
      <c r="D1340" s="880">
        <v>0.99079454113330701</v>
      </c>
      <c r="E1340" s="880">
        <v>0.98422192881715609</v>
      </c>
      <c r="F1340" s="880">
        <v>1.0404922446801357</v>
      </c>
      <c r="G1340" s="880">
        <v>1.0152738171799354</v>
      </c>
      <c r="H1340" s="880">
        <v>0.97072536967391609</v>
      </c>
      <c r="I1340" s="880">
        <v>1.0397045184815725</v>
      </c>
      <c r="K1340">
        <v>1.0736822900711662</v>
      </c>
      <c r="L1340">
        <v>0</v>
      </c>
      <c r="M1340">
        <v>6.9490271223694386E-4</v>
      </c>
      <c r="N1340">
        <v>6.5891742362310393E-2</v>
      </c>
      <c r="O1340">
        <v>8.8182909423606959E-3</v>
      </c>
      <c r="P1340">
        <v>1.25632471273339E-2</v>
      </c>
      <c r="Q1340">
        <v>2.9157625224303257E-3</v>
      </c>
      <c r="R1340">
        <v>6.8281663836809226E-4</v>
      </c>
      <c r="S1340">
        <v>8.8059664417897879E-2</v>
      </c>
      <c r="T1340">
        <v>0.81711483208853519</v>
      </c>
      <c r="U1340">
        <v>1.6886285846476688E-2</v>
      </c>
      <c r="V1340">
        <v>1.0412994855287501E-2</v>
      </c>
      <c r="W1340">
        <v>3.9816363408329093E-2</v>
      </c>
      <c r="X1340">
        <v>9.3567907748791906E-3</v>
      </c>
      <c r="Y1340">
        <v>1.8584017991936039E-3</v>
      </c>
    </row>
    <row r="1341" spans="1:25">
      <c r="A1341" s="876"/>
      <c r="B1341" s="1202">
        <v>1091</v>
      </c>
      <c r="C1341" s="880">
        <v>1.0028872756622844</v>
      </c>
      <c r="D1341" s="880">
        <v>0.98562143129214907</v>
      </c>
      <c r="E1341" s="880">
        <v>0.99158332887329914</v>
      </c>
      <c r="F1341" s="880">
        <v>1.0180690865221409</v>
      </c>
      <c r="G1341" s="880">
        <v>0.98875395014994427</v>
      </c>
      <c r="H1341" s="880">
        <v>0.99547449727194237</v>
      </c>
      <c r="I1341" s="880">
        <v>1.0161086101952919</v>
      </c>
      <c r="K1341">
        <v>1.0758769039987874</v>
      </c>
      <c r="L1341">
        <v>0</v>
      </c>
      <c r="M1341">
        <v>7.026226298847911E-4</v>
      </c>
      <c r="N1341">
        <v>6.8199042468911231E-2</v>
      </c>
      <c r="O1341">
        <v>8.8302228316654626E-3</v>
      </c>
      <c r="P1341">
        <v>1.2611354067137192E-2</v>
      </c>
      <c r="Q1341">
        <v>2.9403830515939595E-3</v>
      </c>
      <c r="R1341">
        <v>6.9071070861641845E-4</v>
      </c>
      <c r="S1341">
        <v>8.7065089759725087E-2</v>
      </c>
      <c r="T1341">
        <v>0.8165174847616089</v>
      </c>
      <c r="U1341">
        <v>1.6861943786040147E-2</v>
      </c>
      <c r="V1341">
        <v>1.0412854920471519E-2</v>
      </c>
      <c r="W1341">
        <v>4.1001784351256863E-2</v>
      </c>
      <c r="X1341">
        <v>9.5687690655145152E-3</v>
      </c>
      <c r="Y1341">
        <v>1.8798868561299895E-3</v>
      </c>
    </row>
    <row r="1342" spans="1:25">
      <c r="A1342" s="876"/>
      <c r="B1342" s="1202">
        <v>1092</v>
      </c>
      <c r="C1342" s="880">
        <v>1.0290330214075667</v>
      </c>
      <c r="D1342" s="880">
        <v>1.0042557043683737</v>
      </c>
      <c r="E1342" s="880">
        <v>0.99036282827758393</v>
      </c>
      <c r="F1342" s="880">
        <v>1.0005273485090924</v>
      </c>
      <c r="G1342" s="880">
        <v>0.99693946285488788</v>
      </c>
      <c r="H1342" s="880">
        <v>1.0207117569407422</v>
      </c>
      <c r="I1342" s="880">
        <v>1.0123822865182981</v>
      </c>
      <c r="K1342">
        <v>1.0712793570335171</v>
      </c>
      <c r="L1342">
        <v>0</v>
      </c>
      <c r="M1342">
        <v>6.9695236105111406E-4</v>
      </c>
      <c r="N1342">
        <v>6.7419285356933437E-2</v>
      </c>
      <c r="O1342">
        <v>8.5202956889716772E-3</v>
      </c>
      <c r="P1342">
        <v>1.256243913615895E-2</v>
      </c>
      <c r="Q1342">
        <v>2.837659827736799E-3</v>
      </c>
      <c r="R1342">
        <v>6.8541282351722668E-4</v>
      </c>
      <c r="S1342">
        <v>8.4642072775370933E-2</v>
      </c>
      <c r="T1342">
        <v>0.81661639632549965</v>
      </c>
      <c r="U1342">
        <v>1.6433514293662892E-2</v>
      </c>
      <c r="V1342">
        <v>1.0410392014657063E-2</v>
      </c>
      <c r="W1342">
        <v>4.0567066816409772E-2</v>
      </c>
      <c r="X1342">
        <v>9.4163065763129689E-3</v>
      </c>
      <c r="Y1342">
        <v>1.8654677593373432E-3</v>
      </c>
    </row>
    <row r="1343" spans="1:25">
      <c r="A1343" s="876"/>
      <c r="B1343" s="1202">
        <v>1093</v>
      </c>
      <c r="C1343" s="880">
        <v>1.0227221183103843</v>
      </c>
      <c r="D1343" s="880">
        <v>0.97791226471076165</v>
      </c>
      <c r="E1343" s="880">
        <v>1.0215628081332448</v>
      </c>
      <c r="F1343" s="880">
        <v>1.0273273319498399</v>
      </c>
      <c r="G1343" s="880">
        <v>1.013644086644675</v>
      </c>
      <c r="H1343" s="880">
        <v>0.98985501393466069</v>
      </c>
      <c r="I1343" s="880">
        <v>1.0242713393257312</v>
      </c>
      <c r="K1343">
        <v>1.0728865487151376</v>
      </c>
      <c r="L1343">
        <v>0</v>
      </c>
      <c r="M1343">
        <v>6.4584583184673736E-4</v>
      </c>
      <c r="N1343">
        <v>6.8807153020496586E-2</v>
      </c>
      <c r="O1343">
        <v>8.6953668152980473E-3</v>
      </c>
      <c r="P1343">
        <v>1.2845179462097464E-2</v>
      </c>
      <c r="Q1343">
        <v>2.9819716105403266E-3</v>
      </c>
      <c r="R1343">
        <v>6.3484071447348332E-4</v>
      </c>
      <c r="S1343">
        <v>8.6196706811673615E-2</v>
      </c>
      <c r="T1343">
        <v>0.81410378690427154</v>
      </c>
      <c r="U1343">
        <v>1.6534920447296104E-2</v>
      </c>
      <c r="V1343">
        <v>1.0410974966600955E-2</v>
      </c>
      <c r="W1343">
        <v>4.0531234918877078E-2</v>
      </c>
      <c r="X1343">
        <v>1.0062431725748253E-2</v>
      </c>
      <c r="Y1343">
        <v>1.7278271496115392E-3</v>
      </c>
    </row>
    <row r="1344" spans="1:25">
      <c r="A1344" s="876"/>
      <c r="B1344" s="1202">
        <v>1094</v>
      </c>
      <c r="C1344" s="880">
        <v>0.98903864576226885</v>
      </c>
      <c r="D1344" s="880">
        <v>0.99440378583927003</v>
      </c>
      <c r="E1344" s="880">
        <v>0.98472578500711849</v>
      </c>
      <c r="F1344" s="880">
        <v>0.99417786590767487</v>
      </c>
      <c r="G1344" s="880">
        <v>1.024946448138331</v>
      </c>
      <c r="H1344" s="880">
        <v>0.97179648426906706</v>
      </c>
      <c r="I1344" s="880">
        <v>0.97707710706133477</v>
      </c>
      <c r="K1344">
        <v>1.0708932351495082</v>
      </c>
      <c r="L1344">
        <v>0</v>
      </c>
      <c r="M1344">
        <v>7.0228742006028257E-4</v>
      </c>
      <c r="N1344">
        <v>6.6697545643622333E-2</v>
      </c>
      <c r="O1344">
        <v>8.9115668613894937E-3</v>
      </c>
      <c r="P1344">
        <v>1.2511263924243876E-2</v>
      </c>
      <c r="Q1344">
        <v>2.9489131443750198E-3</v>
      </c>
      <c r="R1344">
        <v>6.9008310212957875E-4</v>
      </c>
      <c r="S1344">
        <v>8.3679422324912031E-2</v>
      </c>
      <c r="T1344">
        <v>0.81707388769060951</v>
      </c>
      <c r="U1344">
        <v>1.7098046611635737E-2</v>
      </c>
      <c r="V1344">
        <v>1.0414212201032978E-2</v>
      </c>
      <c r="W1344">
        <v>4.0289241412088526E-2</v>
      </c>
      <c r="X1344">
        <v>9.4031609353658185E-3</v>
      </c>
      <c r="Y1344">
        <v>1.8781787181632347E-3</v>
      </c>
    </row>
    <row r="1345" spans="1:25">
      <c r="A1345" s="876"/>
      <c r="B1345" s="1202">
        <v>1095</v>
      </c>
      <c r="C1345" s="880">
        <v>1.0011601449608145</v>
      </c>
      <c r="D1345" s="880">
        <v>1.008032040341341</v>
      </c>
      <c r="E1345" s="880">
        <v>1.0133223829330786</v>
      </c>
      <c r="F1345" s="880">
        <v>1.017696144925667</v>
      </c>
      <c r="G1345" s="880">
        <v>0.99014434331149836</v>
      </c>
      <c r="H1345" s="880">
        <v>0.97538838921035387</v>
      </c>
      <c r="I1345" s="880">
        <v>1.0045637718352942</v>
      </c>
      <c r="K1345">
        <v>1.0703040689470986</v>
      </c>
      <c r="L1345">
        <v>0</v>
      </c>
      <c r="M1345">
        <v>6.5092666557910325E-4</v>
      </c>
      <c r="N1345">
        <v>6.7575369831575791E-2</v>
      </c>
      <c r="O1345">
        <v>8.7400052109854794E-3</v>
      </c>
      <c r="P1345">
        <v>1.275886660999387E-2</v>
      </c>
      <c r="Q1345">
        <v>2.9795557758689564E-3</v>
      </c>
      <c r="R1345">
        <v>6.3964528417798051E-4</v>
      </c>
      <c r="S1345">
        <v>8.4546344591729494E-2</v>
      </c>
      <c r="T1345">
        <v>0.81476418921009042</v>
      </c>
      <c r="U1345">
        <v>1.6891032819344069E-2</v>
      </c>
      <c r="V1345">
        <v>1.0413022144135E-2</v>
      </c>
      <c r="W1345">
        <v>4.0027996529372618E-2</v>
      </c>
      <c r="X1345">
        <v>9.878064000881653E-3</v>
      </c>
      <c r="Y1345">
        <v>1.7409036045212029E-3</v>
      </c>
    </row>
    <row r="1346" spans="1:25">
      <c r="A1346" s="876"/>
      <c r="B1346" s="1202">
        <v>1096</v>
      </c>
      <c r="C1346" s="880">
        <v>1.0071083960291776</v>
      </c>
      <c r="D1346" s="880">
        <v>1.0360121538242208</v>
      </c>
      <c r="E1346" s="880">
        <v>1.0167725831679804</v>
      </c>
      <c r="F1346" s="880">
        <v>1.0012183203428653</v>
      </c>
      <c r="G1346" s="880">
        <v>1.0276998601260345</v>
      </c>
      <c r="H1346" s="880">
        <v>0.95862047934121408</v>
      </c>
      <c r="I1346" s="880">
        <v>0.98895522982651274</v>
      </c>
      <c r="K1346">
        <v>1.0622371237465302</v>
      </c>
      <c r="L1346">
        <v>0</v>
      </c>
      <c r="M1346">
        <v>6.2223272771800816E-4</v>
      </c>
      <c r="N1346">
        <v>6.5270386370257116E-2</v>
      </c>
      <c r="O1346">
        <v>8.5627108691633744E-3</v>
      </c>
      <c r="P1346">
        <v>1.2737770687980987E-2</v>
      </c>
      <c r="Q1346">
        <v>2.9351115607002907E-3</v>
      </c>
      <c r="R1346">
        <v>6.1123814204553024E-4</v>
      </c>
      <c r="S1346">
        <v>8.104612889307472E-2</v>
      </c>
      <c r="T1346">
        <v>0.81448740242796525</v>
      </c>
      <c r="U1346">
        <v>1.6791269869884461E-2</v>
      </c>
      <c r="V1346">
        <v>1.0412448638452837E-2</v>
      </c>
      <c r="W1346">
        <v>3.857243274806086E-2</v>
      </c>
      <c r="X1346">
        <v>9.7688675386131164E-3</v>
      </c>
      <c r="Y1346">
        <v>1.6635887280485606E-3</v>
      </c>
    </row>
    <row r="1347" spans="1:25">
      <c r="A1347" s="876"/>
      <c r="B1347" s="1202">
        <v>1097</v>
      </c>
      <c r="C1347" s="880">
        <v>1.0019843593740796</v>
      </c>
      <c r="D1347" s="880">
        <v>1.0199406289969324</v>
      </c>
      <c r="E1347" s="880">
        <v>1.0101917198722232</v>
      </c>
      <c r="F1347" s="880">
        <v>0.99070115480127474</v>
      </c>
      <c r="G1347" s="880">
        <v>1.0230394645867789</v>
      </c>
      <c r="H1347" s="880">
        <v>0.99144448723608303</v>
      </c>
      <c r="I1347" s="880">
        <v>0.98422542396534629</v>
      </c>
      <c r="K1347">
        <v>1.0694450242253546</v>
      </c>
      <c r="L1347">
        <v>0</v>
      </c>
      <c r="M1347">
        <v>6.6133877506199031E-4</v>
      </c>
      <c r="N1347">
        <v>6.8009822776400067E-2</v>
      </c>
      <c r="O1347">
        <v>8.6783654280349343E-3</v>
      </c>
      <c r="P1347">
        <v>1.2709218531443446E-2</v>
      </c>
      <c r="Q1347">
        <v>2.9518794789712721E-3</v>
      </c>
      <c r="R1347">
        <v>6.5005288896584183E-4</v>
      </c>
      <c r="S1347">
        <v>8.2842820237008882E-2</v>
      </c>
      <c r="T1347">
        <v>0.81501569247165662</v>
      </c>
      <c r="U1347">
        <v>1.6877138557847463E-2</v>
      </c>
      <c r="V1347">
        <v>1.0412942270414727E-2</v>
      </c>
      <c r="W1347">
        <v>4.0371025948776958E-2</v>
      </c>
      <c r="X1347">
        <v>9.8181747370089702E-3</v>
      </c>
      <c r="Y1347">
        <v>1.7692296738877655E-3</v>
      </c>
    </row>
    <row r="1348" spans="1:25">
      <c r="A1348" s="876"/>
      <c r="B1348" s="1202">
        <v>1098</v>
      </c>
      <c r="C1348" s="880">
        <v>0.99569842936547148</v>
      </c>
      <c r="D1348" s="880">
        <v>0.9897092725280896</v>
      </c>
      <c r="E1348" s="880">
        <v>0.98923913868961566</v>
      </c>
      <c r="F1348" s="880">
        <v>1.0139362657282944</v>
      </c>
      <c r="G1348" s="880">
        <v>0.98730852791177748</v>
      </c>
      <c r="H1348" s="880">
        <v>0.99100686239370395</v>
      </c>
      <c r="I1348" s="880">
        <v>1.0123024791562301</v>
      </c>
      <c r="K1348">
        <v>1.0760101673777971</v>
      </c>
      <c r="L1348">
        <v>0</v>
      </c>
      <c r="M1348">
        <v>7.0644170786422972E-4</v>
      </c>
      <c r="N1348">
        <v>6.8065467679503083E-2</v>
      </c>
      <c r="O1348">
        <v>8.8743443683542787E-3</v>
      </c>
      <c r="P1348">
        <v>1.2592744326277492E-2</v>
      </c>
      <c r="Q1348">
        <v>2.9489995692276371E-3</v>
      </c>
      <c r="R1348">
        <v>6.9440737030244124E-4</v>
      </c>
      <c r="S1348">
        <v>8.7021750415455928E-2</v>
      </c>
      <c r="T1348">
        <v>0.81670750681520676</v>
      </c>
      <c r="U1348">
        <v>1.6983685388284694E-2</v>
      </c>
      <c r="V1348">
        <v>1.0413554774485679E-2</v>
      </c>
      <c r="W1348">
        <v>4.0987610772126128E-2</v>
      </c>
      <c r="X1348">
        <v>9.5365896558018345E-3</v>
      </c>
      <c r="Y1348">
        <v>1.8899479506351458E-3</v>
      </c>
    </row>
    <row r="1349" spans="1:25">
      <c r="A1349" s="876"/>
      <c r="B1349" s="1202">
        <v>1099</v>
      </c>
      <c r="C1349" s="880">
        <v>0.98481486474953228</v>
      </c>
      <c r="D1349" s="880">
        <v>0.98190819550093034</v>
      </c>
      <c r="E1349" s="880">
        <v>1.0065225899360049</v>
      </c>
      <c r="F1349" s="880">
        <v>0.99833309693798888</v>
      </c>
      <c r="G1349" s="880">
        <v>0.99683597999237572</v>
      </c>
      <c r="H1349" s="880">
        <v>0.98679653092688324</v>
      </c>
      <c r="I1349" s="880">
        <v>0.95856689275021967</v>
      </c>
      <c r="K1349">
        <v>1.0745913835452598</v>
      </c>
      <c r="L1349">
        <v>0</v>
      </c>
      <c r="M1349">
        <v>6.8869866823448897E-4</v>
      </c>
      <c r="N1349">
        <v>7.0017734149868852E-2</v>
      </c>
      <c r="O1349">
        <v>9.0104133907864935E-3</v>
      </c>
      <c r="P1349">
        <v>1.269174055053407E-2</v>
      </c>
      <c r="Q1349">
        <v>3.0449400575808827E-3</v>
      </c>
      <c r="R1349">
        <v>6.7692341586502477E-4</v>
      </c>
      <c r="S1349">
        <v>8.349462205432831E-2</v>
      </c>
      <c r="T1349">
        <v>0.81531087833568827</v>
      </c>
      <c r="U1349">
        <v>1.7171378572005264E-2</v>
      </c>
      <c r="V1349">
        <v>1.041463376330821E-2</v>
      </c>
      <c r="W1349">
        <v>4.1666803602121966E-2</v>
      </c>
      <c r="X1349">
        <v>9.937651931166306E-3</v>
      </c>
      <c r="Y1349">
        <v>1.8423623902405295E-3</v>
      </c>
    </row>
    <row r="1350" spans="1:25">
      <c r="A1350" s="876"/>
      <c r="B1350" s="1202">
        <v>1100</v>
      </c>
      <c r="C1350" s="880">
        <v>0.9749710068556946</v>
      </c>
      <c r="D1350" s="880">
        <v>1.0057281743970914</v>
      </c>
      <c r="E1350" s="880">
        <v>1.0258129206164783</v>
      </c>
      <c r="F1350" s="880">
        <v>1.0183799512355234</v>
      </c>
      <c r="G1350" s="880">
        <v>1.0187693915461196</v>
      </c>
      <c r="H1350" s="880">
        <v>1.0220484799386842</v>
      </c>
      <c r="I1350" s="880">
        <v>0.98059751518087923</v>
      </c>
      <c r="K1350">
        <v>1.0823889810129976</v>
      </c>
      <c r="L1350">
        <v>0</v>
      </c>
      <c r="M1350">
        <v>6.8298039230778405E-4</v>
      </c>
      <c r="N1350">
        <v>7.3767895723429538E-2</v>
      </c>
      <c r="O1350">
        <v>8.9857248323609272E-3</v>
      </c>
      <c r="P1350">
        <v>1.2896205450240634E-2</v>
      </c>
      <c r="Q1350">
        <v>3.101080545423743E-3</v>
      </c>
      <c r="R1350">
        <v>6.7168576801411562E-4</v>
      </c>
      <c r="S1350">
        <v>8.6515480758575E-2</v>
      </c>
      <c r="T1350">
        <v>0.8137640802980961</v>
      </c>
      <c r="U1350">
        <v>1.7344750507494136E-2</v>
      </c>
      <c r="V1350">
        <v>1.0415630423798615E-2</v>
      </c>
      <c r="W1350">
        <v>4.332926475939778E-2</v>
      </c>
      <c r="X1350">
        <v>1.0452055099093482E-2</v>
      </c>
      <c r="Y1350">
        <v>1.8281072393805053E-3</v>
      </c>
    </row>
    <row r="1351" spans="1:25">
      <c r="A1351" s="876"/>
      <c r="B1351" s="1202">
        <v>1101</v>
      </c>
      <c r="C1351" s="880">
        <v>1.0354233933946286</v>
      </c>
      <c r="D1351" s="880">
        <v>0.99276114120213765</v>
      </c>
      <c r="E1351" s="880">
        <v>0.98648974518572685</v>
      </c>
      <c r="F1351" s="880">
        <v>0.99389221219156876</v>
      </c>
      <c r="G1351" s="880">
        <v>1.0076054410999178</v>
      </c>
      <c r="H1351" s="880">
        <v>1.0192977754133308</v>
      </c>
      <c r="I1351" s="880">
        <v>0.98209096459813883</v>
      </c>
      <c r="K1351">
        <v>1.0682380478292781</v>
      </c>
      <c r="L1351">
        <v>0</v>
      </c>
      <c r="M1351">
        <v>7.0163050346966273E-4</v>
      </c>
      <c r="N1351">
        <v>6.7057598925381448E-2</v>
      </c>
      <c r="O1351">
        <v>8.519860413963392E-3</v>
      </c>
      <c r="P1351">
        <v>1.249326900245446E-2</v>
      </c>
      <c r="Q1351">
        <v>2.8239878902475788E-3</v>
      </c>
      <c r="R1351">
        <v>6.9000722979244426E-4</v>
      </c>
      <c r="S1351">
        <v>8.202424345949684E-2</v>
      </c>
      <c r="T1351">
        <v>0.81693061238367226</v>
      </c>
      <c r="U1351">
        <v>1.6332090788977641E-2</v>
      </c>
      <c r="V1351">
        <v>1.0409808962967461E-2</v>
      </c>
      <c r="W1351">
        <v>4.0457379508834851E-2</v>
      </c>
      <c r="X1351">
        <v>9.3228475482852111E-3</v>
      </c>
      <c r="Y1351">
        <v>1.8779722186728638E-3</v>
      </c>
    </row>
    <row r="1352" spans="1:25">
      <c r="A1352" s="876"/>
      <c r="B1352" s="1202">
        <v>1102</v>
      </c>
      <c r="C1352" s="880">
        <v>1.0146402471335345</v>
      </c>
      <c r="D1352" s="880">
        <v>1.0118568705372393</v>
      </c>
      <c r="E1352" s="880">
        <v>1.0014747946607592</v>
      </c>
      <c r="F1352" s="880">
        <v>0.98564332975068791</v>
      </c>
      <c r="G1352" s="880">
        <v>0.99949234739282755</v>
      </c>
      <c r="H1352" s="880">
        <v>1.0054142018721846</v>
      </c>
      <c r="I1352" s="880">
        <v>0.9848111802620233</v>
      </c>
      <c r="K1352">
        <v>1.0693546074135769</v>
      </c>
      <c r="L1352">
        <v>0</v>
      </c>
      <c r="M1352">
        <v>6.7743064931747394E-4</v>
      </c>
      <c r="N1352">
        <v>6.7818608803193028E-2</v>
      </c>
      <c r="O1352">
        <v>8.6065063724437597E-3</v>
      </c>
      <c r="P1352">
        <v>1.2631428941557318E-2</v>
      </c>
      <c r="Q1352">
        <v>2.900268155597185E-3</v>
      </c>
      <c r="R1352">
        <v>6.6603739266145106E-4</v>
      </c>
      <c r="S1352">
        <v>8.2664387215775625E-2</v>
      </c>
      <c r="T1352">
        <v>0.81571772781582852</v>
      </c>
      <c r="U1352">
        <v>1.6666625351918252E-2</v>
      </c>
      <c r="V1352">
        <v>1.0411732096493173E-2</v>
      </c>
      <c r="W1352">
        <v>4.0497372253004503E-2</v>
      </c>
      <c r="X1352">
        <v>9.6386094407647799E-3</v>
      </c>
      <c r="Y1352">
        <v>1.8127342236569865E-3</v>
      </c>
    </row>
    <row r="1353" spans="1:25">
      <c r="A1353" s="876"/>
      <c r="B1353" s="1202">
        <v>1103</v>
      </c>
      <c r="C1353" s="880">
        <v>1.017923365257178</v>
      </c>
      <c r="D1353" s="880">
        <v>1.0115185206115072</v>
      </c>
      <c r="E1353" s="880">
        <v>1.0239366924320108</v>
      </c>
      <c r="F1353" s="880">
        <v>0.99243422982177032</v>
      </c>
      <c r="G1353" s="880">
        <v>1.0000949249996312</v>
      </c>
      <c r="H1353" s="880">
        <v>0.98995577822694247</v>
      </c>
      <c r="I1353" s="880">
        <v>1.0208212424881122</v>
      </c>
      <c r="K1353">
        <v>1.0700079047327216</v>
      </c>
      <c r="L1353">
        <v>0</v>
      </c>
      <c r="M1353">
        <v>6.342001025573126E-4</v>
      </c>
      <c r="N1353">
        <v>6.8063630044818343E-2</v>
      </c>
      <c r="O1353">
        <v>8.5802761567455848E-3</v>
      </c>
      <c r="P1353">
        <v>1.2847596125034222E-2</v>
      </c>
      <c r="Q1353">
        <v>2.9569149429017768E-3</v>
      </c>
      <c r="R1353">
        <v>6.2336762105490292E-4</v>
      </c>
      <c r="S1353">
        <v>8.4873981195685955E-2</v>
      </c>
      <c r="T1353">
        <v>0.81391396909503577</v>
      </c>
      <c r="U1353">
        <v>1.6612870323179901E-2</v>
      </c>
      <c r="V1353">
        <v>1.0411423075813725E-2</v>
      </c>
      <c r="W1353">
        <v>4.0029209052396639E-2</v>
      </c>
      <c r="X1353">
        <v>1.0032266031180646E-2</v>
      </c>
      <c r="Y1353">
        <v>1.6966011714303927E-3</v>
      </c>
    </row>
    <row r="1354" spans="1:25">
      <c r="A1354" s="876"/>
      <c r="B1354" s="1202">
        <v>1104</v>
      </c>
      <c r="C1354" s="880">
        <v>1.0256142765756153</v>
      </c>
      <c r="D1354" s="880">
        <v>1.0194793477779691</v>
      </c>
      <c r="E1354" s="880">
        <v>1.0074516639276652</v>
      </c>
      <c r="F1354" s="880">
        <v>0.99548882398829508</v>
      </c>
      <c r="G1354" s="880">
        <v>0.99017470044284561</v>
      </c>
      <c r="H1354" s="880">
        <v>0.98289804498222344</v>
      </c>
      <c r="I1354" s="880">
        <v>0.97404927743477965</v>
      </c>
      <c r="K1354">
        <v>1.0620392543563266</v>
      </c>
      <c r="L1354">
        <v>0</v>
      </c>
      <c r="M1354">
        <v>6.4439877597830453E-4</v>
      </c>
      <c r="N1354">
        <v>6.5695749296444353E-2</v>
      </c>
      <c r="O1354">
        <v>8.4804595933088787E-3</v>
      </c>
      <c r="P1354">
        <v>1.2639723263443025E-2</v>
      </c>
      <c r="Q1354">
        <v>2.8765716237773211E-3</v>
      </c>
      <c r="R1354">
        <v>6.3330672108866061E-4</v>
      </c>
      <c r="S1354">
        <v>7.9828101252971975E-2</v>
      </c>
      <c r="T1354">
        <v>0.81523608991735852</v>
      </c>
      <c r="U1354">
        <v>1.6488293164575125E-2</v>
      </c>
      <c r="V1354">
        <v>1.0410706921081762E-2</v>
      </c>
      <c r="W1354">
        <v>3.9070112374344289E-2</v>
      </c>
      <c r="X1354">
        <v>9.6008868786122848E-3</v>
      </c>
      <c r="Y1354">
        <v>1.7236521252988355E-3</v>
      </c>
    </row>
    <row r="1355" spans="1:25">
      <c r="A1355" s="876"/>
      <c r="B1355" s="1202">
        <v>1105</v>
      </c>
      <c r="C1355" s="880">
        <v>0.98648445259153772</v>
      </c>
      <c r="D1355" s="880">
        <v>0.99193174325552214</v>
      </c>
      <c r="E1355" s="880">
        <v>0.96495296092146621</v>
      </c>
      <c r="F1355" s="880">
        <v>0.98445430770427134</v>
      </c>
      <c r="G1355" s="880">
        <v>0.97573912852939848</v>
      </c>
      <c r="H1355" s="880">
        <v>0.97157543981388494</v>
      </c>
      <c r="I1355" s="880">
        <v>0.99292813080180464</v>
      </c>
      <c r="K1355">
        <v>1.0726001963233411</v>
      </c>
      <c r="L1355">
        <v>0</v>
      </c>
      <c r="M1355">
        <v>7.3472879438924886E-4</v>
      </c>
      <c r="N1355">
        <v>6.5607875371820987E-2</v>
      </c>
      <c r="O1355">
        <v>8.9465154283540974E-3</v>
      </c>
      <c r="P1355">
        <v>1.2367943041221036E-2</v>
      </c>
      <c r="Q1355">
        <v>2.9008657213969898E-3</v>
      </c>
      <c r="R1355">
        <v>7.2196014774169649E-4</v>
      </c>
      <c r="S1355">
        <v>8.5354899319593017E-2</v>
      </c>
      <c r="T1355">
        <v>0.81868711039216735</v>
      </c>
      <c r="U1355">
        <v>1.71423166594541E-2</v>
      </c>
      <c r="V1355">
        <v>1.0414466695553359E-2</v>
      </c>
      <c r="W1355">
        <v>4.0180516644439078E-2</v>
      </c>
      <c r="X1355">
        <v>9.0455181679340354E-3</v>
      </c>
      <c r="Y1355">
        <v>1.9649375280541572E-3</v>
      </c>
    </row>
    <row r="1356" spans="1:25">
      <c r="A1356" s="876"/>
      <c r="B1356" s="1202">
        <v>1106</v>
      </c>
      <c r="C1356" s="880">
        <v>1.0001912806048434</v>
      </c>
      <c r="D1356" s="880">
        <v>1.0038375346892485</v>
      </c>
      <c r="E1356" s="880">
        <v>0.98523962266142073</v>
      </c>
      <c r="F1356" s="880">
        <v>1.0084240804938158</v>
      </c>
      <c r="G1356" s="880">
        <v>0.99853392751038028</v>
      </c>
      <c r="H1356" s="880">
        <v>1.0055059155460819</v>
      </c>
      <c r="I1356" s="880">
        <v>0.99122887658669956</v>
      </c>
      <c r="K1356">
        <v>1.0736393644817257</v>
      </c>
      <c r="L1356">
        <v>0</v>
      </c>
      <c r="M1356">
        <v>7.1417358679790814E-4</v>
      </c>
      <c r="N1356">
        <v>6.7974505191373907E-2</v>
      </c>
      <c r="O1356">
        <v>8.7679352232328863E-3</v>
      </c>
      <c r="P1356">
        <v>1.2527339730784135E-2</v>
      </c>
      <c r="Q1356">
        <v>2.9049444425314976E-3</v>
      </c>
      <c r="R1356">
        <v>7.0217046194748721E-4</v>
      </c>
      <c r="S1356">
        <v>8.4743250046206184E-2</v>
      </c>
      <c r="T1356">
        <v>0.81703214103400668</v>
      </c>
      <c r="U1356">
        <v>1.6907394809246933E-2</v>
      </c>
      <c r="V1356">
        <v>1.0413116204046337E-2</v>
      </c>
      <c r="W1356">
        <v>4.104601375513444E-2</v>
      </c>
      <c r="X1356">
        <v>9.423650643022809E-3</v>
      </c>
      <c r="Y1356">
        <v>1.911076526990488E-3</v>
      </c>
    </row>
    <row r="1357" spans="1:25">
      <c r="A1357" s="876"/>
      <c r="B1357" s="1202">
        <v>1107</v>
      </c>
      <c r="C1357" s="880">
        <v>0.99721973603144909</v>
      </c>
      <c r="D1357" s="880">
        <v>1.033662571151676</v>
      </c>
      <c r="E1357" s="880">
        <v>0.99101683848606248</v>
      </c>
      <c r="F1357" s="880">
        <v>1.0028489051731277</v>
      </c>
      <c r="G1357" s="880">
        <v>1.0455632190242556</v>
      </c>
      <c r="H1357" s="880">
        <v>1.0165118746775885</v>
      </c>
      <c r="I1357" s="880">
        <v>1.0147298667848672</v>
      </c>
      <c r="K1357">
        <v>1.0749390095618778</v>
      </c>
      <c r="L1357">
        <v>0</v>
      </c>
      <c r="M1357">
        <v>7.0436366516031523E-4</v>
      </c>
      <c r="N1357">
        <v>6.8267909105095073E-2</v>
      </c>
      <c r="O1357">
        <v>8.6580632619423364E-3</v>
      </c>
      <c r="P1357">
        <v>1.2595460637118442E-2</v>
      </c>
      <c r="Q1357">
        <v>2.8916256580417206E-3</v>
      </c>
      <c r="R1357">
        <v>6.9262859004970781E-4</v>
      </c>
      <c r="S1357">
        <v>8.6147050579555851E-2</v>
      </c>
      <c r="T1357">
        <v>0.81656338787892102</v>
      </c>
      <c r="U1357">
        <v>1.6957775959439165E-2</v>
      </c>
      <c r="V1357">
        <v>1.0413405829363813E-2</v>
      </c>
      <c r="W1357">
        <v>4.1059196667096627E-2</v>
      </c>
      <c r="X1357">
        <v>9.5117623632517065E-3</v>
      </c>
      <c r="Y1357">
        <v>1.8851066971619583E-3</v>
      </c>
    </row>
    <row r="1358" spans="1:25">
      <c r="A1358" s="876"/>
      <c r="B1358" s="1202">
        <v>1108</v>
      </c>
      <c r="C1358" s="880">
        <v>1.0080615405070399</v>
      </c>
      <c r="D1358" s="880">
        <v>1.0055948870204723</v>
      </c>
      <c r="E1358" s="880">
        <v>1.0029144730598616</v>
      </c>
      <c r="F1358" s="880">
        <v>1.0226866812561322</v>
      </c>
      <c r="G1358" s="880">
        <v>0.97091852051721672</v>
      </c>
      <c r="H1358" s="880">
        <v>0.99569796659491405</v>
      </c>
      <c r="I1358" s="880">
        <v>0.99794865579140146</v>
      </c>
      <c r="K1358">
        <v>1.0712310963455858</v>
      </c>
      <c r="L1358">
        <v>0</v>
      </c>
      <c r="M1358">
        <v>6.7544258832022246E-4</v>
      </c>
      <c r="N1358">
        <v>6.79122735589755E-2</v>
      </c>
      <c r="O1358">
        <v>8.6913742050105779E-3</v>
      </c>
      <c r="P1358">
        <v>1.266633893133845E-2</v>
      </c>
      <c r="Q1358">
        <v>2.9317492043228928E-3</v>
      </c>
      <c r="R1358">
        <v>6.6397712381769368E-4</v>
      </c>
      <c r="S1358">
        <v>8.423181992656445E-2</v>
      </c>
      <c r="T1358">
        <v>0.81560160223346234</v>
      </c>
      <c r="U1358">
        <v>1.6775393352916335E-2</v>
      </c>
      <c r="V1358">
        <v>1.0412357369372037E-2</v>
      </c>
      <c r="W1358">
        <v>4.0513435688631048E-2</v>
      </c>
      <c r="X1358">
        <v>9.6990904884618166E-3</v>
      </c>
      <c r="Y1358">
        <v>1.8071268510317213E-3</v>
      </c>
    </row>
    <row r="1359" spans="1:25">
      <c r="A1359" s="876"/>
      <c r="B1359" s="1202">
        <v>1109</v>
      </c>
      <c r="C1359" s="880">
        <v>0.97691857571591501</v>
      </c>
      <c r="D1359" s="880">
        <v>0.98414942113130899</v>
      </c>
      <c r="E1359" s="880">
        <v>0.98552490522489211</v>
      </c>
      <c r="F1359" s="880">
        <v>0.99778695642946669</v>
      </c>
      <c r="G1359" s="880">
        <v>0.99265293803764509</v>
      </c>
      <c r="H1359" s="880">
        <v>0.98453549280419139</v>
      </c>
      <c r="I1359" s="880">
        <v>1.0088264270077147</v>
      </c>
      <c r="K1359">
        <v>1.0797145751782904</v>
      </c>
      <c r="L1359">
        <v>0</v>
      </c>
      <c r="M1359">
        <v>7.2309283832631944E-4</v>
      </c>
      <c r="N1359">
        <v>6.8861281382671169E-2</v>
      </c>
      <c r="O1359">
        <v>9.0721884396502781E-3</v>
      </c>
      <c r="P1359">
        <v>1.2584539031369697E-2</v>
      </c>
      <c r="Q1359">
        <v>3.0021604967803588E-3</v>
      </c>
      <c r="R1359">
        <v>7.1069903715614835E-4</v>
      </c>
      <c r="S1359">
        <v>8.8397771916714232E-2</v>
      </c>
      <c r="T1359">
        <v>0.8170089671596904</v>
      </c>
      <c r="U1359">
        <v>1.7310172297174079E-2</v>
      </c>
      <c r="V1359">
        <v>1.0415431644590458E-2</v>
      </c>
      <c r="W1359">
        <v>4.1573289032109391E-2</v>
      </c>
      <c r="X1359">
        <v>9.5668790814442493E-3</v>
      </c>
      <c r="Y1359">
        <v>1.9342884972644023E-3</v>
      </c>
    </row>
    <row r="1360" spans="1:25">
      <c r="A1360" s="876"/>
      <c r="B1360" s="1202">
        <v>1110</v>
      </c>
      <c r="C1360" s="880">
        <v>0.96848713500742922</v>
      </c>
      <c r="D1360" s="880">
        <v>1.0008752904346205</v>
      </c>
      <c r="E1360" s="880">
        <v>0.97013770478175587</v>
      </c>
      <c r="F1360" s="880">
        <v>1.0047672621058343</v>
      </c>
      <c r="G1360" s="880">
        <v>0.97654096988019701</v>
      </c>
      <c r="H1360" s="880">
        <v>1.0215697618358199</v>
      </c>
      <c r="I1360" s="880">
        <v>0.96576213201190564</v>
      </c>
      <c r="K1360">
        <v>1.0812585410071593</v>
      </c>
      <c r="L1360">
        <v>0</v>
      </c>
      <c r="M1360">
        <v>7.7468076328994972E-4</v>
      </c>
      <c r="N1360">
        <v>7.0363071334287958E-2</v>
      </c>
      <c r="O1360">
        <v>9.0692383545730709E-3</v>
      </c>
      <c r="P1360">
        <v>1.2424151537208295E-2</v>
      </c>
      <c r="Q1360">
        <v>2.9582897629290106E-3</v>
      </c>
      <c r="R1360">
        <v>7.6186820763199067E-4</v>
      </c>
      <c r="S1360">
        <v>8.5966946437190203E-2</v>
      </c>
      <c r="T1360">
        <v>0.81826282075555379</v>
      </c>
      <c r="U1360">
        <v>1.7460870934359541E-2</v>
      </c>
      <c r="V1360">
        <v>1.04162979634512E-2</v>
      </c>
      <c r="W1360">
        <v>4.2936649007910298E-2</v>
      </c>
      <c r="X1360">
        <v>9.3394633639666217E-3</v>
      </c>
      <c r="Y1360">
        <v>2.0735541113871309E-3</v>
      </c>
    </row>
    <row r="1361" spans="1:25">
      <c r="A1361" s="876"/>
      <c r="B1361" s="1202">
        <v>1111</v>
      </c>
      <c r="C1361" s="880">
        <v>0.99437593499731647</v>
      </c>
      <c r="D1361" s="880">
        <v>1.0155344839606053</v>
      </c>
      <c r="E1361" s="880">
        <v>0.98189726593770232</v>
      </c>
      <c r="F1361" s="880">
        <v>1.0286344769880396</v>
      </c>
      <c r="G1361" s="880">
        <v>1.0164649393320528</v>
      </c>
      <c r="H1361" s="880">
        <v>0.98216072226187401</v>
      </c>
      <c r="I1361" s="880">
        <v>0.97340271448893401</v>
      </c>
      <c r="K1361">
        <v>1.068564286391287</v>
      </c>
      <c r="L1361">
        <v>0</v>
      </c>
      <c r="M1361">
        <v>7.0227790873871011E-4</v>
      </c>
      <c r="N1361">
        <v>6.6122131747211432E-2</v>
      </c>
      <c r="O1361">
        <v>8.7649461378868677E-3</v>
      </c>
      <c r="P1361">
        <v>1.2469279417140482E-2</v>
      </c>
      <c r="Q1361">
        <v>2.8966200293224979E-3</v>
      </c>
      <c r="R1361">
        <v>6.9018392133908914E-4</v>
      </c>
      <c r="S1361">
        <v>8.2414314885817103E-2</v>
      </c>
      <c r="T1361">
        <v>0.81730385033607489</v>
      </c>
      <c r="U1361">
        <v>1.7006273252175998E-2</v>
      </c>
      <c r="V1361">
        <v>1.0413684624979868E-2</v>
      </c>
      <c r="W1361">
        <v>4.0019945001455705E-2</v>
      </c>
      <c r="X1361">
        <v>9.2868818318054859E-3</v>
      </c>
      <c r="Y1361">
        <v>1.8784531148164784E-3</v>
      </c>
    </row>
    <row r="1362" spans="1:25">
      <c r="A1362" s="876"/>
      <c r="B1362" s="1202">
        <v>1112</v>
      </c>
      <c r="C1362" s="880">
        <v>0.97909566131819104</v>
      </c>
      <c r="D1362" s="880">
        <v>1.0229420562538296</v>
      </c>
      <c r="E1362" s="880">
        <v>0.97709947474234826</v>
      </c>
      <c r="F1362" s="880">
        <v>0.98255657855480083</v>
      </c>
      <c r="G1362" s="880">
        <v>1.0079931976494476</v>
      </c>
      <c r="H1362" s="880">
        <v>1.0024363218589325</v>
      </c>
      <c r="I1362" s="880">
        <v>0.97500762840021804</v>
      </c>
      <c r="K1362">
        <v>1.0743748690637918</v>
      </c>
      <c r="L1362">
        <v>0</v>
      </c>
      <c r="M1362">
        <v>7.3249803973283686E-4</v>
      </c>
      <c r="N1362">
        <v>6.7967597258545925E-2</v>
      </c>
      <c r="O1362">
        <v>8.8673652567120616E-3</v>
      </c>
      <c r="P1362">
        <v>1.2457282899949334E-2</v>
      </c>
      <c r="Q1362">
        <v>2.917778198088868E-3</v>
      </c>
      <c r="R1362">
        <v>7.2013222895165826E-4</v>
      </c>
      <c r="S1362">
        <v>8.4249627195633281E-2</v>
      </c>
      <c r="T1362">
        <v>0.81769453677052339</v>
      </c>
      <c r="U1362">
        <v>1.7271681955147281E-2</v>
      </c>
      <c r="V1362">
        <v>1.0415210375772921E-2</v>
      </c>
      <c r="W1362">
        <v>4.1274126976572477E-2</v>
      </c>
      <c r="X1362">
        <v>9.3120654519448735E-3</v>
      </c>
      <c r="Y1362">
        <v>1.9599625356809406E-3</v>
      </c>
    </row>
    <row r="1363" spans="1:25">
      <c r="A1363" s="876"/>
      <c r="B1363" s="1202">
        <v>1113</v>
      </c>
      <c r="C1363" s="880">
        <v>0.98712670738520947</v>
      </c>
      <c r="D1363" s="880">
        <v>0.9779093679580998</v>
      </c>
      <c r="E1363" s="880">
        <v>1.0172600195287871</v>
      </c>
      <c r="F1363" s="880">
        <v>1.0022736300430504</v>
      </c>
      <c r="G1363" s="880">
        <v>1.0365618635722291</v>
      </c>
      <c r="H1363" s="880">
        <v>1.0138068817658219</v>
      </c>
      <c r="I1363" s="880">
        <v>1.0223553326482713</v>
      </c>
      <c r="K1363">
        <v>1.0847971052759187</v>
      </c>
      <c r="L1363">
        <v>0</v>
      </c>
      <c r="M1363">
        <v>6.9158397173391182E-4</v>
      </c>
      <c r="N1363">
        <v>7.2731436449486264E-2</v>
      </c>
      <c r="O1363">
        <v>9.0089326729009857E-3</v>
      </c>
      <c r="P1363">
        <v>1.2870787125738119E-2</v>
      </c>
      <c r="Q1363">
        <v>3.0763128833936628E-3</v>
      </c>
      <c r="R1363">
        <v>6.8007790220256088E-4</v>
      </c>
      <c r="S1363">
        <v>9.0035562198731822E-2</v>
      </c>
      <c r="T1363">
        <v>0.81444833132415595</v>
      </c>
      <c r="U1363">
        <v>1.7131163344518117E-2</v>
      </c>
      <c r="V1363">
        <v>1.0414402578669029E-2</v>
      </c>
      <c r="W1363">
        <v>4.2967478784102398E-2</v>
      </c>
      <c r="X1363">
        <v>1.0273256121578648E-2</v>
      </c>
      <c r="Y1363">
        <v>1.8509478621751613E-3</v>
      </c>
    </row>
    <row r="1364" spans="1:25">
      <c r="A1364" s="876"/>
      <c r="B1364" s="1202">
        <v>1114</v>
      </c>
      <c r="C1364" s="880">
        <v>0.99789383719323932</v>
      </c>
      <c r="D1364" s="880">
        <v>1.014650705811132</v>
      </c>
      <c r="E1364" s="880">
        <v>0.96616568082083287</v>
      </c>
      <c r="F1364" s="880">
        <v>0.99978305630761533</v>
      </c>
      <c r="G1364" s="880">
        <v>1.0051603026099389</v>
      </c>
      <c r="H1364" s="880">
        <v>1.0207225999340925</v>
      </c>
      <c r="I1364" s="880">
        <v>0.99957039875058074</v>
      </c>
      <c r="K1364">
        <v>1.0754626934270379</v>
      </c>
      <c r="L1364">
        <v>0</v>
      </c>
      <c r="M1364">
        <v>7.5202193091073431E-4</v>
      </c>
      <c r="N1364">
        <v>6.7462075630838281E-2</v>
      </c>
      <c r="O1364">
        <v>8.7380970606594343E-3</v>
      </c>
      <c r="P1364">
        <v>1.2380666074676132E-2</v>
      </c>
      <c r="Q1364">
        <v>2.8416053287192637E-3</v>
      </c>
      <c r="R1364">
        <v>7.3956135091217759E-4</v>
      </c>
      <c r="S1364">
        <v>8.5738413551477211E-2</v>
      </c>
      <c r="T1364">
        <v>0.81858778714003788</v>
      </c>
      <c r="U1364">
        <v>1.6946320576061109E-2</v>
      </c>
      <c r="V1364">
        <v>1.0413339975983428E-2</v>
      </c>
      <c r="W1364">
        <v>4.1280985239756152E-2</v>
      </c>
      <c r="X1364">
        <v>9.0730212279780103E-3</v>
      </c>
      <c r="Y1364">
        <v>2.0128422008491411E-3</v>
      </c>
    </row>
    <row r="1365" spans="1:25">
      <c r="A1365" s="876"/>
      <c r="B1365" s="1202">
        <v>1115</v>
      </c>
      <c r="C1365" s="880">
        <v>0.9840807984205967</v>
      </c>
      <c r="D1365" s="880">
        <v>1.0327393804122058</v>
      </c>
      <c r="E1365" s="880">
        <v>1.0212734667638996</v>
      </c>
      <c r="F1365" s="880">
        <v>0.98439854246803327</v>
      </c>
      <c r="G1365" s="880">
        <v>1.003182441099586</v>
      </c>
      <c r="H1365" s="880">
        <v>1.0114547555386457</v>
      </c>
      <c r="I1365" s="880">
        <v>0.97593800808627418</v>
      </c>
      <c r="K1365">
        <v>1.0749134689028881</v>
      </c>
      <c r="L1365">
        <v>0</v>
      </c>
      <c r="M1365">
        <v>6.6665067014967086E-4</v>
      </c>
      <c r="N1365">
        <v>7.0981303869224327E-2</v>
      </c>
      <c r="O1365">
        <v>8.7778298051655098E-3</v>
      </c>
      <c r="P1365">
        <v>1.281889315292015E-2</v>
      </c>
      <c r="Q1365">
        <v>3.0216465119959424E-3</v>
      </c>
      <c r="R1365">
        <v>6.5548910362079303E-4</v>
      </c>
      <c r="S1365">
        <v>8.3820957534531365E-2</v>
      </c>
      <c r="T1365">
        <v>0.81412693602646602</v>
      </c>
      <c r="U1365">
        <v>1.7184187409299247E-2</v>
      </c>
      <c r="V1365">
        <v>1.0414707397267608E-2</v>
      </c>
      <c r="W1365">
        <v>4.1820086704296905E-2</v>
      </c>
      <c r="X1365">
        <v>1.0174056800118923E-2</v>
      </c>
      <c r="Y1365">
        <v>1.7840252581308635E-3</v>
      </c>
    </row>
    <row r="1366" spans="1:25">
      <c r="A1366" s="876"/>
      <c r="B1366" s="1202">
        <v>1116</v>
      </c>
      <c r="C1366" s="880">
        <v>0.97412263238105146</v>
      </c>
      <c r="D1366" s="880">
        <v>1.0074995521266554</v>
      </c>
      <c r="E1366" s="880">
        <v>0.99861934235452832</v>
      </c>
      <c r="F1366" s="880">
        <v>1.0254181001816522</v>
      </c>
      <c r="G1366" s="880">
        <v>0.97107450577274967</v>
      </c>
      <c r="H1366" s="880">
        <v>1.0016818873416475</v>
      </c>
      <c r="I1366" s="880">
        <v>1.0265396533158493</v>
      </c>
      <c r="K1366">
        <v>1.082381089831421</v>
      </c>
      <c r="L1366">
        <v>0</v>
      </c>
      <c r="M1366">
        <v>7.0885251929006618E-4</v>
      </c>
      <c r="N1366">
        <v>7.0332571316579204E-2</v>
      </c>
      <c r="O1366">
        <v>8.9851202043783364E-3</v>
      </c>
      <c r="P1366">
        <v>1.2714507347643443E-2</v>
      </c>
      <c r="Q1366">
        <v>3.0182085774865877E-3</v>
      </c>
      <c r="R1366">
        <v>6.9689015363280681E-4</v>
      </c>
      <c r="S1366">
        <v>8.9803964853205215E-2</v>
      </c>
      <c r="T1366">
        <v>0.81594825922189851</v>
      </c>
      <c r="U1366">
        <v>1.7359856247891183E-2</v>
      </c>
      <c r="V1366">
        <v>1.0415717261928401E-2</v>
      </c>
      <c r="W1366">
        <v>4.2080701123588263E-2</v>
      </c>
      <c r="X1366">
        <v>9.8374407740669297E-3</v>
      </c>
      <c r="Y1366">
        <v>1.8967052684110963E-3</v>
      </c>
    </row>
    <row r="1367" spans="1:25">
      <c r="A1367" s="876"/>
      <c r="B1367" s="1202">
        <v>1117</v>
      </c>
      <c r="C1367" s="880">
        <v>1.0326737902457368</v>
      </c>
      <c r="D1367" s="880">
        <v>1.0049631063413633</v>
      </c>
      <c r="E1367" s="880">
        <v>0.97865970797932333</v>
      </c>
      <c r="F1367" s="880">
        <v>1.022612811185637</v>
      </c>
      <c r="G1367" s="880">
        <v>0.95495724730106879</v>
      </c>
      <c r="H1367" s="880">
        <v>0.99817873454318728</v>
      </c>
      <c r="I1367" s="880">
        <v>0.9976558022636175</v>
      </c>
      <c r="K1367">
        <v>1.0655576511088212</v>
      </c>
      <c r="L1367">
        <v>0</v>
      </c>
      <c r="M1367">
        <v>6.9580814587982809E-4</v>
      </c>
      <c r="N1367">
        <v>6.4874554339546558E-2</v>
      </c>
      <c r="O1367">
        <v>8.4870706218788585E-3</v>
      </c>
      <c r="P1367">
        <v>1.2432258403686777E-2</v>
      </c>
      <c r="Q1367">
        <v>2.7934008604125708E-3</v>
      </c>
      <c r="R1367">
        <v>6.840268779308771E-4</v>
      </c>
      <c r="S1367">
        <v>8.231133289261694E-2</v>
      </c>
      <c r="T1367">
        <v>0.81756740079466106</v>
      </c>
      <c r="U1367">
        <v>1.6375576707459854E-2</v>
      </c>
      <c r="V1367">
        <v>1.041005894977598E-2</v>
      </c>
      <c r="W1367">
        <v>3.9353148534524263E-2</v>
      </c>
      <c r="X1367">
        <v>9.1029345998788567E-3</v>
      </c>
      <c r="Y1367">
        <v>1.8616956723281394E-3</v>
      </c>
    </row>
    <row r="1368" spans="1:25">
      <c r="A1368" s="876"/>
      <c r="B1368" s="1202">
        <v>1118</v>
      </c>
      <c r="C1368" s="880">
        <v>1.0172052331633592</v>
      </c>
      <c r="D1368" s="880">
        <v>1.008076870208009</v>
      </c>
      <c r="E1368" s="880">
        <v>0.99005747975541936</v>
      </c>
      <c r="F1368" s="880">
        <v>1.0178495627740993</v>
      </c>
      <c r="G1368" s="880">
        <v>0.9698980275846486</v>
      </c>
      <c r="H1368" s="880">
        <v>0.99340817590815689</v>
      </c>
      <c r="I1368" s="880">
        <v>1.0428272443346596</v>
      </c>
      <c r="K1368">
        <v>1.07202971027172</v>
      </c>
      <c r="L1368">
        <v>0</v>
      </c>
      <c r="M1368">
        <v>6.8525202473684378E-4</v>
      </c>
      <c r="N1368">
        <v>6.6193510261204833E-2</v>
      </c>
      <c r="O1368">
        <v>8.6019391638374933E-3</v>
      </c>
      <c r="P1368">
        <v>1.2594945554665242E-2</v>
      </c>
      <c r="Q1368">
        <v>2.8647773328834341E-3</v>
      </c>
      <c r="R1368">
        <v>6.7359113170889452E-4</v>
      </c>
      <c r="S1368">
        <v>8.7038061170219019E-2</v>
      </c>
      <c r="T1368">
        <v>0.81664115021948092</v>
      </c>
      <c r="U1368">
        <v>1.6624598767903294E-2</v>
      </c>
      <c r="V1368">
        <v>1.0411490498937507E-2</v>
      </c>
      <c r="W1368">
        <v>3.9837881585644518E-2</v>
      </c>
      <c r="X1368">
        <v>9.3997235987169081E-3</v>
      </c>
      <c r="Y1368">
        <v>1.8332930112547206E-3</v>
      </c>
    </row>
    <row r="1369" spans="1:25">
      <c r="A1369" s="876"/>
      <c r="B1369" s="1202">
        <v>1119</v>
      </c>
      <c r="C1369" s="880">
        <v>0.99101037740585063</v>
      </c>
      <c r="D1369" s="880">
        <v>0.99979061752334419</v>
      </c>
      <c r="E1369" s="880">
        <v>0.9632257997705761</v>
      </c>
      <c r="F1369" s="880">
        <v>0.99604576870704709</v>
      </c>
      <c r="G1369" s="880">
        <v>1.0271275537178239</v>
      </c>
      <c r="H1369" s="880">
        <v>0.99340316584062716</v>
      </c>
      <c r="I1369" s="880">
        <v>1.0061104899573152</v>
      </c>
      <c r="K1369">
        <v>1.0750962252736536</v>
      </c>
      <c r="L1369">
        <v>0</v>
      </c>
      <c r="M1369">
        <v>7.4736841337793767E-4</v>
      </c>
      <c r="N1369">
        <v>6.6403072179590752E-2</v>
      </c>
      <c r="O1369">
        <v>8.8682429681034569E-3</v>
      </c>
      <c r="P1369">
        <v>1.2368136611605927E-2</v>
      </c>
      <c r="Q1369">
        <v>2.8720933287250949E-3</v>
      </c>
      <c r="R1369">
        <v>7.3465811784551884E-4</v>
      </c>
      <c r="S1369">
        <v>8.6547872068352766E-2</v>
      </c>
      <c r="T1369">
        <v>0.81882865258566362</v>
      </c>
      <c r="U1369">
        <v>1.7064028037949545E-2</v>
      </c>
      <c r="V1369">
        <v>1.0414016638999045E-2</v>
      </c>
      <c r="W1369">
        <v>4.0716839481013484E-2</v>
      </c>
      <c r="X1369">
        <v>9.026484452389117E-3</v>
      </c>
      <c r="Y1369">
        <v>1.9994972167920416E-3</v>
      </c>
    </row>
    <row r="1370" spans="1:25">
      <c r="A1370" s="876"/>
      <c r="B1370" s="1202">
        <v>1120</v>
      </c>
      <c r="C1370" s="880">
        <v>0.99979528955941332</v>
      </c>
      <c r="D1370" s="880">
        <v>0.9983835019655718</v>
      </c>
      <c r="E1370" s="880">
        <v>0.98486707651041061</v>
      </c>
      <c r="F1370" s="880">
        <v>1.0082107629937318</v>
      </c>
      <c r="G1370" s="880">
        <v>0.9712039002334576</v>
      </c>
      <c r="H1370" s="880">
        <v>1.0048324973524509</v>
      </c>
      <c r="I1370" s="880">
        <v>0.99729317993209654</v>
      </c>
      <c r="K1370">
        <v>1.0747524498791001</v>
      </c>
      <c r="L1370">
        <v>0</v>
      </c>
      <c r="M1370">
        <v>7.16610799091796E-4</v>
      </c>
      <c r="N1370">
        <v>6.8127067370083838E-2</v>
      </c>
      <c r="O1370">
        <v>8.7969253464155652E-3</v>
      </c>
      <c r="P1370">
        <v>1.2534561321306001E-2</v>
      </c>
      <c r="Q1370">
        <v>2.9122642748152824E-3</v>
      </c>
      <c r="R1370">
        <v>7.0456345833137574E-4</v>
      </c>
      <c r="S1370">
        <v>8.550322820055907E-2</v>
      </c>
      <c r="T1370">
        <v>0.81706240759396043</v>
      </c>
      <c r="U1370">
        <v>1.6914091357046211E-2</v>
      </c>
      <c r="V1370">
        <v>1.0413154700384262E-2</v>
      </c>
      <c r="W1370">
        <v>4.1148735736932437E-2</v>
      </c>
      <c r="X1370">
        <v>9.4344718440594576E-3</v>
      </c>
      <c r="Y1370">
        <v>1.9175894742963872E-3</v>
      </c>
    </row>
    <row r="1371" spans="1:25">
      <c r="A1371" s="876"/>
      <c r="B1371" s="1202">
        <v>1121</v>
      </c>
      <c r="C1371" s="880">
        <v>1.0041114088117815</v>
      </c>
      <c r="D1371" s="880">
        <v>0.99539116246545267</v>
      </c>
      <c r="E1371" s="880">
        <v>0.9792508806882686</v>
      </c>
      <c r="F1371" s="880">
        <v>1.0355204043339938</v>
      </c>
      <c r="G1371" s="880">
        <v>0.98878622613577016</v>
      </c>
      <c r="H1371" s="880">
        <v>0.98665768879099147</v>
      </c>
      <c r="I1371" s="880">
        <v>0.98547177624855808</v>
      </c>
      <c r="K1371">
        <v>1.070173553971332</v>
      </c>
      <c r="L1371">
        <v>0</v>
      </c>
      <c r="M1371">
        <v>7.1007008190267283E-4</v>
      </c>
      <c r="N1371">
        <v>6.6313822297107278E-2</v>
      </c>
      <c r="O1371">
        <v>8.7731483531581847E-3</v>
      </c>
      <c r="P1371">
        <v>1.2460994691742137E-2</v>
      </c>
      <c r="Q1371">
        <v>2.8872315065400929E-3</v>
      </c>
      <c r="R1371">
        <v>6.9791549016119409E-4</v>
      </c>
      <c r="S1371">
        <v>8.3613150025278915E-2</v>
      </c>
      <c r="T1371">
        <v>0.8175192504531662</v>
      </c>
      <c r="U1371">
        <v>1.6841387038878136E-2</v>
      </c>
      <c r="V1371">
        <v>1.0412736746225795E-2</v>
      </c>
      <c r="W1371">
        <v>4.0209704012426746E-2</v>
      </c>
      <c r="X1371">
        <v>9.2547875421090508E-3</v>
      </c>
      <c r="Y1371">
        <v>1.8994958964392711E-3</v>
      </c>
    </row>
    <row r="1372" spans="1:25">
      <c r="A1372" s="876"/>
      <c r="B1372" s="1202">
        <v>1122</v>
      </c>
      <c r="C1372" s="880">
        <v>1.0153111316489016</v>
      </c>
      <c r="D1372" s="880">
        <v>1.0036089234811569</v>
      </c>
      <c r="E1372" s="880">
        <v>0.96086819704678061</v>
      </c>
      <c r="F1372" s="880">
        <v>1.0372147638715348</v>
      </c>
      <c r="G1372" s="880">
        <v>1.0067353110884383</v>
      </c>
      <c r="H1372" s="880">
        <v>1.0010295881768407</v>
      </c>
      <c r="I1372" s="880">
        <v>0.99787457039776095</v>
      </c>
      <c r="K1372">
        <v>1.0695130284170864</v>
      </c>
      <c r="L1372">
        <v>0</v>
      </c>
      <c r="M1372">
        <v>7.3722129092597616E-4</v>
      </c>
      <c r="N1372">
        <v>6.50297417429712E-2</v>
      </c>
      <c r="O1372">
        <v>8.6384133085852296E-3</v>
      </c>
      <c r="P1372">
        <v>1.230756434206892E-2</v>
      </c>
      <c r="Q1372">
        <v>2.7916909832388323E-3</v>
      </c>
      <c r="R1372">
        <v>7.2477560398770586E-4</v>
      </c>
      <c r="S1372">
        <v>8.3893502023567948E-2</v>
      </c>
      <c r="T1372">
        <v>0.81902202216811049</v>
      </c>
      <c r="U1372">
        <v>1.6655612588910493E-2</v>
      </c>
      <c r="V1372">
        <v>1.0411668787597505E-2</v>
      </c>
      <c r="W1372">
        <v>3.9940860823850136E-2</v>
      </c>
      <c r="X1372">
        <v>8.8617970632812945E-3</v>
      </c>
      <c r="Y1372">
        <v>1.9726002718408924E-3</v>
      </c>
    </row>
    <row r="1373" spans="1:25">
      <c r="A1373" s="876"/>
      <c r="B1373" s="1202">
        <v>1123</v>
      </c>
      <c r="C1373" s="880">
        <v>1.0021276345912002</v>
      </c>
      <c r="D1373" s="880">
        <v>1.0007537420350929</v>
      </c>
      <c r="E1373" s="880">
        <v>0.96707653604357369</v>
      </c>
      <c r="F1373" s="880">
        <v>0.9511891620433589</v>
      </c>
      <c r="G1373" s="880">
        <v>0.99467083174950399</v>
      </c>
      <c r="H1373" s="880">
        <v>1.0117753501876072</v>
      </c>
      <c r="I1373" s="880">
        <v>1.0202060216775135</v>
      </c>
      <c r="K1373">
        <v>1.0765009280923361</v>
      </c>
      <c r="L1373">
        <v>0</v>
      </c>
      <c r="M1373">
        <v>7.4631738910451231E-4</v>
      </c>
      <c r="N1373">
        <v>6.7131945224107148E-2</v>
      </c>
      <c r="O1373">
        <v>8.7653600216511234E-3</v>
      </c>
      <c r="P1373">
        <v>1.2409701969020829E-2</v>
      </c>
      <c r="Q1373">
        <v>2.8502034401118904E-3</v>
      </c>
      <c r="R1373">
        <v>7.3385456064741005E-4</v>
      </c>
      <c r="S1373">
        <v>8.7413677693223502E-2</v>
      </c>
      <c r="T1373">
        <v>0.81851321958434931</v>
      </c>
      <c r="U1373">
        <v>1.6874725616014743E-2</v>
      </c>
      <c r="V1373">
        <v>1.0412928399174367E-2</v>
      </c>
      <c r="W1373">
        <v>4.1052773423967071E-2</v>
      </c>
      <c r="X1373">
        <v>9.0915453501808526E-3</v>
      </c>
      <c r="Y1373">
        <v>1.997310198991349E-3</v>
      </c>
    </row>
    <row r="1374" spans="1:25">
      <c r="A1374" s="876"/>
      <c r="B1374" s="1202">
        <v>1124</v>
      </c>
      <c r="C1374" s="880">
        <v>0.98880481078564997</v>
      </c>
      <c r="D1374" s="880">
        <v>1.0358819882895494</v>
      </c>
      <c r="E1374" s="880">
        <v>0.99535689742818412</v>
      </c>
      <c r="F1374" s="880">
        <v>0.95890210672922715</v>
      </c>
      <c r="G1374" s="880">
        <v>0.97175306019891727</v>
      </c>
      <c r="H1374" s="880">
        <v>1.0015717053170983</v>
      </c>
      <c r="I1374" s="880">
        <v>1.0261460358161478</v>
      </c>
      <c r="K1374">
        <v>1.075528301765291</v>
      </c>
      <c r="L1374">
        <v>0</v>
      </c>
      <c r="M1374">
        <v>6.9276777710172049E-4</v>
      </c>
      <c r="N1374">
        <v>6.8039855771474159E-2</v>
      </c>
      <c r="O1374">
        <v>8.721796065876147E-3</v>
      </c>
      <c r="P1374">
        <v>1.2648397439965377E-2</v>
      </c>
      <c r="Q1374">
        <v>2.9261567285660162E-3</v>
      </c>
      <c r="R1374">
        <v>6.8105191081287196E-4</v>
      </c>
      <c r="S1374">
        <v>8.7220062423306419E-2</v>
      </c>
      <c r="T1374">
        <v>0.81621198765356773</v>
      </c>
      <c r="U1374">
        <v>1.710208999945716E-2</v>
      </c>
      <c r="V1374">
        <v>1.0414235445192311E-2</v>
      </c>
      <c r="W1374">
        <v>4.0800113692726604E-2</v>
      </c>
      <c r="X1374">
        <v>9.6017236189162095E-3</v>
      </c>
      <c r="Y1374">
        <v>1.853598792530576E-3</v>
      </c>
    </row>
    <row r="1375" spans="1:25">
      <c r="A1375" s="876"/>
      <c r="B1375" s="1202">
        <v>1125</v>
      </c>
      <c r="C1375" s="880">
        <v>0.97550513797913263</v>
      </c>
      <c r="D1375" s="880">
        <v>1.0144118738347045</v>
      </c>
      <c r="E1375" s="880">
        <v>1.0055835226667906</v>
      </c>
      <c r="F1375" s="880">
        <v>1.0076157145672591</v>
      </c>
      <c r="G1375" s="880">
        <v>1.0387933105237781</v>
      </c>
      <c r="H1375" s="880">
        <v>0.98190172163630729</v>
      </c>
      <c r="I1375" s="880">
        <v>0.98970723378309922</v>
      </c>
      <c r="K1375">
        <v>1.0751251669008484</v>
      </c>
      <c r="L1375">
        <v>0</v>
      </c>
      <c r="M1375">
        <v>6.8128456568138887E-4</v>
      </c>
      <c r="N1375">
        <v>6.9053112934063993E-2</v>
      </c>
      <c r="O1375">
        <v>8.9397647190213245E-3</v>
      </c>
      <c r="P1375">
        <v>1.2713028988807808E-2</v>
      </c>
      <c r="Q1375">
        <v>3.0255813431460119E-3</v>
      </c>
      <c r="R1375">
        <v>6.6954995863999602E-4</v>
      </c>
      <c r="S1375">
        <v>8.5453380307898827E-2</v>
      </c>
      <c r="T1375">
        <v>0.81538650102986965</v>
      </c>
      <c r="U1375">
        <v>1.7335253508745839E-2</v>
      </c>
      <c r="V1375">
        <v>1.041557582855282E-2</v>
      </c>
      <c r="W1375">
        <v>4.1119069080613815E-2</v>
      </c>
      <c r="X1375">
        <v>9.8733394968371323E-3</v>
      </c>
      <c r="Y1375">
        <v>1.8222942703335228E-3</v>
      </c>
    </row>
    <row r="1376" spans="1:25">
      <c r="A1376" s="876"/>
      <c r="B1376" s="1202">
        <v>1126</v>
      </c>
      <c r="C1376" s="880">
        <v>1.0154941896417313</v>
      </c>
      <c r="D1376" s="880">
        <v>0.99856440863467744</v>
      </c>
      <c r="E1376" s="880">
        <v>0.99202693547814202</v>
      </c>
      <c r="F1376" s="880">
        <v>1.0258754094281934</v>
      </c>
      <c r="G1376" s="880">
        <v>0.98418057541905168</v>
      </c>
      <c r="H1376" s="880">
        <v>1.0038751045106011</v>
      </c>
      <c r="I1376" s="880">
        <v>1.0140993471965181</v>
      </c>
      <c r="K1376">
        <v>1.0726345435073041</v>
      </c>
      <c r="L1376">
        <v>0</v>
      </c>
      <c r="M1376">
        <v>6.9426387129878635E-4</v>
      </c>
      <c r="N1376">
        <v>6.748946365797287E-2</v>
      </c>
      <c r="O1376">
        <v>8.6600935330751055E-3</v>
      </c>
      <c r="P1376">
        <v>1.2591775040664816E-2</v>
      </c>
      <c r="Q1376">
        <v>2.8878459067406127E-3</v>
      </c>
      <c r="R1376">
        <v>6.8258093035421295E-4</v>
      </c>
      <c r="S1376">
        <v>8.5558071416949405E-2</v>
      </c>
      <c r="T1376">
        <v>0.81648154660371086</v>
      </c>
      <c r="U1376">
        <v>1.6652610166010405E-2</v>
      </c>
      <c r="V1376">
        <v>1.0411651527616684E-2</v>
      </c>
      <c r="W1376">
        <v>4.0562795355635235E-2</v>
      </c>
      <c r="X1376">
        <v>9.4926129601900413E-3</v>
      </c>
      <c r="Y1376">
        <v>1.8577602796809498E-3</v>
      </c>
    </row>
    <row r="1377" spans="1:25">
      <c r="A1377" s="876"/>
      <c r="B1377" s="1202">
        <v>1127</v>
      </c>
      <c r="C1377" s="880">
        <v>0.96736852013120711</v>
      </c>
      <c r="D1377" s="880">
        <v>1.0023117056379895</v>
      </c>
      <c r="E1377" s="880">
        <v>0.98589433337014565</v>
      </c>
      <c r="F1377" s="880">
        <v>1.000344312245085</v>
      </c>
      <c r="G1377" s="880">
        <v>1.0029642372814944</v>
      </c>
      <c r="H1377" s="880">
        <v>0.97005566469624449</v>
      </c>
      <c r="I1377" s="880">
        <v>0.9954873022887879</v>
      </c>
      <c r="K1377">
        <v>1.0765247976219263</v>
      </c>
      <c r="L1377">
        <v>0</v>
      </c>
      <c r="M1377">
        <v>7.1196859037590918E-4</v>
      </c>
      <c r="N1377">
        <v>6.7860667207905373E-2</v>
      </c>
      <c r="O1377">
        <v>9.0727853151497066E-3</v>
      </c>
      <c r="P1377">
        <v>1.2567841716526328E-2</v>
      </c>
      <c r="Q1377">
        <v>3.0075992111899068E-3</v>
      </c>
      <c r="R1377">
        <v>6.9956661389849073E-4</v>
      </c>
      <c r="S1377">
        <v>8.6758952082114857E-2</v>
      </c>
      <c r="T1377">
        <v>0.81697896212691923</v>
      </c>
      <c r="U1377">
        <v>1.7481061781562546E-2</v>
      </c>
      <c r="V1377">
        <v>1.0416414034253653E-2</v>
      </c>
      <c r="W1377">
        <v>4.0958734235800175E-2</v>
      </c>
      <c r="X1377">
        <v>9.5301921760230744E-3</v>
      </c>
      <c r="Y1377">
        <v>1.9039897109593986E-3</v>
      </c>
    </row>
    <row r="1378" spans="1:25">
      <c r="A1378" s="876"/>
      <c r="B1378" s="1202">
        <v>1128</v>
      </c>
      <c r="C1378" s="880">
        <v>0.99335958797878077</v>
      </c>
      <c r="D1378" s="880">
        <v>0.97315148207873092</v>
      </c>
      <c r="E1378" s="880">
        <v>0.9576939692041867</v>
      </c>
      <c r="F1378" s="880">
        <v>0.9993840362655142</v>
      </c>
      <c r="G1378" s="880">
        <v>0.98324992721612581</v>
      </c>
      <c r="H1378" s="880">
        <v>0.9901554671356636</v>
      </c>
      <c r="I1378" s="880">
        <v>0.96496842164041785</v>
      </c>
      <c r="K1378">
        <v>1.0732723909028012</v>
      </c>
      <c r="L1378">
        <v>0</v>
      </c>
      <c r="M1378">
        <v>7.6271051001804418E-4</v>
      </c>
      <c r="N1378">
        <v>6.6605074461955988E-2</v>
      </c>
      <c r="O1378">
        <v>8.9757753951805706E-3</v>
      </c>
      <c r="P1378">
        <v>1.2284697782387836E-2</v>
      </c>
      <c r="Q1378">
        <v>2.8845834994754385E-3</v>
      </c>
      <c r="R1378">
        <v>7.4972268467373023E-4</v>
      </c>
      <c r="S1378">
        <v>8.382106503336062E-2</v>
      </c>
      <c r="T1378">
        <v>0.81928266657441606</v>
      </c>
      <c r="U1378">
        <v>1.7023673069246726E-2</v>
      </c>
      <c r="V1378">
        <v>1.0413784651031774E-2</v>
      </c>
      <c r="W1378">
        <v>4.0999950141032221E-2</v>
      </c>
      <c r="X1378">
        <v>8.9536101183919567E-3</v>
      </c>
      <c r="Y1378">
        <v>2.0404980016653128E-3</v>
      </c>
    </row>
    <row r="1379" spans="1:25">
      <c r="A1379" s="876"/>
      <c r="B1379" s="1202">
        <v>1129</v>
      </c>
      <c r="C1379" s="880">
        <v>0.9893180332625735</v>
      </c>
      <c r="D1379" s="880">
        <v>0.98347779879573827</v>
      </c>
      <c r="E1379" s="880">
        <v>1.0123615718052166</v>
      </c>
      <c r="F1379" s="880">
        <v>0.97446546290109315</v>
      </c>
      <c r="G1379" s="880">
        <v>1.0019176202315916</v>
      </c>
      <c r="H1379" s="880">
        <v>0.97445866455312724</v>
      </c>
      <c r="I1379" s="880">
        <v>0.99371219877603689</v>
      </c>
      <c r="K1379">
        <v>1.0746935444482266</v>
      </c>
      <c r="L1379">
        <v>0</v>
      </c>
      <c r="M1379">
        <v>6.6813775730837602E-4</v>
      </c>
      <c r="N1379">
        <v>6.9156342510093505E-2</v>
      </c>
      <c r="O1379">
        <v>8.96175062124604E-3</v>
      </c>
      <c r="P1379">
        <v>1.2768830937552E-2</v>
      </c>
      <c r="Q1379">
        <v>3.0465954761237455E-3</v>
      </c>
      <c r="R1379">
        <v>6.5656804631972383E-4</v>
      </c>
      <c r="S1379">
        <v>8.5646247736826803E-2</v>
      </c>
      <c r="T1379">
        <v>0.81484134092180871</v>
      </c>
      <c r="U1379">
        <v>1.7093218052626109E-2</v>
      </c>
      <c r="V1379">
        <v>1.041418444317254E-2</v>
      </c>
      <c r="W1379">
        <v>4.0991179131848673E-2</v>
      </c>
      <c r="X1379">
        <v>9.9984625434331991E-3</v>
      </c>
      <c r="Y1379">
        <v>1.7869617844839876E-3</v>
      </c>
    </row>
    <row r="1380" spans="1:25">
      <c r="A1380" s="876"/>
      <c r="B1380" s="1202">
        <v>1130</v>
      </c>
      <c r="C1380" s="880">
        <v>0.96327316569873089</v>
      </c>
      <c r="D1380" s="880">
        <v>1.0014717183486279</v>
      </c>
      <c r="E1380" s="880">
        <v>0.98522473054234738</v>
      </c>
      <c r="F1380" s="880">
        <v>1.015619980055471</v>
      </c>
      <c r="G1380" s="880">
        <v>0.99601162972243051</v>
      </c>
      <c r="H1380" s="880">
        <v>0.99441681779777469</v>
      </c>
      <c r="I1380" s="880">
        <v>0.96636108822424405</v>
      </c>
      <c r="K1380">
        <v>1.0787955659009958</v>
      </c>
      <c r="L1380">
        <v>0</v>
      </c>
      <c r="M1380">
        <v>7.3431066623519685E-4</v>
      </c>
      <c r="N1380">
        <v>6.9874782346036335E-2</v>
      </c>
      <c r="O1380">
        <v>9.1154320405974262E-3</v>
      </c>
      <c r="P1380">
        <v>1.2546050293867838E-2</v>
      </c>
      <c r="Q1380">
        <v>3.0194980303438076E-3</v>
      </c>
      <c r="R1380">
        <v>7.2183363143002162E-4</v>
      </c>
      <c r="S1380">
        <v>8.5487014476734818E-2</v>
      </c>
      <c r="T1380">
        <v>0.81703335081595507</v>
      </c>
      <c r="U1380">
        <v>1.7555382489748767E-2</v>
      </c>
      <c r="V1380">
        <v>1.0416841280527738E-2</v>
      </c>
      <c r="W1380">
        <v>4.2193919589416054E-2</v>
      </c>
      <c r="X1380">
        <v>9.6011783802126757E-3</v>
      </c>
      <c r="Y1380">
        <v>1.9645931923598686E-3</v>
      </c>
    </row>
    <row r="1381" spans="1:25">
      <c r="A1381" s="876"/>
      <c r="B1381" s="1202">
        <v>1131</v>
      </c>
      <c r="C1381" s="880">
        <v>1.0106644941171341</v>
      </c>
      <c r="D1381" s="880">
        <v>0.96774479311382489</v>
      </c>
      <c r="E1381" s="880">
        <v>0.98825204932433952</v>
      </c>
      <c r="F1381" s="880">
        <v>0.99018622748172569</v>
      </c>
      <c r="G1381" s="880">
        <v>0.97237897697241693</v>
      </c>
      <c r="H1381" s="880">
        <v>1.0066324242315765</v>
      </c>
      <c r="I1381" s="880">
        <v>1.0343439051990553</v>
      </c>
      <c r="K1381">
        <v>1.079345392385143</v>
      </c>
      <c r="L1381">
        <v>0</v>
      </c>
      <c r="M1381">
        <v>7.1694951012217479E-4</v>
      </c>
      <c r="N1381">
        <v>6.8886384735642014E-2</v>
      </c>
      <c r="O1381">
        <v>8.8484144543455028E-3</v>
      </c>
      <c r="P1381">
        <v>1.2610074053570699E-2</v>
      </c>
      <c r="Q1381">
        <v>2.9324828300121091E-3</v>
      </c>
      <c r="R1381">
        <v>7.0494573736592386E-4</v>
      </c>
      <c r="S1381">
        <v>8.9168639626963281E-2</v>
      </c>
      <c r="T1381">
        <v>0.8167875768671824</v>
      </c>
      <c r="U1381">
        <v>1.6732188539703909E-2</v>
      </c>
      <c r="V1381">
        <v>1.0412108998548894E-2</v>
      </c>
      <c r="W1381">
        <v>4.1510198168391139E-2</v>
      </c>
      <c r="X1381">
        <v>9.5506979717291645E-3</v>
      </c>
      <c r="Y1381">
        <v>1.9186299118101767E-3</v>
      </c>
    </row>
    <row r="1382" spans="1:25">
      <c r="A1382" s="876"/>
      <c r="B1382" s="1202">
        <v>1132</v>
      </c>
      <c r="C1382" s="880">
        <v>0.99122138553227668</v>
      </c>
      <c r="D1382" s="880">
        <v>0.99580542024070873</v>
      </c>
      <c r="E1382" s="880">
        <v>0.9866328945718712</v>
      </c>
      <c r="F1382" s="880">
        <v>0.98988568388180098</v>
      </c>
      <c r="G1382" s="880">
        <v>0.96834608362040908</v>
      </c>
      <c r="H1382" s="880">
        <v>0.9916968628651458</v>
      </c>
      <c r="I1382" s="880">
        <v>0.99863498700190589</v>
      </c>
      <c r="K1382">
        <v>1.0752102616927972</v>
      </c>
      <c r="L1382">
        <v>0</v>
      </c>
      <c r="M1382">
        <v>7.1169708076765489E-4</v>
      </c>
      <c r="N1382">
        <v>6.8017861488141179E-2</v>
      </c>
      <c r="O1382">
        <v>8.8852633994155363E-3</v>
      </c>
      <c r="P1382">
        <v>1.2558026847203365E-2</v>
      </c>
      <c r="Q1382">
        <v>2.9462064722661167E-3</v>
      </c>
      <c r="R1382">
        <v>6.9957617135477687E-4</v>
      </c>
      <c r="S1382">
        <v>8.599597345157256E-2</v>
      </c>
      <c r="T1382">
        <v>0.81691898989071088</v>
      </c>
      <c r="U1382">
        <v>1.7060395500720082E-2</v>
      </c>
      <c r="V1382">
        <v>1.0413995756689999E-2</v>
      </c>
      <c r="W1382">
        <v>4.1032670565437843E-2</v>
      </c>
      <c r="X1382">
        <v>9.4889835068472216E-3</v>
      </c>
      <c r="Y1382">
        <v>1.9040157232047949E-3</v>
      </c>
    </row>
    <row r="1383" spans="1:25">
      <c r="A1383" s="876"/>
      <c r="B1383" s="1202">
        <v>1133</v>
      </c>
      <c r="C1383" s="880">
        <v>1.0073589334150979</v>
      </c>
      <c r="D1383" s="880">
        <v>0.99955639630121818</v>
      </c>
      <c r="E1383" s="880">
        <v>0.99655404227419986</v>
      </c>
      <c r="F1383" s="880">
        <v>1.0016767275928959</v>
      </c>
      <c r="G1383" s="880">
        <v>0.99059522050817472</v>
      </c>
      <c r="H1383" s="880">
        <v>1.0073917427863093</v>
      </c>
      <c r="I1383" s="880">
        <v>0.97856485042015162</v>
      </c>
      <c r="K1383">
        <v>1.0719690593067452</v>
      </c>
      <c r="L1383">
        <v>0</v>
      </c>
      <c r="M1383">
        <v>6.9529681853096174E-4</v>
      </c>
      <c r="N1383">
        <v>6.8552989200785272E-2</v>
      </c>
      <c r="O1383">
        <v>8.725409274605949E-3</v>
      </c>
      <c r="P1383">
        <v>1.2600866133609225E-2</v>
      </c>
      <c r="Q1383">
        <v>2.9231560635251592E-3</v>
      </c>
      <c r="R1383">
        <v>6.8363648878753806E-4</v>
      </c>
      <c r="S1383">
        <v>8.3307826780092256E-2</v>
      </c>
      <c r="T1383">
        <v>0.81611517128109079</v>
      </c>
      <c r="U1383">
        <v>1.6787093760734114E-2</v>
      </c>
      <c r="V1383">
        <v>1.0412424631320503E-2</v>
      </c>
      <c r="W1383">
        <v>4.1074059970075502E-2</v>
      </c>
      <c r="X1383">
        <v>9.6210893788787038E-3</v>
      </c>
      <c r="Y1383">
        <v>1.8606331617717169E-3</v>
      </c>
    </row>
    <row r="1384" spans="1:25">
      <c r="A1384" s="876"/>
      <c r="B1384" s="1202">
        <v>1134</v>
      </c>
      <c r="C1384" s="880">
        <v>1.0306131063222705</v>
      </c>
      <c r="D1384" s="880">
        <v>1.0017443118628435</v>
      </c>
      <c r="E1384" s="880">
        <v>0.95998011587606202</v>
      </c>
      <c r="F1384" s="880">
        <v>1.0317440829576228</v>
      </c>
      <c r="G1384" s="880">
        <v>0.96216407835235729</v>
      </c>
      <c r="H1384" s="880">
        <v>1.0013108435419464</v>
      </c>
      <c r="I1384" s="880">
        <v>1.0245041592407365</v>
      </c>
      <c r="K1384">
        <v>1.0686318285843093</v>
      </c>
      <c r="L1384">
        <v>0</v>
      </c>
      <c r="M1384">
        <v>7.2855114624167732E-4</v>
      </c>
      <c r="N1384">
        <v>6.4087579466032413E-2</v>
      </c>
      <c r="O1384">
        <v>8.5185963192248269E-3</v>
      </c>
      <c r="P1384">
        <v>1.2310658345596328E-2</v>
      </c>
      <c r="Q1384">
        <v>2.7500768665521848E-3</v>
      </c>
      <c r="R1384">
        <v>7.1625695937491932E-4</v>
      </c>
      <c r="S1384">
        <v>8.4942067644983216E-2</v>
      </c>
      <c r="T1384">
        <v>0.81909491074193208</v>
      </c>
      <c r="U1384">
        <v>1.6408319244355162E-2</v>
      </c>
      <c r="V1384">
        <v>1.0410247176277495E-2</v>
      </c>
      <c r="W1384">
        <v>3.9386791112591774E-2</v>
      </c>
      <c r="X1384">
        <v>8.7854605242554552E-3</v>
      </c>
      <c r="Y1384">
        <v>1.9494153293753297E-3</v>
      </c>
    </row>
    <row r="1385" spans="1:25">
      <c r="A1385" s="876"/>
      <c r="B1385" s="1202">
        <v>1135</v>
      </c>
      <c r="C1385" s="880">
        <v>1.0192425266469354</v>
      </c>
      <c r="D1385" s="880">
        <v>0.9993607481066108</v>
      </c>
      <c r="E1385" s="880">
        <v>1.012281636908976</v>
      </c>
      <c r="F1385" s="880">
        <v>0.98566059373287662</v>
      </c>
      <c r="G1385" s="880">
        <v>0.99758379772690053</v>
      </c>
      <c r="H1385" s="880">
        <v>0.98978623517881381</v>
      </c>
      <c r="I1385" s="880">
        <v>0.99953689893191822</v>
      </c>
      <c r="K1385">
        <v>1.0688849281149873</v>
      </c>
      <c r="L1385">
        <v>0</v>
      </c>
      <c r="M1385">
        <v>6.5323741814845074E-4</v>
      </c>
      <c r="N1385">
        <v>6.7614329542225141E-2</v>
      </c>
      <c r="O1385">
        <v>8.6245779470303565E-3</v>
      </c>
      <c r="P1385">
        <v>1.2731541351883377E-2</v>
      </c>
      <c r="Q1385">
        <v>2.9352612028882745E-3</v>
      </c>
      <c r="R1385">
        <v>6.4208773883396401E-4</v>
      </c>
      <c r="S1385">
        <v>8.3491802487276598E-2</v>
      </c>
      <c r="T1385">
        <v>0.81484776099217526</v>
      </c>
      <c r="U1385">
        <v>1.659136900575011E-2</v>
      </c>
      <c r="V1385">
        <v>1.0411299471531913E-2</v>
      </c>
      <c r="W1385">
        <v>4.0079351981620708E-2</v>
      </c>
      <c r="X1385">
        <v>9.8212326509787198E-3</v>
      </c>
      <c r="Y1385">
        <v>1.7475511609398291E-3</v>
      </c>
    </row>
    <row r="1386" spans="1:25">
      <c r="A1386" s="876"/>
      <c r="B1386" s="1202">
        <v>1136</v>
      </c>
      <c r="C1386" s="880">
        <v>1.0020570205361818</v>
      </c>
      <c r="D1386" s="880">
        <v>1.0184442351660972</v>
      </c>
      <c r="E1386" s="880">
        <v>1.013411268001255</v>
      </c>
      <c r="F1386" s="880">
        <v>0.97542043681485813</v>
      </c>
      <c r="G1386" s="880">
        <v>1.0425131494894455</v>
      </c>
      <c r="H1386" s="880">
        <v>1.0088677917871507</v>
      </c>
      <c r="I1386" s="880">
        <v>1.0109407730997217</v>
      </c>
      <c r="K1386">
        <v>1.0746329881283614</v>
      </c>
      <c r="L1386">
        <v>0</v>
      </c>
      <c r="M1386">
        <v>6.6887821138413711E-4</v>
      </c>
      <c r="N1386">
        <v>6.9497943025530765E-2</v>
      </c>
      <c r="O1386">
        <v>8.6845207508591087E-3</v>
      </c>
      <c r="P1386">
        <v>1.2776259961533148E-2</v>
      </c>
      <c r="Q1386">
        <v>2.9631637295717359E-3</v>
      </c>
      <c r="R1386">
        <v>6.576619935748535E-4</v>
      </c>
      <c r="S1386">
        <v>8.5769799035730676E-2</v>
      </c>
      <c r="T1386">
        <v>0.81475705345938576</v>
      </c>
      <c r="U1386">
        <v>1.6875914762718613E-2</v>
      </c>
      <c r="V1386">
        <v>1.0412935235203128E-2</v>
      </c>
      <c r="W1386">
        <v>4.1164344545444542E-2</v>
      </c>
      <c r="X1386">
        <v>9.952330691900017E-3</v>
      </c>
      <c r="Y1386">
        <v>1.7899391482928354E-3</v>
      </c>
    </row>
    <row r="1387" spans="1:25">
      <c r="A1387" s="876"/>
      <c r="B1387" s="1202">
        <v>1137</v>
      </c>
      <c r="C1387" s="880">
        <v>0.98482636516255129</v>
      </c>
      <c r="D1387" s="880">
        <v>0.9810024567355905</v>
      </c>
      <c r="E1387" s="880">
        <v>1.0461994274034341</v>
      </c>
      <c r="F1387" s="880">
        <v>1.0392215533323605</v>
      </c>
      <c r="G1387" s="880">
        <v>1.0243068229523722</v>
      </c>
      <c r="H1387" s="880">
        <v>0.98321958011802513</v>
      </c>
      <c r="I1387" s="880">
        <v>0.98417004210341874</v>
      </c>
      <c r="K1387">
        <v>1.0776876136659568</v>
      </c>
      <c r="L1387">
        <v>0</v>
      </c>
      <c r="M1387">
        <v>6.3128784983498473E-4</v>
      </c>
      <c r="N1387">
        <v>7.2591159503584968E-2</v>
      </c>
      <c r="O1387">
        <v>9.0147514163811844E-3</v>
      </c>
      <c r="P1387">
        <v>1.3050034051434888E-2</v>
      </c>
      <c r="Q1387">
        <v>3.1683184163141822E-3</v>
      </c>
      <c r="R1387">
        <v>6.2045567059391786E-4</v>
      </c>
      <c r="S1387">
        <v>8.563411373117627E-2</v>
      </c>
      <c r="T1387">
        <v>0.81214318492114712</v>
      </c>
      <c r="U1387">
        <v>1.7171178051433658E-2</v>
      </c>
      <c r="V1387">
        <v>1.0414632610578798E-2</v>
      </c>
      <c r="W1387">
        <v>4.2061926009162254E-2</v>
      </c>
      <c r="X1387">
        <v>1.0760471331783322E-2</v>
      </c>
      <c r="Y1387">
        <v>1.6886758021998028E-3</v>
      </c>
    </row>
    <row r="1388" spans="1:25">
      <c r="A1388" s="876"/>
      <c r="B1388" s="1202">
        <v>1138</v>
      </c>
      <c r="C1388" s="880">
        <v>1.0123405268034666</v>
      </c>
      <c r="D1388" s="880">
        <v>0.99185121039449931</v>
      </c>
      <c r="E1388" s="880">
        <v>0.99839729238629937</v>
      </c>
      <c r="F1388" s="880">
        <v>1.0163135740254341</v>
      </c>
      <c r="G1388" s="880">
        <v>1.0001507199508979</v>
      </c>
      <c r="H1388" s="880">
        <v>1.0106762276300603</v>
      </c>
      <c r="I1388" s="880">
        <v>0.99333925065790651</v>
      </c>
      <c r="K1388">
        <v>1.0735170535797498</v>
      </c>
      <c r="L1388">
        <v>0</v>
      </c>
      <c r="M1388">
        <v>6.9429660171453395E-4</v>
      </c>
      <c r="N1388">
        <v>6.8852611890057924E-2</v>
      </c>
      <c r="O1388">
        <v>8.7183912576863001E-3</v>
      </c>
      <c r="P1388">
        <v>1.263258652494257E-2</v>
      </c>
      <c r="Q1388">
        <v>2.9245351726896471E-3</v>
      </c>
      <c r="R1388">
        <v>6.826974901203252E-4</v>
      </c>
      <c r="S1388">
        <v>8.4590427986432681E-2</v>
      </c>
      <c r="T1388">
        <v>0.81596619775928692</v>
      </c>
      <c r="U1388">
        <v>1.6704486700091756E-2</v>
      </c>
      <c r="V1388">
        <v>1.0411949749423754E-2</v>
      </c>
      <c r="W1388">
        <v>4.1201492195499075E-2</v>
      </c>
      <c r="X1388">
        <v>9.6678959382922661E-3</v>
      </c>
      <c r="Y1388">
        <v>1.8580775169403905E-3</v>
      </c>
    </row>
    <row r="1389" spans="1:25">
      <c r="A1389" s="876"/>
      <c r="B1389" s="1202">
        <v>1139</v>
      </c>
      <c r="C1389" s="880">
        <v>1.0184378450051375</v>
      </c>
      <c r="D1389" s="880">
        <v>0.98063095366303221</v>
      </c>
      <c r="E1389" s="880">
        <v>1.0338682719385492</v>
      </c>
      <c r="F1389" s="880">
        <v>0.98389205079597242</v>
      </c>
      <c r="G1389" s="880">
        <v>1.0062735980322941</v>
      </c>
      <c r="H1389" s="880">
        <v>1.0112663124640004</v>
      </c>
      <c r="I1389" s="880">
        <v>0.98991801126328594</v>
      </c>
      <c r="K1389">
        <v>1.0742774522389751</v>
      </c>
      <c r="L1389">
        <v>0</v>
      </c>
      <c r="M1389">
        <v>6.4461635110882429E-4</v>
      </c>
      <c r="N1389">
        <v>7.1376660242981352E-2</v>
      </c>
      <c r="O1389">
        <v>8.7190019819218551E-3</v>
      </c>
      <c r="P1389">
        <v>1.2921481033497039E-2</v>
      </c>
      <c r="Q1389">
        <v>3.0273572206475068E-3</v>
      </c>
      <c r="R1389">
        <v>6.3386253706402987E-4</v>
      </c>
      <c r="S1389">
        <v>8.4292221915718585E-2</v>
      </c>
      <c r="T1389">
        <v>0.81312191674294643</v>
      </c>
      <c r="U1389">
        <v>1.6604478072853892E-2</v>
      </c>
      <c r="V1389">
        <v>1.0411374831417641E-2</v>
      </c>
      <c r="W1389">
        <v>4.169899190304472E-2</v>
      </c>
      <c r="X1389">
        <v>1.0389557234830926E-2</v>
      </c>
      <c r="Y1389">
        <v>1.7251648731591033E-3</v>
      </c>
    </row>
    <row r="1390" spans="1:25">
      <c r="A1390" s="876"/>
      <c r="B1390" s="1202">
        <v>1140</v>
      </c>
      <c r="C1390" s="880">
        <v>0.97234256452336776</v>
      </c>
      <c r="D1390" s="880">
        <v>0.99331598127190124</v>
      </c>
      <c r="E1390" s="880">
        <v>0.96572656059593265</v>
      </c>
      <c r="F1390" s="880">
        <v>0.98296508937762661</v>
      </c>
      <c r="G1390" s="880">
        <v>1.0188289525039493</v>
      </c>
      <c r="H1390" s="880">
        <v>0.99593927555922857</v>
      </c>
      <c r="I1390" s="880">
        <v>1.0253428273688177</v>
      </c>
      <c r="K1390">
        <v>1.0824545460635533</v>
      </c>
      <c r="L1390">
        <v>0</v>
      </c>
      <c r="M1390">
        <v>7.6230411382089108E-4</v>
      </c>
      <c r="N1390">
        <v>6.8264073221141267E-2</v>
      </c>
      <c r="O1390">
        <v>9.0698826815539969E-3</v>
      </c>
      <c r="P1390">
        <v>1.2443349822032925E-2</v>
      </c>
      <c r="Q1390">
        <v>2.9435067913998903E-3</v>
      </c>
      <c r="R1390">
        <v>7.4937900066138999E-4</v>
      </c>
      <c r="S1390">
        <v>9.028307849901572E-2</v>
      </c>
      <c r="T1390">
        <v>0.81862374590079878</v>
      </c>
      <c r="U1390">
        <v>1.7391636942523245E-2</v>
      </c>
      <c r="V1390">
        <v>1.0415899959102578E-2</v>
      </c>
      <c r="W1390">
        <v>4.1784595087967717E-2</v>
      </c>
      <c r="X1390">
        <v>9.2081396640961138E-3</v>
      </c>
      <c r="Y1390">
        <v>2.0395626070791274E-3</v>
      </c>
    </row>
    <row r="1391" spans="1:25">
      <c r="A1391" s="876"/>
      <c r="B1391" s="1202">
        <v>1141</v>
      </c>
      <c r="C1391" s="880">
        <v>1.0371919503435441</v>
      </c>
      <c r="D1391" s="880">
        <v>1.0218404369631153</v>
      </c>
      <c r="E1391" s="880">
        <v>1.006555852738976</v>
      </c>
      <c r="F1391" s="880">
        <v>0.97506174758749464</v>
      </c>
      <c r="G1391" s="880">
        <v>0.97973847415693871</v>
      </c>
      <c r="H1391" s="880">
        <v>1.0321847673015021</v>
      </c>
      <c r="I1391" s="880">
        <v>1.0029494380226651</v>
      </c>
      <c r="K1391">
        <v>1.0689059349448333</v>
      </c>
      <c r="L1391">
        <v>0</v>
      </c>
      <c r="M1391">
        <v>6.6959984023331933E-4</v>
      </c>
      <c r="N1391">
        <v>6.8131822249700727E-2</v>
      </c>
      <c r="O1391">
        <v>8.3754780153007524E-3</v>
      </c>
      <c r="P1391">
        <v>1.267149462286213E-2</v>
      </c>
      <c r="Q1391">
        <v>2.838900902079295E-3</v>
      </c>
      <c r="R1391">
        <v>6.5862250851481748E-4</v>
      </c>
      <c r="S1391">
        <v>8.2870325379726176E-2</v>
      </c>
      <c r="T1391">
        <v>0.8153082002461659</v>
      </c>
      <c r="U1391">
        <v>1.6304242296087179E-2</v>
      </c>
      <c r="V1391">
        <v>1.0409648870778929E-2</v>
      </c>
      <c r="W1391">
        <v>4.054359905764051E-2</v>
      </c>
      <c r="X1391">
        <v>9.6706472828844512E-3</v>
      </c>
      <c r="Y1391">
        <v>1.792553353325752E-3</v>
      </c>
    </row>
    <row r="1392" spans="1:25">
      <c r="A1392" s="876"/>
      <c r="B1392" s="1202">
        <v>1142</v>
      </c>
      <c r="C1392" s="880">
        <v>0.95864933722293955</v>
      </c>
      <c r="D1392" s="880">
        <v>1.0147468849082446</v>
      </c>
      <c r="E1392" s="880">
        <v>1.0069195278740701</v>
      </c>
      <c r="F1392" s="880">
        <v>0.98426805937873696</v>
      </c>
      <c r="G1392" s="880">
        <v>1.0077561761353784</v>
      </c>
      <c r="H1392" s="880">
        <v>1.0324660086968727</v>
      </c>
      <c r="I1392" s="880">
        <v>0.99767245255629189</v>
      </c>
      <c r="K1392">
        <v>1.0879912653495343</v>
      </c>
      <c r="L1392">
        <v>0</v>
      </c>
      <c r="M1392">
        <v>7.2678642860456817E-4</v>
      </c>
      <c r="N1392">
        <v>7.4035198652147166E-2</v>
      </c>
      <c r="O1392">
        <v>9.0953519112462675E-3</v>
      </c>
      <c r="P1392">
        <v>1.2784005449104328E-2</v>
      </c>
      <c r="Q1392">
        <v>3.0824362796606831E-3</v>
      </c>
      <c r="R1392">
        <v>7.148808767043558E-4</v>
      </c>
      <c r="S1392">
        <v>8.9508229277487111E-2</v>
      </c>
      <c r="T1392">
        <v>0.81527892210939656</v>
      </c>
      <c r="U1392">
        <v>1.7640056910632081E-2</v>
      </c>
      <c r="V1392">
        <v>1.0417328047025474E-2</v>
      </c>
      <c r="W1392">
        <v>4.4045645193317398E-2</v>
      </c>
      <c r="X1392">
        <v>1.0170326985445439E-2</v>
      </c>
      <c r="Y1392">
        <v>1.9456700859715858E-3</v>
      </c>
    </row>
    <row r="1393" spans="1:25">
      <c r="A1393" s="876"/>
      <c r="B1393" s="1202">
        <v>1143</v>
      </c>
      <c r="C1393" s="880">
        <v>0.97084822357745282</v>
      </c>
      <c r="D1393" s="880">
        <v>0.99496083892166998</v>
      </c>
      <c r="E1393" s="880">
        <v>0.97313438299564237</v>
      </c>
      <c r="F1393" s="880">
        <v>0.98193750097781973</v>
      </c>
      <c r="G1393" s="880">
        <v>1.0350231291529743</v>
      </c>
      <c r="H1393" s="880">
        <v>0.98969890173931885</v>
      </c>
      <c r="I1393" s="880">
        <v>0.99019395032087942</v>
      </c>
      <c r="K1393">
        <v>1.0787292019635057</v>
      </c>
      <c r="L1393">
        <v>0</v>
      </c>
      <c r="M1393">
        <v>7.4634821125442051E-4</v>
      </c>
      <c r="N1393">
        <v>6.8389430787615196E-2</v>
      </c>
      <c r="O1393">
        <v>9.0758273296962007E-3</v>
      </c>
      <c r="P1393">
        <v>1.2462985711863122E-2</v>
      </c>
      <c r="Q1393">
        <v>2.9681965315792674E-3</v>
      </c>
      <c r="R1393">
        <v>7.3361229320890336E-4</v>
      </c>
      <c r="S1393">
        <v>8.7022208655915381E-2</v>
      </c>
      <c r="T1393">
        <v>0.81801800350429543</v>
      </c>
      <c r="U1393">
        <v>1.7418406353609875E-2</v>
      </c>
      <c r="V1393">
        <v>1.0416053847990669E-2</v>
      </c>
      <c r="W1393">
        <v>4.1645105415641169E-2</v>
      </c>
      <c r="X1393">
        <v>9.329068916457595E-3</v>
      </c>
      <c r="Y1393">
        <v>1.9966508268871733E-3</v>
      </c>
    </row>
    <row r="1394" spans="1:25">
      <c r="A1394" s="876"/>
      <c r="B1394" s="1202">
        <v>1144</v>
      </c>
      <c r="C1394" s="880">
        <v>0.96683112601168453</v>
      </c>
      <c r="D1394" s="880">
        <v>0.98248270432206353</v>
      </c>
      <c r="E1394" s="880">
        <v>1.0409441833652773</v>
      </c>
      <c r="F1394" s="880">
        <v>0.97582335048364111</v>
      </c>
      <c r="G1394" s="880">
        <v>0.98501339884319994</v>
      </c>
      <c r="H1394" s="880">
        <v>1.0059398279081604</v>
      </c>
      <c r="I1394" s="880">
        <v>1.0453571794026963</v>
      </c>
      <c r="K1394">
        <v>1.091064239303922</v>
      </c>
      <c r="L1394">
        <v>0</v>
      </c>
      <c r="M1394">
        <v>6.6473247108430862E-4</v>
      </c>
      <c r="N1394">
        <v>7.5230832483484278E-2</v>
      </c>
      <c r="O1394">
        <v>9.175146139190498E-3</v>
      </c>
      <c r="P1394">
        <v>1.3121383462845347E-2</v>
      </c>
      <c r="Q1394">
        <v>3.2084667980197264E-3</v>
      </c>
      <c r="R1394">
        <v>6.5358279414706006E-4</v>
      </c>
      <c r="S1394">
        <v>9.3468020666094984E-2</v>
      </c>
      <c r="T1394">
        <v>0.81255966150435333</v>
      </c>
      <c r="U1394">
        <v>1.7490778286908426E-2</v>
      </c>
      <c r="V1394">
        <v>1.0416469891373544E-2</v>
      </c>
      <c r="W1394">
        <v>4.3743792635583076E-2</v>
      </c>
      <c r="X1394">
        <v>1.088200020084684E-2</v>
      </c>
      <c r="Y1394">
        <v>1.7788369121581114E-3</v>
      </c>
    </row>
    <row r="1395" spans="1:25">
      <c r="A1395" s="876"/>
      <c r="B1395" s="1202">
        <v>1145</v>
      </c>
      <c r="C1395" s="880">
        <v>1.0101184173545659</v>
      </c>
      <c r="D1395" s="880">
        <v>1.0074836513398857</v>
      </c>
      <c r="E1395" s="880">
        <v>0.98520051991909219</v>
      </c>
      <c r="F1395" s="880">
        <v>1.0332695759982014</v>
      </c>
      <c r="G1395" s="880">
        <v>1.0045831262435436</v>
      </c>
      <c r="H1395" s="880">
        <v>1.0141335287252418</v>
      </c>
      <c r="I1395" s="880">
        <v>1.0041093368001608</v>
      </c>
      <c r="K1395">
        <v>1.0733663539518863</v>
      </c>
      <c r="L1395">
        <v>0</v>
      </c>
      <c r="M1395">
        <v>7.1190741185829E-4</v>
      </c>
      <c r="N1395">
        <v>6.7760108587418322E-2</v>
      </c>
      <c r="O1395">
        <v>8.6650064072146746E-3</v>
      </c>
      <c r="P1395">
        <v>1.2530285592714175E-2</v>
      </c>
      <c r="Q1395">
        <v>2.8715044583463695E-3</v>
      </c>
      <c r="R1395">
        <v>7.0004101473036774E-4</v>
      </c>
      <c r="S1395">
        <v>8.5152917355481431E-2</v>
      </c>
      <c r="T1395">
        <v>0.81703531761555015</v>
      </c>
      <c r="U1395">
        <v>1.6741234072575582E-2</v>
      </c>
      <c r="V1395">
        <v>1.0412160998459975E-2</v>
      </c>
      <c r="W1395">
        <v>4.0917657745405546E-2</v>
      </c>
      <c r="X1395">
        <v>9.3867466422099931E-3</v>
      </c>
      <c r="Y1395">
        <v>1.9052808736375758E-3</v>
      </c>
    </row>
    <row r="1396" spans="1:25">
      <c r="A1396" s="876"/>
      <c r="B1396" s="1202">
        <v>1146</v>
      </c>
      <c r="C1396" s="880">
        <v>0.98411003048815393</v>
      </c>
      <c r="D1396" s="880">
        <v>0.97888467031328152</v>
      </c>
      <c r="E1396" s="880">
        <v>0.99142840690577794</v>
      </c>
      <c r="F1396" s="880">
        <v>1.0380811672669741</v>
      </c>
      <c r="G1396" s="880">
        <v>0.99730586475820981</v>
      </c>
      <c r="H1396" s="880">
        <v>1.0301376539762153</v>
      </c>
      <c r="I1396" s="880">
        <v>0.97603310371161911</v>
      </c>
      <c r="K1396">
        <v>1.0829332188987459</v>
      </c>
      <c r="L1396">
        <v>0</v>
      </c>
      <c r="M1396">
        <v>7.4391712258163644E-4</v>
      </c>
      <c r="N1396">
        <v>7.2214908881822873E-2</v>
      </c>
      <c r="O1396">
        <v>9.0317361251008275E-3</v>
      </c>
      <c r="P1396">
        <v>1.2610337154340446E-2</v>
      </c>
      <c r="Q1396">
        <v>3.005462663340704E-3</v>
      </c>
      <c r="R1396">
        <v>7.3173568081469223E-4</v>
      </c>
      <c r="S1396">
        <v>8.6762397538245051E-2</v>
      </c>
      <c r="T1396">
        <v>0.81653003711703076</v>
      </c>
      <c r="U1396">
        <v>1.718367696909269E-2</v>
      </c>
      <c r="V1396">
        <v>1.041470446290812E-2</v>
      </c>
      <c r="W1396">
        <v>4.3420783800467273E-2</v>
      </c>
      <c r="X1396">
        <v>9.7798123215880259E-3</v>
      </c>
      <c r="Y1396">
        <v>1.9915433065752406E-3</v>
      </c>
    </row>
    <row r="1397" spans="1:25">
      <c r="A1397" s="876"/>
      <c r="B1397" s="1202">
        <v>1147</v>
      </c>
      <c r="C1397" s="880">
        <v>0.98584997096156457</v>
      </c>
      <c r="D1397" s="880">
        <v>1.0212903245652492</v>
      </c>
      <c r="E1397" s="880">
        <v>1.0118036360934899</v>
      </c>
      <c r="F1397" s="880">
        <v>1.0366875834986302</v>
      </c>
      <c r="G1397" s="880">
        <v>0.98926488091130149</v>
      </c>
      <c r="H1397" s="880">
        <v>0.9855248891939834</v>
      </c>
      <c r="I1397" s="880">
        <v>1.047741127824722</v>
      </c>
      <c r="K1397">
        <v>1.0776970317718255</v>
      </c>
      <c r="L1397">
        <v>0</v>
      </c>
      <c r="M1397">
        <v>6.6541348765269482E-4</v>
      </c>
      <c r="N1397">
        <v>6.8765306540883864E-2</v>
      </c>
      <c r="O1397">
        <v>8.8141892958881057E-3</v>
      </c>
      <c r="P1397">
        <v>1.2816023620425873E-2</v>
      </c>
      <c r="Q1397">
        <v>3.0032050755122068E-3</v>
      </c>
      <c r="R1397">
        <v>6.5398875934025212E-4</v>
      </c>
      <c r="S1397">
        <v>8.9350966012762142E-2</v>
      </c>
      <c r="T1397">
        <v>0.81488615676126619</v>
      </c>
      <c r="U1397">
        <v>1.7153349256031646E-2</v>
      </c>
      <c r="V1397">
        <v>1.041453011846598E-2</v>
      </c>
      <c r="W1397">
        <v>4.0774832410871972E-2</v>
      </c>
      <c r="X1397">
        <v>9.9499555924420658E-3</v>
      </c>
      <c r="Y1397">
        <v>1.77994181558759E-3</v>
      </c>
    </row>
    <row r="1398" spans="1:25">
      <c r="A1398" s="876"/>
      <c r="B1398" s="1202">
        <v>1148</v>
      </c>
      <c r="C1398" s="880">
        <v>1.0326612142356864</v>
      </c>
      <c r="D1398" s="880">
        <v>0.9620032420808895</v>
      </c>
      <c r="E1398" s="880">
        <v>0.98498999486647287</v>
      </c>
      <c r="F1398" s="880">
        <v>1.0272066592999358</v>
      </c>
      <c r="G1398" s="880">
        <v>1.0464901553896302</v>
      </c>
      <c r="H1398" s="880">
        <v>0.99922518363552459</v>
      </c>
      <c r="I1398" s="880">
        <v>0.98006537921670778</v>
      </c>
      <c r="K1398">
        <v>1.0690899184443918</v>
      </c>
      <c r="L1398">
        <v>0</v>
      </c>
      <c r="M1398">
        <v>7.0353699771027556E-4</v>
      </c>
      <c r="N1398">
        <v>6.6906511205313587E-2</v>
      </c>
      <c r="O1398">
        <v>8.6875525763145268E-3</v>
      </c>
      <c r="P1398">
        <v>1.2490181706670269E-2</v>
      </c>
      <c r="Q1398">
        <v>2.8683808212333203E-3</v>
      </c>
      <c r="R1398">
        <v>6.916757341377366E-4</v>
      </c>
      <c r="S1398">
        <v>8.2679605745693635E-2</v>
      </c>
      <c r="T1398">
        <v>0.81705242088659003</v>
      </c>
      <c r="U1398">
        <v>1.6375776133384291E-2</v>
      </c>
      <c r="V1398">
        <v>1.041006009621263E-2</v>
      </c>
      <c r="W1398">
        <v>4.0408085316619873E-2</v>
      </c>
      <c r="X1398">
        <v>9.3406918824522709E-3</v>
      </c>
      <c r="Y1398">
        <v>1.8825133374784394E-3</v>
      </c>
    </row>
    <row r="1399" spans="1:25">
      <c r="A1399" s="876"/>
      <c r="B1399" s="1202">
        <v>1149</v>
      </c>
      <c r="C1399" s="880">
        <v>0.99399760617072574</v>
      </c>
      <c r="D1399" s="880">
        <v>0.96015571159833801</v>
      </c>
      <c r="E1399" s="880">
        <v>0.98547624759101982</v>
      </c>
      <c r="F1399" s="880">
        <v>1.0006551408777744</v>
      </c>
      <c r="G1399" s="880">
        <v>0.98011129785991868</v>
      </c>
      <c r="H1399" s="880">
        <v>1.0420775610533801</v>
      </c>
      <c r="I1399" s="880">
        <v>0.99530735980022778</v>
      </c>
      <c r="K1399">
        <v>1.0861686800250878</v>
      </c>
      <c r="L1399">
        <v>0</v>
      </c>
      <c r="M1399">
        <v>7.622514776176591E-4</v>
      </c>
      <c r="N1399">
        <v>7.2651503666718353E-2</v>
      </c>
      <c r="O1399">
        <v>9.0347652559886436E-3</v>
      </c>
      <c r="P1399">
        <v>1.2586643692876393E-2</v>
      </c>
      <c r="Q1399">
        <v>2.9840549745648193E-3</v>
      </c>
      <c r="R1399">
        <v>7.4993055436954322E-4</v>
      </c>
      <c r="S1399">
        <v>8.8883179725868053E-2</v>
      </c>
      <c r="T1399">
        <v>0.81701291948767041</v>
      </c>
      <c r="U1399">
        <v>1.7012746067969754E-2</v>
      </c>
      <c r="V1399">
        <v>1.0413721835153161E-2</v>
      </c>
      <c r="W1399">
        <v>4.3863016857833413E-2</v>
      </c>
      <c r="X1399">
        <v>9.6973856292398436E-3</v>
      </c>
      <c r="Y1399">
        <v>2.0410637544530895E-3</v>
      </c>
    </row>
    <row r="1400" spans="1:25">
      <c r="A1400" s="876"/>
      <c r="B1400" s="1202">
        <v>1150</v>
      </c>
      <c r="C1400" s="880">
        <v>0.97651750843450635</v>
      </c>
      <c r="D1400" s="880">
        <v>1.0128880408335053</v>
      </c>
      <c r="E1400" s="880">
        <v>0.99751086620974116</v>
      </c>
      <c r="F1400" s="880">
        <v>0.99444194877524228</v>
      </c>
      <c r="G1400" s="880">
        <v>1.0090179398362216</v>
      </c>
      <c r="H1400" s="880">
        <v>0.99739779438691267</v>
      </c>
      <c r="I1400" s="880">
        <v>1.0231059228251953</v>
      </c>
      <c r="K1400">
        <v>1.0801697755375788</v>
      </c>
      <c r="L1400">
        <v>0</v>
      </c>
      <c r="M1400">
        <v>7.0373689360339175E-4</v>
      </c>
      <c r="N1400">
        <v>6.9578981356413716E-2</v>
      </c>
      <c r="O1400">
        <v>8.9376496444712496E-3</v>
      </c>
      <c r="P1400">
        <v>1.2692126057468375E-2</v>
      </c>
      <c r="Q1400">
        <v>3.0001055592563429E-3</v>
      </c>
      <c r="R1400">
        <v>6.918051948601137E-4</v>
      </c>
      <c r="S1400">
        <v>8.8888024880711416E-2</v>
      </c>
      <c r="T1400">
        <v>0.81603782530573454</v>
      </c>
      <c r="U1400">
        <v>1.7317281789511894E-2</v>
      </c>
      <c r="V1400">
        <v>1.0415472514816088E-2</v>
      </c>
      <c r="W1400">
        <v>4.1661449958344483E-2</v>
      </c>
      <c r="X1400">
        <v>9.7699244827045752E-3</v>
      </c>
      <c r="Y1400">
        <v>1.8828656868880344E-3</v>
      </c>
    </row>
    <row r="1401" spans="1:25">
      <c r="A1401" s="876"/>
      <c r="B1401" s="1202">
        <v>1151</v>
      </c>
      <c r="C1401" s="880">
        <v>0.99910269456979028</v>
      </c>
      <c r="D1401" s="880">
        <v>1.044105231654628</v>
      </c>
      <c r="E1401" s="880">
        <v>1.0402576949800766</v>
      </c>
      <c r="F1401" s="880">
        <v>1.0011526595268221</v>
      </c>
      <c r="G1401" s="880">
        <v>1.033116238573826</v>
      </c>
      <c r="H1401" s="880">
        <v>1.0283820311496803</v>
      </c>
      <c r="I1401" s="880">
        <v>0.95859835002273763</v>
      </c>
      <c r="K1401">
        <v>1.0718394422833148</v>
      </c>
      <c r="L1401">
        <v>0</v>
      </c>
      <c r="M1401">
        <v>6.3762188124165571E-4</v>
      </c>
      <c r="N1401">
        <v>7.2030565107757724E-2</v>
      </c>
      <c r="O1401">
        <v>8.5957138001447487E-3</v>
      </c>
      <c r="P1401">
        <v>1.2935545370091459E-2</v>
      </c>
      <c r="Q1401">
        <v>3.0174209668502546E-3</v>
      </c>
      <c r="R1401">
        <v>6.2711375219044665E-4</v>
      </c>
      <c r="S1401">
        <v>8.1222153376067252E-2</v>
      </c>
      <c r="T1401">
        <v>0.81261413524258941</v>
      </c>
      <c r="U1401">
        <v>1.6925816493002285E-2</v>
      </c>
      <c r="V1401">
        <v>1.0413222104486995E-2</v>
      </c>
      <c r="W1401">
        <v>4.1902093025909429E-2</v>
      </c>
      <c r="X1401">
        <v>1.0486488019996607E-2</v>
      </c>
      <c r="Y1401">
        <v>1.7067969054695461E-3</v>
      </c>
    </row>
    <row r="1402" spans="1:25">
      <c r="A1402" s="876"/>
      <c r="B1402" s="1202">
        <v>1152</v>
      </c>
      <c r="C1402" s="880">
        <v>0.9918030702020576</v>
      </c>
      <c r="D1402" s="880">
        <v>1.0151295983058344</v>
      </c>
      <c r="E1402" s="880">
        <v>1.0080105979083709</v>
      </c>
      <c r="F1402" s="880">
        <v>1.0006297319882775</v>
      </c>
      <c r="G1402" s="880">
        <v>1.0221223567710664</v>
      </c>
      <c r="H1402" s="880">
        <v>1.024714715488138</v>
      </c>
      <c r="I1402" s="880">
        <v>1.0006071432800381</v>
      </c>
      <c r="K1402">
        <v>1.078789644921432</v>
      </c>
      <c r="L1402">
        <v>0</v>
      </c>
      <c r="M1402">
        <v>6.9547626392177787E-4</v>
      </c>
      <c r="N1402">
        <v>7.1077510265972532E-2</v>
      </c>
      <c r="O1402">
        <v>8.7895497456225141E-3</v>
      </c>
      <c r="P1402">
        <v>1.274339367531604E-2</v>
      </c>
      <c r="Q1402">
        <v>2.9821378860770192E-3</v>
      </c>
      <c r="R1402">
        <v>6.839971128011561E-4</v>
      </c>
      <c r="S1402">
        <v>8.6476999885232705E-2</v>
      </c>
      <c r="T1402">
        <v>0.81519111110628895</v>
      </c>
      <c r="U1402">
        <v>1.7050389713461175E-2</v>
      </c>
      <c r="V1402">
        <v>1.041393823657979E-2</v>
      </c>
      <c r="W1402">
        <v>4.225463903021253E-2</v>
      </c>
      <c r="X1402">
        <v>9.9598398663314266E-3</v>
      </c>
      <c r="Y1402">
        <v>1.8616146614571108E-3</v>
      </c>
    </row>
    <row r="1403" spans="1:25">
      <c r="A1403" s="876"/>
      <c r="B1403" s="1202">
        <v>1153</v>
      </c>
      <c r="C1403" s="880">
        <v>1.0015921887208123</v>
      </c>
      <c r="D1403" s="880">
        <v>1.0008800318908104</v>
      </c>
      <c r="E1403" s="880">
        <v>1.033031581046661</v>
      </c>
      <c r="F1403" s="880">
        <v>0.9777786801865842</v>
      </c>
      <c r="G1403" s="880">
        <v>1.0100865731608355</v>
      </c>
      <c r="H1403" s="880">
        <v>0.99106677456358172</v>
      </c>
      <c r="I1403" s="880">
        <v>1.0226866757542783</v>
      </c>
      <c r="K1403">
        <v>1.0755659559057902</v>
      </c>
      <c r="L1403">
        <v>0</v>
      </c>
      <c r="M1403">
        <v>6.365388432712899E-4</v>
      </c>
      <c r="N1403">
        <v>7.0273338342829825E-2</v>
      </c>
      <c r="O1403">
        <v>8.769455854768668E-3</v>
      </c>
      <c r="P1403">
        <v>1.2955133901800593E-2</v>
      </c>
      <c r="Q1403">
        <v>3.0470292539060075E-3</v>
      </c>
      <c r="R1403">
        <v>6.2568700862655898E-4</v>
      </c>
      <c r="S1403">
        <v>8.6911899496730574E-2</v>
      </c>
      <c r="T1403">
        <v>0.81318851368832035</v>
      </c>
      <c r="U1403">
        <v>1.6883746754804325E-2</v>
      </c>
      <c r="V1403">
        <v>1.0412980258851562E-2</v>
      </c>
      <c r="W1403">
        <v>4.1077389612914995E-2</v>
      </c>
      <c r="X1403">
        <v>1.0354406795693589E-2</v>
      </c>
      <c r="Y1403">
        <v>1.702913779814533E-3</v>
      </c>
    </row>
    <row r="1404" spans="1:25">
      <c r="A1404" s="876"/>
      <c r="B1404" s="1202">
        <v>1154</v>
      </c>
      <c r="C1404" s="880">
        <v>0.99449495832240364</v>
      </c>
      <c r="D1404" s="880">
        <v>0.98403290550887113</v>
      </c>
      <c r="E1404" s="880">
        <v>0.98568565556923271</v>
      </c>
      <c r="F1404" s="880">
        <v>1.0015544777662673</v>
      </c>
      <c r="G1404" s="880">
        <v>1.0286066166640133</v>
      </c>
      <c r="H1404" s="880">
        <v>1.016223252010453</v>
      </c>
      <c r="I1404" s="880">
        <v>0.99662171278816791</v>
      </c>
      <c r="K1404">
        <v>1.0793325090857657</v>
      </c>
      <c r="L1404">
        <v>0</v>
      </c>
      <c r="M1404">
        <v>7.3297354343853272E-4</v>
      </c>
      <c r="N1404">
        <v>6.9875177830382385E-2</v>
      </c>
      <c r="O1404">
        <v>8.9124130721611704E-3</v>
      </c>
      <c r="P1404">
        <v>1.2561990577056804E-2</v>
      </c>
      <c r="Q1404">
        <v>2.949741920865427E-3</v>
      </c>
      <c r="R1404">
        <v>7.2080223660266822E-4</v>
      </c>
      <c r="S1404">
        <v>8.6935160863502906E-2</v>
      </c>
      <c r="T1404">
        <v>0.81699591041422137</v>
      </c>
      <c r="U1404">
        <v>1.700423790431136E-2</v>
      </c>
      <c r="V1404">
        <v>1.0413672924407943E-2</v>
      </c>
      <c r="W1404">
        <v>4.218071707833717E-2</v>
      </c>
      <c r="X1404">
        <v>9.553871731716285E-3</v>
      </c>
      <c r="Y1404">
        <v>1.9617860756390268E-3</v>
      </c>
    </row>
    <row r="1405" spans="1:25">
      <c r="A1405" s="876"/>
      <c r="B1405" s="1202">
        <v>1155</v>
      </c>
      <c r="C1405" s="880">
        <v>0.99459159283567089</v>
      </c>
      <c r="D1405" s="880">
        <v>1.007304741534399</v>
      </c>
      <c r="E1405" s="880">
        <v>1.0023752209996979</v>
      </c>
      <c r="F1405" s="880">
        <v>0.98180046275208888</v>
      </c>
      <c r="G1405" s="880">
        <v>1.0112891049198305</v>
      </c>
      <c r="H1405" s="880">
        <v>1.0322247093988275</v>
      </c>
      <c r="I1405" s="880">
        <v>0.98894767008670381</v>
      </c>
      <c r="K1405">
        <v>1.0789450884663867</v>
      </c>
      <c r="L1405">
        <v>0</v>
      </c>
      <c r="M1405">
        <v>7.0986938339500749E-4</v>
      </c>
      <c r="N1405">
        <v>7.1297484553595386E-2</v>
      </c>
      <c r="O1405">
        <v>8.8011109430337631E-3</v>
      </c>
      <c r="P1405">
        <v>1.268674588160346E-2</v>
      </c>
      <c r="Q1405">
        <v>2.967534351612398E-3</v>
      </c>
      <c r="R1405">
        <v>6.9824448797623081E-4</v>
      </c>
      <c r="S1405">
        <v>8.5824625168696406E-2</v>
      </c>
      <c r="T1405">
        <v>0.81564509047274603</v>
      </c>
      <c r="U1405">
        <v>1.7002585772657345E-2</v>
      </c>
      <c r="V1405">
        <v>1.041366342682497E-2</v>
      </c>
      <c r="W1405">
        <v>4.2548569355030243E-2</v>
      </c>
      <c r="X1405">
        <v>9.8689121159667333E-3</v>
      </c>
      <c r="Y1405">
        <v>1.9003913200377003E-3</v>
      </c>
    </row>
    <row r="1406" spans="1:25">
      <c r="A1406" s="876"/>
      <c r="B1406" s="1202">
        <v>1156</v>
      </c>
      <c r="C1406" s="880">
        <v>0.98101093180317223</v>
      </c>
      <c r="D1406" s="880">
        <v>0.97145376301326225</v>
      </c>
      <c r="E1406" s="880">
        <v>0.98284557951294838</v>
      </c>
      <c r="F1406" s="880">
        <v>1.0342515289209173</v>
      </c>
      <c r="G1406" s="880">
        <v>1.0216885337016386</v>
      </c>
      <c r="H1406" s="880">
        <v>1.0103422000044391</v>
      </c>
      <c r="I1406" s="880">
        <v>0.99550060240489746</v>
      </c>
      <c r="K1406">
        <v>1.0829671469431936</v>
      </c>
      <c r="L1406">
        <v>0</v>
      </c>
      <c r="M1406">
        <v>7.4828401240417859E-4</v>
      </c>
      <c r="N1406">
        <v>7.0700685556553441E-2</v>
      </c>
      <c r="O1406">
        <v>9.097249128895625E-3</v>
      </c>
      <c r="P1406">
        <v>1.2560760220340391E-2</v>
      </c>
      <c r="Q1406">
        <v>2.9993469420212409E-3</v>
      </c>
      <c r="R1406">
        <v>7.3579805903087445E-4</v>
      </c>
      <c r="S1406">
        <v>8.8381933052421563E-2</v>
      </c>
      <c r="T1406">
        <v>0.81722672090143267</v>
      </c>
      <c r="U1406">
        <v>1.7237961696175357E-2</v>
      </c>
      <c r="V1406">
        <v>1.0415016528656024E-2</v>
      </c>
      <c r="W1406">
        <v>4.2762980220405936E-2</v>
      </c>
      <c r="X1406">
        <v>9.5943788887470939E-3</v>
      </c>
      <c r="Y1406">
        <v>2.0025997609170692E-3</v>
      </c>
    </row>
    <row r="1407" spans="1:25">
      <c r="A1407" s="876"/>
      <c r="B1407" s="1202">
        <v>1157</v>
      </c>
      <c r="C1407" s="880">
        <v>1.0160035647243633</v>
      </c>
      <c r="D1407" s="880">
        <v>0.99061285477159322</v>
      </c>
      <c r="E1407" s="880">
        <v>0.98144138809128878</v>
      </c>
      <c r="F1407" s="880">
        <v>1.0174771078906193</v>
      </c>
      <c r="G1407" s="880">
        <v>1.0214361493614403</v>
      </c>
      <c r="H1407" s="880">
        <v>1.0204692280524199</v>
      </c>
      <c r="I1407" s="880">
        <v>1.0433912122266682</v>
      </c>
      <c r="K1407">
        <v>1.0781483823040161</v>
      </c>
      <c r="L1407">
        <v>0</v>
      </c>
      <c r="M1407">
        <v>7.2433017002665522E-4</v>
      </c>
      <c r="N1407">
        <v>6.8148536904145171E-2</v>
      </c>
      <c r="O1407">
        <v>8.6927526836145207E-3</v>
      </c>
      <c r="P1407">
        <v>1.2548511584354011E-2</v>
      </c>
      <c r="Q1407">
        <v>2.866115139878262E-3</v>
      </c>
      <c r="R1407">
        <v>7.1234653959396151E-4</v>
      </c>
      <c r="S1407">
        <v>8.894896257261016E-2</v>
      </c>
      <c r="T1407">
        <v>0.81734093920172501</v>
      </c>
      <c r="U1407">
        <v>1.6644261352114571E-2</v>
      </c>
      <c r="V1407">
        <v>1.0411603532922892E-2</v>
      </c>
      <c r="W1407">
        <v>4.1259446382287311E-2</v>
      </c>
      <c r="X1407">
        <v>9.3604641249960662E-3</v>
      </c>
      <c r="Y1407">
        <v>1.9387724558010966E-3</v>
      </c>
    </row>
    <row r="1408" spans="1:25">
      <c r="A1408" s="876"/>
      <c r="B1408" s="1202">
        <v>1158</v>
      </c>
      <c r="C1408" s="880">
        <v>1.0168955632710295</v>
      </c>
      <c r="D1408" s="880">
        <v>0.98310193299621562</v>
      </c>
      <c r="E1408" s="880">
        <v>1.0142967567417718</v>
      </c>
      <c r="F1408" s="880">
        <v>0.997233381538563</v>
      </c>
      <c r="G1408" s="880">
        <v>0.98121025320814637</v>
      </c>
      <c r="H1408" s="880">
        <v>1.0148672913854846</v>
      </c>
      <c r="I1408" s="880">
        <v>1.0026166307614315</v>
      </c>
      <c r="K1408">
        <v>1.0753848541437447</v>
      </c>
      <c r="L1408">
        <v>0</v>
      </c>
      <c r="M1408">
        <v>6.7435153923127043E-4</v>
      </c>
      <c r="N1408">
        <v>7.0269893079934045E-2</v>
      </c>
      <c r="O1408">
        <v>8.7204942102609134E-3</v>
      </c>
      <c r="P1408">
        <v>1.2776818189703536E-2</v>
      </c>
      <c r="Q1408">
        <v>2.9702235782207158E-3</v>
      </c>
      <c r="R1408">
        <v>6.6313949673331961E-4</v>
      </c>
      <c r="S1408">
        <v>8.5523726839779726E-2</v>
      </c>
      <c r="T1408">
        <v>0.81468598054423735</v>
      </c>
      <c r="U1408">
        <v>1.6629661370098098E-2</v>
      </c>
      <c r="V1408">
        <v>1.0411519602238305E-2</v>
      </c>
      <c r="W1408">
        <v>4.1596610279124167E-2</v>
      </c>
      <c r="X1408">
        <v>1.0006291386413084E-2</v>
      </c>
      <c r="Y1408">
        <v>1.8048471062317489E-3</v>
      </c>
    </row>
    <row r="1409" spans="1:25">
      <c r="A1409" s="876"/>
      <c r="B1409" s="1202">
        <v>1159</v>
      </c>
      <c r="C1409" s="880">
        <v>0.99473203741899185</v>
      </c>
      <c r="D1409" s="880">
        <v>1.0026984095658698</v>
      </c>
      <c r="E1409" s="880">
        <v>0.96167877002688029</v>
      </c>
      <c r="F1409" s="880">
        <v>0.99452625860909982</v>
      </c>
      <c r="G1409" s="880">
        <v>0.95947163235529209</v>
      </c>
      <c r="H1409" s="880">
        <v>0.97335057961538329</v>
      </c>
      <c r="I1409" s="880">
        <v>0.95962154946238387</v>
      </c>
      <c r="K1409">
        <v>1.0668484194168038</v>
      </c>
      <c r="L1409">
        <v>0</v>
      </c>
      <c r="M1409">
        <v>7.3077914719902703E-4</v>
      </c>
      <c r="N1409">
        <v>6.4593235864998336E-2</v>
      </c>
      <c r="O1409">
        <v>8.8213929037460528E-3</v>
      </c>
      <c r="P1409">
        <v>1.2286345230835865E-2</v>
      </c>
      <c r="Q1409">
        <v>2.8530060030405005E-3</v>
      </c>
      <c r="R1409">
        <v>7.1809223696538626E-4</v>
      </c>
      <c r="S1409">
        <v>8.1430432166950589E-2</v>
      </c>
      <c r="T1409">
        <v>0.81895551819764989</v>
      </c>
      <c r="U1409">
        <v>1.7000185205485081E-2</v>
      </c>
      <c r="V1409">
        <v>1.0413649626722607E-2</v>
      </c>
      <c r="W1409">
        <v>3.9650158112478365E-2</v>
      </c>
      <c r="X1409">
        <v>8.9027726651525231E-3</v>
      </c>
      <c r="Y1409">
        <v>1.954410349977486E-3</v>
      </c>
    </row>
    <row r="1410" spans="1:25">
      <c r="A1410" s="876"/>
      <c r="B1410" s="1202">
        <v>1160</v>
      </c>
      <c r="C1410" s="880">
        <v>1.0120007584833794</v>
      </c>
      <c r="D1410" s="880">
        <v>0.99653999646031044</v>
      </c>
      <c r="E1410" s="880">
        <v>1.0410521136221205</v>
      </c>
      <c r="F1410" s="880">
        <v>1.0199964669252</v>
      </c>
      <c r="G1410" s="880">
        <v>1.011279356444188</v>
      </c>
      <c r="H1410" s="880">
        <v>0.9916111781536916</v>
      </c>
      <c r="I1410" s="880">
        <v>0.97488666834240756</v>
      </c>
      <c r="K1410">
        <v>1.0698450420543659</v>
      </c>
      <c r="L1410">
        <v>0</v>
      </c>
      <c r="M1410">
        <v>6.2115659244186302E-4</v>
      </c>
      <c r="N1410">
        <v>7.0304076607727126E-2</v>
      </c>
      <c r="O1410">
        <v>8.6993998311088866E-3</v>
      </c>
      <c r="P1410">
        <v>1.2952682024439569E-2</v>
      </c>
      <c r="Q1410">
        <v>3.045670050714011E-3</v>
      </c>
      <c r="R1410">
        <v>6.1057618968665011E-4</v>
      </c>
      <c r="S1410">
        <v>8.219400112547251E-2</v>
      </c>
      <c r="T1410">
        <v>0.81255109856486663</v>
      </c>
      <c r="U1410">
        <v>1.6710095051010909E-2</v>
      </c>
      <c r="V1410">
        <v>1.0411981990061568E-2</v>
      </c>
      <c r="W1410">
        <v>4.0876142287006673E-2</v>
      </c>
      <c r="X1410">
        <v>1.0448687812771626E-2</v>
      </c>
      <c r="Y1410">
        <v>1.6617871119402263E-3</v>
      </c>
    </row>
    <row r="1411" spans="1:25">
      <c r="A1411" s="876"/>
      <c r="B1411" s="1202">
        <v>1161</v>
      </c>
      <c r="C1411" s="880">
        <v>0.97578294216915673</v>
      </c>
      <c r="D1411" s="880">
        <v>0.97478676367515993</v>
      </c>
      <c r="E1411" s="880">
        <v>0.98920648078898576</v>
      </c>
      <c r="F1411" s="880">
        <v>1.000935380927519</v>
      </c>
      <c r="G1411" s="880">
        <v>0.99783486675720079</v>
      </c>
      <c r="H1411" s="880">
        <v>1.023110356380478</v>
      </c>
      <c r="I1411" s="880">
        <v>1.0405582285922192</v>
      </c>
      <c r="K1411">
        <v>1.0901869008008329</v>
      </c>
      <c r="L1411">
        <v>0</v>
      </c>
      <c r="M1411">
        <v>7.5031344489629305E-4</v>
      </c>
      <c r="N1411">
        <v>7.2325819074662456E-2</v>
      </c>
      <c r="O1411">
        <v>9.1292566469070181E-3</v>
      </c>
      <c r="P1411">
        <v>1.2680991038213707E-2</v>
      </c>
      <c r="Q1411">
        <v>3.0301411757491701E-3</v>
      </c>
      <c r="R1411">
        <v>7.3794672558464593E-4</v>
      </c>
      <c r="S1411">
        <v>9.3211801663031404E-2</v>
      </c>
      <c r="T1411">
        <v>0.81671015540851</v>
      </c>
      <c r="U1411">
        <v>1.7330318183632322E-2</v>
      </c>
      <c r="V1411">
        <v>1.0415547456927784E-2</v>
      </c>
      <c r="W1411">
        <v>4.3554086491373739E-2</v>
      </c>
      <c r="X1411">
        <v>9.8027026581669115E-3</v>
      </c>
      <c r="Y1411">
        <v>2.0084477229686962E-3</v>
      </c>
    </row>
    <row r="1412" spans="1:25">
      <c r="A1412" s="876"/>
      <c r="B1412" s="1202">
        <v>1162</v>
      </c>
      <c r="C1412" s="880">
        <v>1.0061368961576265</v>
      </c>
      <c r="D1412" s="880">
        <v>0.9906297694322761</v>
      </c>
      <c r="E1412" s="880">
        <v>0.99967141868467835</v>
      </c>
      <c r="F1412" s="880">
        <v>0.98814612888806164</v>
      </c>
      <c r="G1412" s="880">
        <v>0.99641039080232774</v>
      </c>
      <c r="H1412" s="880">
        <v>1.0141582003394454</v>
      </c>
      <c r="I1412" s="880">
        <v>1.0234996626454249</v>
      </c>
      <c r="K1412">
        <v>1.0782922346964621</v>
      </c>
      <c r="L1412">
        <v>0</v>
      </c>
      <c r="M1412">
        <v>6.9956496333451205E-4</v>
      </c>
      <c r="N1412">
        <v>6.9654804145970833E-2</v>
      </c>
      <c r="O1412">
        <v>8.7779180523062453E-3</v>
      </c>
      <c r="P1412">
        <v>1.268948347893988E-2</v>
      </c>
      <c r="Q1412">
        <v>2.9480062651325266E-3</v>
      </c>
      <c r="R1412">
        <v>6.8791902098420217E-4</v>
      </c>
      <c r="S1412">
        <v>8.7877414625077796E-2</v>
      </c>
      <c r="T1412">
        <v>0.81586328891044479</v>
      </c>
      <c r="U1412">
        <v>1.6807483087572898E-2</v>
      </c>
      <c r="V1412">
        <v>1.0412541843119709E-2</v>
      </c>
      <c r="W1412">
        <v>4.164517807832236E-2</v>
      </c>
      <c r="X1412">
        <v>9.7554733492493106E-3</v>
      </c>
      <c r="Y1412">
        <v>1.8722888026746775E-3</v>
      </c>
    </row>
    <row r="1413" spans="1:25">
      <c r="A1413" s="876"/>
      <c r="B1413" s="1202">
        <v>1163</v>
      </c>
      <c r="C1413" s="880">
        <v>0.97989478970825972</v>
      </c>
      <c r="D1413" s="880">
        <v>0.97347678153857553</v>
      </c>
      <c r="E1413" s="880">
        <v>0.96334651511443004</v>
      </c>
      <c r="F1413" s="880">
        <v>0.98914414526634054</v>
      </c>
      <c r="G1413" s="880">
        <v>1.0295550083027278</v>
      </c>
      <c r="H1413" s="880">
        <v>1.0085144771271064</v>
      </c>
      <c r="I1413" s="880">
        <v>0.98760154614371454</v>
      </c>
      <c r="K1413">
        <v>1.0813979746683526</v>
      </c>
      <c r="L1413">
        <v>0</v>
      </c>
      <c r="M1413">
        <v>7.7812741023642392E-4</v>
      </c>
      <c r="N1413">
        <v>6.9182272966048924E-2</v>
      </c>
      <c r="O1413">
        <v>9.097486345812214E-3</v>
      </c>
      <c r="P1413">
        <v>1.2386007029586728E-2</v>
      </c>
      <c r="Q1413">
        <v>2.9408028247912828E-3</v>
      </c>
      <c r="R1413">
        <v>7.651179445671716E-4</v>
      </c>
      <c r="S1413">
        <v>8.7622474366956721E-2</v>
      </c>
      <c r="T1413">
        <v>0.81881875660256798</v>
      </c>
      <c r="U1413">
        <v>1.7257596472155044E-2</v>
      </c>
      <c r="V1413">
        <v>1.0415129402780672E-2</v>
      </c>
      <c r="W1413">
        <v>4.2417386398289264E-2</v>
      </c>
      <c r="X1413">
        <v>9.1906729009833144E-3</v>
      </c>
      <c r="Y1413">
        <v>2.0823988240492009E-3</v>
      </c>
    </row>
    <row r="1414" spans="1:25">
      <c r="A1414" s="876"/>
      <c r="B1414" s="1202">
        <v>1164</v>
      </c>
      <c r="C1414" s="880">
        <v>0.96420090047154272</v>
      </c>
      <c r="D1414" s="880">
        <v>1.0117692825813236</v>
      </c>
      <c r="E1414" s="880">
        <v>1.0207681830718864</v>
      </c>
      <c r="F1414" s="880">
        <v>0.99923979395058515</v>
      </c>
      <c r="G1414" s="880">
        <v>0.95217225296742425</v>
      </c>
      <c r="H1414" s="880">
        <v>1.0328175567044944</v>
      </c>
      <c r="I1414" s="880">
        <v>1.00605863690882</v>
      </c>
      <c r="K1414">
        <v>1.0882417878814221</v>
      </c>
      <c r="L1414">
        <v>0</v>
      </c>
      <c r="M1414">
        <v>7.031245253663153E-4</v>
      </c>
      <c r="N1414">
        <v>7.4775612553788659E-2</v>
      </c>
      <c r="O1414">
        <v>9.0571481743061729E-3</v>
      </c>
      <c r="P1414">
        <v>1.2903689442302827E-2</v>
      </c>
      <c r="Q1414">
        <v>3.1115071323156596E-3</v>
      </c>
      <c r="R1414">
        <v>6.9161297168876491E-4</v>
      </c>
      <c r="S1414">
        <v>8.9885334983260692E-2</v>
      </c>
      <c r="T1414">
        <v>0.8141673687328328</v>
      </c>
      <c r="U1414">
        <v>1.7538491052727912E-2</v>
      </c>
      <c r="V1414">
        <v>1.0416744176992157E-2</v>
      </c>
      <c r="W1414">
        <v>4.4070594117390657E-2</v>
      </c>
      <c r="X1414">
        <v>1.044446655040053E-2</v>
      </c>
      <c r="Y1414">
        <v>1.8823425187819744E-3</v>
      </c>
    </row>
    <row r="1415" spans="1:25">
      <c r="A1415" s="876"/>
      <c r="B1415" s="1202">
        <v>1165</v>
      </c>
      <c r="C1415" s="880">
        <v>1.0382212992328406</v>
      </c>
      <c r="D1415" s="880">
        <v>1.0168699636658818</v>
      </c>
      <c r="E1415" s="880">
        <v>1.0403787383905412</v>
      </c>
      <c r="F1415" s="880">
        <v>0.98516029292098828</v>
      </c>
      <c r="G1415" s="880">
        <v>1.0287036424797245</v>
      </c>
      <c r="H1415" s="880">
        <v>1.011987977957983</v>
      </c>
      <c r="I1415" s="880">
        <v>1.0196528619114629</v>
      </c>
      <c r="K1415">
        <v>1.0685850385697977</v>
      </c>
      <c r="L1415">
        <v>0</v>
      </c>
      <c r="M1415">
        <v>6.1218468434387464E-4</v>
      </c>
      <c r="N1415">
        <v>6.9166433272676395E-2</v>
      </c>
      <c r="O1415">
        <v>8.3889195404105166E-3</v>
      </c>
      <c r="P1415">
        <v>1.2961910461981835E-2</v>
      </c>
      <c r="Q1415">
        <v>2.9394451224088133E-3</v>
      </c>
      <c r="R1415">
        <v>6.0195194783702901E-4</v>
      </c>
      <c r="S1415">
        <v>8.3668433042403789E-2</v>
      </c>
      <c r="T1415">
        <v>0.81260452912212899</v>
      </c>
      <c r="U1415">
        <v>1.6288077386245069E-2</v>
      </c>
      <c r="V1415">
        <v>1.040955594381862E-2</v>
      </c>
      <c r="W1415">
        <v>4.0232711126742642E-2</v>
      </c>
      <c r="X1415">
        <v>1.029694151887941E-2</v>
      </c>
      <c r="Y1415">
        <v>1.6383147686061185E-3</v>
      </c>
    </row>
    <row r="1416" spans="1:25">
      <c r="A1416" s="876"/>
      <c r="B1416" s="1202">
        <v>1166</v>
      </c>
      <c r="C1416" s="880">
        <v>0.9883926720254339</v>
      </c>
      <c r="D1416" s="880">
        <v>0.98405601107993612</v>
      </c>
      <c r="E1416" s="880">
        <v>0.99196689078942069</v>
      </c>
      <c r="F1416" s="880">
        <v>0.98490450950727582</v>
      </c>
      <c r="G1416" s="880">
        <v>1.0093663468365561</v>
      </c>
      <c r="H1416" s="880">
        <v>0.97974687053102127</v>
      </c>
      <c r="I1416" s="880">
        <v>1.0062018779736766</v>
      </c>
      <c r="K1416">
        <v>1.0761780954792894</v>
      </c>
      <c r="L1416">
        <v>0</v>
      </c>
      <c r="M1416">
        <v>7.0169101507962792E-4</v>
      </c>
      <c r="N1416">
        <v>6.8171251416603615E-2</v>
      </c>
      <c r="O1416">
        <v>8.9673254039017609E-3</v>
      </c>
      <c r="P1416">
        <v>1.26166920625149E-2</v>
      </c>
      <c r="Q1416">
        <v>2.9868367201239757E-3</v>
      </c>
      <c r="R1416">
        <v>6.8960534250310664E-4</v>
      </c>
      <c r="S1416">
        <v>8.6972600971174346E-2</v>
      </c>
      <c r="T1416">
        <v>0.81648641064810457</v>
      </c>
      <c r="U1416">
        <v>1.7109221207901894E-2</v>
      </c>
      <c r="V1416">
        <v>1.0414276440256963E-2</v>
      </c>
      <c r="W1416">
        <v>4.0974259079828233E-2</v>
      </c>
      <c r="X1416">
        <v>9.6144287875020544E-3</v>
      </c>
      <c r="Y1416">
        <v>1.8768784139533959E-3</v>
      </c>
    </row>
    <row r="1417" spans="1:25">
      <c r="A1417" s="876"/>
      <c r="B1417" s="1202">
        <v>1167</v>
      </c>
      <c r="C1417" s="880">
        <v>0.97377573381819083</v>
      </c>
      <c r="D1417" s="880">
        <v>0.97791461032619398</v>
      </c>
      <c r="E1417" s="880">
        <v>0.98064831961708898</v>
      </c>
      <c r="F1417" s="880">
        <v>0.96403333113714151</v>
      </c>
      <c r="G1417" s="880">
        <v>0.99546082361434796</v>
      </c>
      <c r="H1417" s="880">
        <v>1.0077050948021526</v>
      </c>
      <c r="I1417" s="880">
        <v>1.0037278282491802</v>
      </c>
      <c r="K1417">
        <v>1.0842440049143511</v>
      </c>
      <c r="L1417">
        <v>0</v>
      </c>
      <c r="M1417">
        <v>7.5268786664173075E-4</v>
      </c>
      <c r="N1417">
        <v>7.0627905644962102E-2</v>
      </c>
      <c r="O1417">
        <v>9.1324236791096788E-3</v>
      </c>
      <c r="P1417">
        <v>1.2557372207732332E-2</v>
      </c>
      <c r="Q1417">
        <v>3.0057379680246618E-3</v>
      </c>
      <c r="R1417">
        <v>7.4008936365760293E-4</v>
      </c>
      <c r="S1417">
        <v>8.9379234766942095E-2</v>
      </c>
      <c r="T1417">
        <v>0.81740547765507821</v>
      </c>
      <c r="U1417">
        <v>1.7366040535478845E-2</v>
      </c>
      <c r="V1417">
        <v>1.0415752813444149E-2</v>
      </c>
      <c r="W1417">
        <v>4.2784061147101995E-2</v>
      </c>
      <c r="X1417">
        <v>9.568317721978855E-3</v>
      </c>
      <c r="Y1417">
        <v>2.0142792774828339E-3</v>
      </c>
    </row>
    <row r="1418" spans="1:25">
      <c r="A1418" s="876"/>
      <c r="B1418" s="1202">
        <v>1168</v>
      </c>
      <c r="C1418" s="880">
        <v>0.98685409679907299</v>
      </c>
      <c r="D1418" s="880">
        <v>0.98068006044654099</v>
      </c>
      <c r="E1418" s="880">
        <v>1.0362092247055474</v>
      </c>
      <c r="F1418" s="880">
        <v>1.0154670563571451</v>
      </c>
      <c r="G1418" s="880">
        <v>0.97140966107914006</v>
      </c>
      <c r="H1418" s="880">
        <v>1.0403189558237025</v>
      </c>
      <c r="I1418" s="880">
        <v>1.032827505009051</v>
      </c>
      <c r="K1418">
        <v>1.090416692362729</v>
      </c>
      <c r="L1418">
        <v>0</v>
      </c>
      <c r="M1418">
        <v>6.8095734817717345E-4</v>
      </c>
      <c r="N1418">
        <v>7.5986294926099721E-2</v>
      </c>
      <c r="O1418">
        <v>8.997808345381747E-3</v>
      </c>
      <c r="P1418">
        <v>1.3054302238971922E-2</v>
      </c>
      <c r="Q1418">
        <v>3.1313936363661309E-3</v>
      </c>
      <c r="R1418">
        <v>6.6991448339606457E-4</v>
      </c>
      <c r="S1418">
        <v>9.1856890171640351E-2</v>
      </c>
      <c r="T1418">
        <v>0.81293571416411348</v>
      </c>
      <c r="U1418">
        <v>1.7135895691980318E-2</v>
      </c>
      <c r="V1418">
        <v>1.0414429783439679E-2</v>
      </c>
      <c r="W1418">
        <v>4.4322647167491507E-2</v>
      </c>
      <c r="X1418">
        <v>1.0769072715471022E-2</v>
      </c>
      <c r="Y1418">
        <v>1.8232863865539873E-3</v>
      </c>
    </row>
    <row r="1419" spans="1:25">
      <c r="A1419" s="876"/>
      <c r="B1419" s="1202">
        <v>1169</v>
      </c>
      <c r="C1419" s="880">
        <v>1.043097225702637</v>
      </c>
      <c r="D1419" s="880">
        <v>0.98414682590920499</v>
      </c>
      <c r="E1419" s="880">
        <v>0.98814059115965758</v>
      </c>
      <c r="F1419" s="880">
        <v>0.9873648310407187</v>
      </c>
      <c r="G1419" s="880">
        <v>0.99096764441912699</v>
      </c>
      <c r="H1419" s="880">
        <v>1.0063259583213642</v>
      </c>
      <c r="I1419" s="880">
        <v>1.0069815983468966</v>
      </c>
      <c r="K1419">
        <v>1.06776409409105</v>
      </c>
      <c r="L1419">
        <v>0</v>
      </c>
      <c r="M1419">
        <v>6.8841158490949171E-4</v>
      </c>
      <c r="N1419">
        <v>6.6119685565980454E-2</v>
      </c>
      <c r="O1419">
        <v>8.4966210943093392E-3</v>
      </c>
      <c r="P1419">
        <v>1.2523979164989651E-2</v>
      </c>
      <c r="Q1419">
        <v>2.8191503440249447E-3</v>
      </c>
      <c r="R1419">
        <v>6.7686771957995058E-4</v>
      </c>
      <c r="S1419">
        <v>8.3396695594865705E-2</v>
      </c>
      <c r="T1419">
        <v>0.81679662013099241</v>
      </c>
      <c r="U1419">
        <v>1.6211939260562476E-2</v>
      </c>
      <c r="V1419">
        <v>1.0409118249785448E-2</v>
      </c>
      <c r="W1419">
        <v>3.9846078763896862E-2</v>
      </c>
      <c r="X1419">
        <v>9.3135389836588572E-3</v>
      </c>
      <c r="Y1419">
        <v>1.8422108033128333E-3</v>
      </c>
    </row>
    <row r="1420" spans="1:25">
      <c r="A1420" s="876"/>
      <c r="B1420" s="1202">
        <v>1170</v>
      </c>
      <c r="C1420" s="880">
        <v>1.0251945551990009</v>
      </c>
      <c r="D1420" s="880">
        <v>1.0127911181133789</v>
      </c>
      <c r="E1420" s="880">
        <v>1.032298628856106</v>
      </c>
      <c r="F1420" s="880">
        <v>0.99129376603637898</v>
      </c>
      <c r="G1420" s="880">
        <v>1.005928662176357</v>
      </c>
      <c r="H1420" s="880">
        <v>1.0080842265547079</v>
      </c>
      <c r="I1420" s="880">
        <v>1.0171101938741758</v>
      </c>
      <c r="K1420">
        <v>1.0709054383374266</v>
      </c>
      <c r="L1420">
        <v>0</v>
      </c>
      <c r="M1420">
        <v>6.2957215358460988E-4</v>
      </c>
      <c r="N1420">
        <v>6.9365572636747849E-2</v>
      </c>
      <c r="O1420">
        <v>8.5137169045643411E-3</v>
      </c>
      <c r="P1420">
        <v>1.2910615825152563E-2</v>
      </c>
      <c r="Q1420">
        <v>2.9586360638026959E-3</v>
      </c>
      <c r="R1420">
        <v>6.1901112982042789E-4</v>
      </c>
      <c r="S1420">
        <v>8.4551897413024199E-2</v>
      </c>
      <c r="T1420">
        <v>0.81324687313206512</v>
      </c>
      <c r="U1420">
        <v>1.6495043579966971E-2</v>
      </c>
      <c r="V1420">
        <v>1.0410745727087452E-2</v>
      </c>
      <c r="W1420">
        <v>4.0566649903432853E-2</v>
      </c>
      <c r="X1420">
        <v>1.0211503936939818E-2</v>
      </c>
      <c r="Y1420">
        <v>1.6847442384071011E-3</v>
      </c>
    </row>
    <row r="1421" spans="1:25">
      <c r="A1421" s="876"/>
      <c r="B1421" s="1202">
        <v>1171</v>
      </c>
      <c r="C1421" s="880">
        <v>0.99179814136276923</v>
      </c>
      <c r="D1421" s="880">
        <v>0.96492716905218878</v>
      </c>
      <c r="E1421" s="880">
        <v>0.98182973146651675</v>
      </c>
      <c r="F1421" s="880">
        <v>0.97770187578808054</v>
      </c>
      <c r="G1421" s="880">
        <v>0.98009816389984217</v>
      </c>
      <c r="H1421" s="880">
        <v>0.9637546353898262</v>
      </c>
      <c r="I1421" s="880">
        <v>1.0079151430370366</v>
      </c>
      <c r="K1421">
        <v>1.0749574778299507</v>
      </c>
      <c r="L1421">
        <v>0</v>
      </c>
      <c r="M1421">
        <v>7.1007433950912534E-4</v>
      </c>
      <c r="N1421">
        <v>6.6824253382724602E-2</v>
      </c>
      <c r="O1421">
        <v>9.0308092694144394E-3</v>
      </c>
      <c r="P1421">
        <v>1.2532185988628123E-2</v>
      </c>
      <c r="Q1421">
        <v>2.9728549617992961E-3</v>
      </c>
      <c r="R1421">
        <v>6.9765944381364284E-4</v>
      </c>
      <c r="S1421">
        <v>8.7084448370124773E-2</v>
      </c>
      <c r="T1421">
        <v>0.81730934429593805</v>
      </c>
      <c r="U1421">
        <v>1.7050474447064923E-2</v>
      </c>
      <c r="V1421">
        <v>1.0413938723686515E-2</v>
      </c>
      <c r="W1421">
        <v>4.0446791950907147E-2</v>
      </c>
      <c r="X1421">
        <v>9.4059923126711062E-3</v>
      </c>
      <c r="Y1421">
        <v>1.8987990226868924E-3</v>
      </c>
    </row>
    <row r="1422" spans="1:25">
      <c r="A1422" s="876"/>
      <c r="B1422" s="1202">
        <v>1172</v>
      </c>
      <c r="C1422" s="880">
        <v>0.9996484552206093</v>
      </c>
      <c r="D1422" s="880">
        <v>1.012882068300911</v>
      </c>
      <c r="E1422" s="880">
        <v>0.98562949752024354</v>
      </c>
      <c r="F1422" s="880">
        <v>0.99419632211556175</v>
      </c>
      <c r="G1422" s="880">
        <v>1.0238281707288024</v>
      </c>
      <c r="H1422" s="880">
        <v>0.98744329285294774</v>
      </c>
      <c r="I1422" s="880">
        <v>0.97210553828476276</v>
      </c>
      <c r="K1422">
        <v>1.068425886607129</v>
      </c>
      <c r="L1422">
        <v>0</v>
      </c>
      <c r="M1422">
        <v>6.9781539419916275E-4</v>
      </c>
      <c r="N1422">
        <v>6.6476687945545801E-2</v>
      </c>
      <c r="O1422">
        <v>8.730868063714016E-3</v>
      </c>
      <c r="P1422">
        <v>1.2495846192607371E-2</v>
      </c>
      <c r="Q1422">
        <v>2.8957389613848074E-3</v>
      </c>
      <c r="R1422">
        <v>6.8586482590228515E-4</v>
      </c>
      <c r="S1422">
        <v>8.2159303511548917E-2</v>
      </c>
      <c r="T1422">
        <v>0.81700047168195433</v>
      </c>
      <c r="U1422">
        <v>1.6916575799859997E-2</v>
      </c>
      <c r="V1422">
        <v>1.0413168982661189E-2</v>
      </c>
      <c r="W1422">
        <v>4.0130748702982992E-2</v>
      </c>
      <c r="X1422">
        <v>9.3517293723382102E-3</v>
      </c>
      <c r="Y1422">
        <v>1.8666979608269263E-3</v>
      </c>
    </row>
    <row r="1423" spans="1:25">
      <c r="A1423" s="876"/>
      <c r="B1423" s="1202">
        <v>1173</v>
      </c>
      <c r="C1423" s="880">
        <v>1.0036346685938351</v>
      </c>
      <c r="D1423" s="880">
        <v>1.0245946968459374</v>
      </c>
      <c r="E1423" s="880">
        <v>1.0157565009089096</v>
      </c>
      <c r="F1423" s="880">
        <v>1.0073975125492214</v>
      </c>
      <c r="G1423" s="880">
        <v>1.003687584387762</v>
      </c>
      <c r="H1423" s="880">
        <v>1.0089324170794627</v>
      </c>
      <c r="I1423" s="880">
        <v>0.99230310067225702</v>
      </c>
      <c r="K1423">
        <v>1.0720677973878159</v>
      </c>
      <c r="L1423">
        <v>0</v>
      </c>
      <c r="M1423">
        <v>6.6245075570887436E-4</v>
      </c>
      <c r="N1423">
        <v>6.9333168172444795E-2</v>
      </c>
      <c r="O1423">
        <v>8.6431300305774075E-3</v>
      </c>
      <c r="P1423">
        <v>1.2768304516580635E-2</v>
      </c>
      <c r="Q1423">
        <v>2.9572628892995368E-3</v>
      </c>
      <c r="R1423">
        <v>6.5133816282963465E-4</v>
      </c>
      <c r="S1423">
        <v>8.3807295566829282E-2</v>
      </c>
      <c r="T1423">
        <v>0.81456887386855836</v>
      </c>
      <c r="U1423">
        <v>1.6849386928458127E-2</v>
      </c>
      <c r="V1423">
        <v>1.041278273506387E-2</v>
      </c>
      <c r="W1423">
        <v>4.100156481658955E-2</v>
      </c>
      <c r="X1423">
        <v>9.9644126906387673E-3</v>
      </c>
      <c r="Y1423">
        <v>1.7727277656545942E-3</v>
      </c>
    </row>
    <row r="1424" spans="1:25">
      <c r="A1424" s="876"/>
      <c r="B1424" s="1202">
        <v>1174</v>
      </c>
      <c r="C1424" s="880">
        <v>0.97489610495502566</v>
      </c>
      <c r="D1424" s="880">
        <v>1.0060823005340589</v>
      </c>
      <c r="E1424" s="880">
        <v>0.96905838565352187</v>
      </c>
      <c r="F1424" s="880">
        <v>1.0198694509468451</v>
      </c>
      <c r="G1424" s="880">
        <v>1.0169612220052813</v>
      </c>
      <c r="H1424" s="880">
        <v>0.96942651016388048</v>
      </c>
      <c r="I1424" s="880">
        <v>1.0244356246969011</v>
      </c>
      <c r="K1424">
        <v>1.07630287220818</v>
      </c>
      <c r="L1424">
        <v>0</v>
      </c>
      <c r="M1424">
        <v>7.2994318069679492E-4</v>
      </c>
      <c r="N1424">
        <v>6.6016654926057114E-2</v>
      </c>
      <c r="O1424">
        <v>8.9847292489412395E-3</v>
      </c>
      <c r="P1424">
        <v>1.244598369635694E-2</v>
      </c>
      <c r="Q1424">
        <v>2.9286249396146204E-3</v>
      </c>
      <c r="R1424">
        <v>7.172163457511661E-4</v>
      </c>
      <c r="S1424">
        <v>8.8403596714145383E-2</v>
      </c>
      <c r="T1424">
        <v>0.81835107129146356</v>
      </c>
      <c r="U1424">
        <v>1.7346083115936231E-2</v>
      </c>
      <c r="V1424">
        <v>1.041563808454358E-2</v>
      </c>
      <c r="W1424">
        <v>4.0314800675496594E-2</v>
      </c>
      <c r="X1424">
        <v>9.1563898877411315E-3</v>
      </c>
      <c r="Y1424">
        <v>1.9520264628298395E-3</v>
      </c>
    </row>
    <row r="1425" spans="1:25">
      <c r="A1425" s="876"/>
      <c r="B1425" s="1202">
        <v>1175</v>
      </c>
      <c r="C1425" s="880">
        <v>1.0320149101074292</v>
      </c>
      <c r="D1425" s="880">
        <v>0.98024111971403471</v>
      </c>
      <c r="E1425" s="880">
        <v>1.0017234294045692</v>
      </c>
      <c r="F1425" s="880">
        <v>0.99100451703464254</v>
      </c>
      <c r="G1425" s="880">
        <v>0.98420305209551562</v>
      </c>
      <c r="H1425" s="880">
        <v>0.972274499203994</v>
      </c>
      <c r="I1425" s="880">
        <v>0.95875892193530787</v>
      </c>
      <c r="K1425">
        <v>1.0618192493993419</v>
      </c>
      <c r="L1425">
        <v>0</v>
      </c>
      <c r="M1425">
        <v>6.5470331729927168E-4</v>
      </c>
      <c r="N1425">
        <v>6.5558515820810528E-2</v>
      </c>
      <c r="O1425">
        <v>8.6061238735018492E-3</v>
      </c>
      <c r="P1425">
        <v>1.2583282127192253E-2</v>
      </c>
      <c r="Q1425">
        <v>2.8939816698803221E-3</v>
      </c>
      <c r="R1425">
        <v>6.4334354561958467E-4</v>
      </c>
      <c r="S1425">
        <v>7.9271969861477387E-2</v>
      </c>
      <c r="T1425">
        <v>0.81569766771066665</v>
      </c>
      <c r="U1425">
        <v>1.6386031539207167E-2</v>
      </c>
      <c r="V1425">
        <v>1.0410119051301105E-2</v>
      </c>
      <c r="W1425">
        <v>3.914112266318729E-2</v>
      </c>
      <c r="X1425">
        <v>9.5308258007624786E-3</v>
      </c>
      <c r="Y1425">
        <v>1.7509690530336933E-3</v>
      </c>
    </row>
    <row r="1426" spans="1:25">
      <c r="A1426" s="876"/>
      <c r="B1426" s="1202">
        <v>1176</v>
      </c>
      <c r="C1426" s="880">
        <v>0.96030234773199419</v>
      </c>
      <c r="D1426" s="880">
        <v>0.99888943536937547</v>
      </c>
      <c r="E1426" s="880">
        <v>1.0130302956460486</v>
      </c>
      <c r="F1426" s="880">
        <v>1.0040636972428394</v>
      </c>
      <c r="G1426" s="880">
        <v>1.0285953001029779</v>
      </c>
      <c r="H1426" s="880">
        <v>0.98504837316379479</v>
      </c>
      <c r="I1426" s="880">
        <v>1.0239169051923445</v>
      </c>
      <c r="K1426">
        <v>1.084422243649636</v>
      </c>
      <c r="L1426">
        <v>0</v>
      </c>
      <c r="M1426">
        <v>6.8909595031772396E-4</v>
      </c>
      <c r="N1426">
        <v>7.1486160643963431E-2</v>
      </c>
      <c r="O1426">
        <v>9.156229193609115E-3</v>
      </c>
      <c r="P1426">
        <v>1.2850072891987703E-2</v>
      </c>
      <c r="Q1426">
        <v>3.1184213514923211E-3</v>
      </c>
      <c r="R1426">
        <v>6.772780635808111E-4</v>
      </c>
      <c r="S1426">
        <v>9.0618320396622945E-2</v>
      </c>
      <c r="T1426">
        <v>0.81478764006109539</v>
      </c>
      <c r="U1426">
        <v>1.7609692307731257E-2</v>
      </c>
      <c r="V1426">
        <v>1.0417153490515307E-2</v>
      </c>
      <c r="W1426">
        <v>4.2352923986773448E-2</v>
      </c>
      <c r="X1426">
        <v>1.0194119588169265E-2</v>
      </c>
      <c r="Y1426">
        <v>1.8433276244133124E-3</v>
      </c>
    </row>
    <row r="1427" spans="1:25">
      <c r="A1427" s="876"/>
      <c r="B1427" s="1202">
        <v>1177</v>
      </c>
      <c r="C1427" s="880">
        <v>0.96316686403038698</v>
      </c>
      <c r="D1427" s="880">
        <v>0.99297052996946555</v>
      </c>
      <c r="E1427" s="880">
        <v>1.0381984690103012</v>
      </c>
      <c r="F1427" s="880">
        <v>1.0039910331228665</v>
      </c>
      <c r="G1427" s="880">
        <v>0.98109896659962825</v>
      </c>
      <c r="H1427" s="880">
        <v>0.96771211023435344</v>
      </c>
      <c r="I1427" s="880">
        <v>1.0059326345702406</v>
      </c>
      <c r="K1427">
        <v>1.0807961737246483</v>
      </c>
      <c r="L1427">
        <v>0</v>
      </c>
      <c r="M1427">
        <v>6.4200759278025511E-4</v>
      </c>
      <c r="N1427">
        <v>7.1993175251392788E-2</v>
      </c>
      <c r="O1427">
        <v>9.1579874496395264E-3</v>
      </c>
      <c r="P1427">
        <v>1.3027947414505534E-2</v>
      </c>
      <c r="Q1427">
        <v>3.1963776177561256E-3</v>
      </c>
      <c r="R1427">
        <v>6.3080491582061899E-4</v>
      </c>
      <c r="S1427">
        <v>8.837527652882543E-2</v>
      </c>
      <c r="T1427">
        <v>0.81277763410740045</v>
      </c>
      <c r="U1427">
        <v>1.7557320021568814E-2</v>
      </c>
      <c r="V1427">
        <v>1.0416852418786118E-2</v>
      </c>
      <c r="W1427">
        <v>4.1937805656663184E-2</v>
      </c>
      <c r="X1427">
        <v>1.0650156898990844E-2</v>
      </c>
      <c r="Y1427">
        <v>1.7168430360791113E-3</v>
      </c>
    </row>
    <row r="1428" spans="1:25">
      <c r="A1428" s="876"/>
      <c r="B1428" s="1202">
        <v>1178</v>
      </c>
      <c r="C1428" s="880">
        <v>0.98499076616495596</v>
      </c>
      <c r="D1428" s="880">
        <v>0.97736939669754352</v>
      </c>
      <c r="E1428" s="880">
        <v>0.99397934419692602</v>
      </c>
      <c r="F1428" s="880">
        <v>1.0009952499682486</v>
      </c>
      <c r="G1428" s="880">
        <v>1.0119124199475</v>
      </c>
      <c r="H1428" s="880">
        <v>1.0166604453573038</v>
      </c>
      <c r="I1428" s="880">
        <v>0.99761501722455403</v>
      </c>
      <c r="K1428">
        <v>1.0828295288156238</v>
      </c>
      <c r="L1428">
        <v>0</v>
      </c>
      <c r="M1428">
        <v>7.3020528635611226E-4</v>
      </c>
      <c r="N1428">
        <v>7.143331553210551E-2</v>
      </c>
      <c r="O1428">
        <v>9.0311337835114868E-3</v>
      </c>
      <c r="P1428">
        <v>1.2650737352541753E-2</v>
      </c>
      <c r="Q1428">
        <v>3.0126573930365054E-3</v>
      </c>
      <c r="R1428">
        <v>7.1809125848199895E-4</v>
      </c>
      <c r="S1428">
        <v>8.8176178890438148E-2</v>
      </c>
      <c r="T1428">
        <v>0.81632345434407572</v>
      </c>
      <c r="U1428">
        <v>1.7168312076460964E-2</v>
      </c>
      <c r="V1428">
        <v>1.041461613499399E-2</v>
      </c>
      <c r="W1428">
        <v>4.287554777894876E-2</v>
      </c>
      <c r="X1428">
        <v>9.8012818705175142E-3</v>
      </c>
      <c r="Y1428">
        <v>1.9544076868682619E-3</v>
      </c>
    </row>
    <row r="1429" spans="1:25">
      <c r="A1429" s="876"/>
      <c r="B1429" s="1202">
        <v>1179</v>
      </c>
      <c r="C1429" s="880">
        <v>1.0428554882921637</v>
      </c>
      <c r="D1429" s="880">
        <v>0.99659680046530053</v>
      </c>
      <c r="E1429" s="880">
        <v>0.97099285110078815</v>
      </c>
      <c r="F1429" s="880">
        <v>1.0100644247112884</v>
      </c>
      <c r="G1429" s="880">
        <v>1.0112970543106727</v>
      </c>
      <c r="H1429" s="880">
        <v>0.9760413660798648</v>
      </c>
      <c r="I1429" s="880">
        <v>1.0246360629419391</v>
      </c>
      <c r="K1429">
        <v>1.0631347719210194</v>
      </c>
      <c r="L1429">
        <v>0</v>
      </c>
      <c r="M1429">
        <v>6.8770805961441484E-4</v>
      </c>
      <c r="N1429">
        <v>6.2581456105499783E-2</v>
      </c>
      <c r="O1429">
        <v>8.4417559691413058E-3</v>
      </c>
      <c r="P1429">
        <v>1.2378801744867798E-2</v>
      </c>
      <c r="Q1429">
        <v>2.7551364771985741E-3</v>
      </c>
      <c r="R1429">
        <v>6.7580714812264398E-4</v>
      </c>
      <c r="S1429">
        <v>8.3282149681577836E-2</v>
      </c>
      <c r="T1429">
        <v>0.8181929276273745</v>
      </c>
      <c r="U1429">
        <v>1.6215697242621934E-2</v>
      </c>
      <c r="V1429">
        <v>1.0409139853237194E-2</v>
      </c>
      <c r="W1429">
        <v>3.8165381421127478E-2</v>
      </c>
      <c r="X1429">
        <v>8.8849024324400196E-3</v>
      </c>
      <c r="Y1429">
        <v>1.839324277423332E-3</v>
      </c>
    </row>
    <row r="1430" spans="1:25">
      <c r="A1430" s="876"/>
      <c r="B1430" s="1202">
        <v>1180</v>
      </c>
      <c r="C1430" s="880">
        <v>1.01924155306794</v>
      </c>
      <c r="D1430" s="880">
        <v>0.97794534396116073</v>
      </c>
      <c r="E1430" s="880">
        <v>1.0033057626061772</v>
      </c>
      <c r="F1430" s="880">
        <v>1.0249834067147576</v>
      </c>
      <c r="G1430" s="880">
        <v>0.97789123526034838</v>
      </c>
      <c r="H1430" s="880">
        <v>0.96967047753131885</v>
      </c>
      <c r="I1430" s="880">
        <v>0.96403368827989455</v>
      </c>
      <c r="K1430">
        <v>1.0649339731428062</v>
      </c>
      <c r="L1430">
        <v>0</v>
      </c>
      <c r="M1430">
        <v>6.5975662627391831E-4</v>
      </c>
      <c r="N1430">
        <v>6.6387547819488704E-2</v>
      </c>
      <c r="O1430">
        <v>8.724902539987511E-3</v>
      </c>
      <c r="P1430">
        <v>1.2618916041418606E-2</v>
      </c>
      <c r="Q1430">
        <v>2.9380677628316311E-3</v>
      </c>
      <c r="R1430">
        <v>6.4828042697847742E-4</v>
      </c>
      <c r="S1430">
        <v>8.0712373754338276E-2</v>
      </c>
      <c r="T1430">
        <v>0.81557005269064398</v>
      </c>
      <c r="U1430">
        <v>1.6591384853817035E-2</v>
      </c>
      <c r="V1430">
        <v>1.0411299562637425E-2</v>
      </c>
      <c r="W1430">
        <v>3.9593273281535585E-2</v>
      </c>
      <c r="X1430">
        <v>9.6332254187521619E-3</v>
      </c>
      <c r="Y1430">
        <v>1.7644056166500966E-3</v>
      </c>
    </row>
    <row r="1431" spans="1:25">
      <c r="A1431" s="876"/>
      <c r="B1431" s="1202">
        <v>1181</v>
      </c>
      <c r="C1431" s="880">
        <v>1.0066367883867091</v>
      </c>
      <c r="D1431" s="880">
        <v>1.0179148239754616</v>
      </c>
      <c r="E1431" s="880">
        <v>1.0086096434279637</v>
      </c>
      <c r="F1431" s="880">
        <v>0.99961103902929138</v>
      </c>
      <c r="G1431" s="880">
        <v>1.0016281831214027</v>
      </c>
      <c r="H1431" s="880">
        <v>1.0061212962528425</v>
      </c>
      <c r="I1431" s="880">
        <v>0.97012088315789824</v>
      </c>
      <c r="K1431">
        <v>1.0695597825502989</v>
      </c>
      <c r="L1431">
        <v>0</v>
      </c>
      <c r="M1431">
        <v>6.7096778445909974E-4</v>
      </c>
      <c r="N1431">
        <v>6.8679046948860636E-2</v>
      </c>
      <c r="O1431">
        <v>8.647403171271344E-3</v>
      </c>
      <c r="P1431">
        <v>1.2681499144132682E-2</v>
      </c>
      <c r="Q1431">
        <v>2.9362657535928821E-3</v>
      </c>
      <c r="R1431">
        <v>6.596862410838503E-4</v>
      </c>
      <c r="S1431">
        <v>8.185955315129792E-2</v>
      </c>
      <c r="T1431">
        <v>0.81514291622158008</v>
      </c>
      <c r="U1431">
        <v>1.67991365515801E-2</v>
      </c>
      <c r="V1431">
        <v>1.0412493861520865E-2</v>
      </c>
      <c r="W1431">
        <v>4.0812149070190512E-2</v>
      </c>
      <c r="X1431">
        <v>9.8051517369275708E-3</v>
      </c>
      <c r="Y1431">
        <v>1.7954484827193121E-3</v>
      </c>
    </row>
    <row r="1432" spans="1:25">
      <c r="A1432" s="876"/>
      <c r="B1432" s="1202">
        <v>1182</v>
      </c>
      <c r="C1432" s="880">
        <v>0.96187438046029916</v>
      </c>
      <c r="D1432" s="880">
        <v>0.99340537610641444</v>
      </c>
      <c r="E1432" s="880">
        <v>0.96780849785009226</v>
      </c>
      <c r="F1432" s="880">
        <v>1.0121223054421991</v>
      </c>
      <c r="G1432" s="880">
        <v>1.0355827991018705</v>
      </c>
      <c r="H1432" s="880">
        <v>1.0175522853022112</v>
      </c>
      <c r="I1432" s="880">
        <v>0.9896984043638668</v>
      </c>
      <c r="K1432">
        <v>1.0852444470265878</v>
      </c>
      <c r="L1432">
        <v>0</v>
      </c>
      <c r="M1432">
        <v>7.8385936131605957E-4</v>
      </c>
      <c r="N1432">
        <v>7.0677476629545391E-2</v>
      </c>
      <c r="O1432">
        <v>9.1681509370716684E-3</v>
      </c>
      <c r="P1432">
        <v>1.2444977576027035E-2</v>
      </c>
      <c r="Q1432">
        <v>2.9817680616535118E-3</v>
      </c>
      <c r="R1432">
        <v>7.7085098046571047E-4</v>
      </c>
      <c r="S1432">
        <v>8.8886896344349819E-2</v>
      </c>
      <c r="T1432">
        <v>0.81845331749185557</v>
      </c>
      <c r="U1432">
        <v>1.7580912029136198E-2</v>
      </c>
      <c r="V1432">
        <v>1.0416988041785133E-2</v>
      </c>
      <c r="W1432">
        <v>4.3198808763847775E-2</v>
      </c>
      <c r="X1432">
        <v>9.3501572742942622E-3</v>
      </c>
      <c r="Y1432">
        <v>2.0980022578702467E-3</v>
      </c>
    </row>
    <row r="1433" spans="1:25">
      <c r="A1433" s="876"/>
      <c r="B1433" s="1202">
        <v>1183</v>
      </c>
      <c r="C1433" s="880">
        <v>0.97603349706756148</v>
      </c>
      <c r="D1433" s="880">
        <v>0.9804746817022123</v>
      </c>
      <c r="E1433" s="880">
        <v>0.96226881339698644</v>
      </c>
      <c r="F1433" s="880">
        <v>0.98869575430353474</v>
      </c>
      <c r="G1433" s="880">
        <v>0.97385275764022228</v>
      </c>
      <c r="H1433" s="880">
        <v>0.96089312373517355</v>
      </c>
      <c r="I1433" s="880">
        <v>1.016359656894618</v>
      </c>
      <c r="K1433">
        <v>1.0766938655846208</v>
      </c>
      <c r="L1433">
        <v>0</v>
      </c>
      <c r="M1433">
        <v>7.4315536840702657E-4</v>
      </c>
      <c r="N1433">
        <v>6.5795068200564466E-2</v>
      </c>
      <c r="O1433">
        <v>9.0985788224932952E-3</v>
      </c>
      <c r="P1433">
        <v>1.2388300079706632E-2</v>
      </c>
      <c r="Q1433">
        <v>2.939493159340242E-3</v>
      </c>
      <c r="R1433">
        <v>7.3010790302568734E-4</v>
      </c>
      <c r="S1433">
        <v>8.8415614640020138E-2</v>
      </c>
      <c r="T1433">
        <v>0.8189071216329854</v>
      </c>
      <c r="U1433">
        <v>1.7325869364893155E-2</v>
      </c>
      <c r="V1433">
        <v>1.0415521882074206E-2</v>
      </c>
      <c r="W1433">
        <v>4.03711519647591E-2</v>
      </c>
      <c r="X1433">
        <v>9.0630802711337347E-3</v>
      </c>
      <c r="Y1433">
        <v>1.9871130320303727E-3</v>
      </c>
    </row>
    <row r="1434" spans="1:25">
      <c r="A1434" s="876"/>
      <c r="B1434" s="1202">
        <v>1184</v>
      </c>
      <c r="C1434" s="880">
        <v>0.99280442626639231</v>
      </c>
      <c r="D1434" s="880">
        <v>1.0155105594726488</v>
      </c>
      <c r="E1434" s="880">
        <v>0.97783895466044268</v>
      </c>
      <c r="F1434" s="880">
        <v>1.0113799965560735</v>
      </c>
      <c r="G1434" s="880">
        <v>0.99599530364885314</v>
      </c>
      <c r="H1434" s="880">
        <v>1.0061763280510188</v>
      </c>
      <c r="I1434" s="880">
        <v>1.0017722522401673</v>
      </c>
      <c r="K1434">
        <v>1.0748891839260344</v>
      </c>
      <c r="L1434">
        <v>0</v>
      </c>
      <c r="M1434">
        <v>7.2676310275530021E-4</v>
      </c>
      <c r="N1434">
        <v>6.7595968328968942E-2</v>
      </c>
      <c r="O1434">
        <v>8.7789302873274386E-3</v>
      </c>
      <c r="P1434">
        <v>1.2481234028958264E-2</v>
      </c>
      <c r="Q1434">
        <v>2.8892929867496693E-3</v>
      </c>
      <c r="R1434">
        <v>7.145462006105729E-4</v>
      </c>
      <c r="S1434">
        <v>8.5810861086054915E-2</v>
      </c>
      <c r="T1434">
        <v>0.81763426981169474</v>
      </c>
      <c r="U1434">
        <v>1.703319245820413E-2</v>
      </c>
      <c r="V1434">
        <v>1.0413839374991792E-2</v>
      </c>
      <c r="W1434">
        <v>4.1027356169275365E-2</v>
      </c>
      <c r="X1434">
        <v>9.2916970879822064E-3</v>
      </c>
      <c r="Y1434">
        <v>1.9447592079702535E-3</v>
      </c>
    </row>
    <row r="1435" spans="1:25">
      <c r="A1435" s="876"/>
      <c r="B1435" s="1202">
        <v>1185</v>
      </c>
      <c r="C1435" s="880">
        <v>1.0187661187710793</v>
      </c>
      <c r="D1435" s="880">
        <v>1.0050228007832924</v>
      </c>
      <c r="E1435" s="880">
        <v>0.98279787263627372</v>
      </c>
      <c r="F1435" s="880">
        <v>0.98751305967844638</v>
      </c>
      <c r="G1435" s="880">
        <v>1.0061719557480402</v>
      </c>
      <c r="H1435" s="880">
        <v>1.0197563624249961</v>
      </c>
      <c r="I1435" s="880">
        <v>0.994133081623642</v>
      </c>
      <c r="K1435">
        <v>1.0715856620099384</v>
      </c>
      <c r="L1435">
        <v>0</v>
      </c>
      <c r="M1435">
        <v>7.1429769617406145E-4</v>
      </c>
      <c r="N1435">
        <v>6.7487224528111109E-2</v>
      </c>
      <c r="O1435">
        <v>8.6026593844791104E-3</v>
      </c>
      <c r="P1435">
        <v>1.2491166304695224E-2</v>
      </c>
      <c r="Q1435">
        <v>2.8433872326602164E-3</v>
      </c>
      <c r="R1435">
        <v>7.0245922682823242E-4</v>
      </c>
      <c r="S1435">
        <v>8.3888771351634639E-2</v>
      </c>
      <c r="T1435">
        <v>0.81723060032999029</v>
      </c>
      <c r="U1435">
        <v>1.6599127664700286E-2</v>
      </c>
      <c r="V1435">
        <v>1.0411344073611295E-2</v>
      </c>
      <c r="W1435">
        <v>4.0820681895937586E-2</v>
      </c>
      <c r="X1435">
        <v>9.310675263660426E-3</v>
      </c>
      <c r="Y1435">
        <v>1.9118624498045596E-3</v>
      </c>
    </row>
    <row r="1436" spans="1:25">
      <c r="A1436" s="876"/>
      <c r="B1436" s="1202">
        <v>1186</v>
      </c>
      <c r="C1436" s="880">
        <v>1.0061815176890114</v>
      </c>
      <c r="D1436" s="880">
        <v>0.97265407847528007</v>
      </c>
      <c r="E1436" s="880">
        <v>0.99592422667101421</v>
      </c>
      <c r="F1436" s="880">
        <v>0.95708452199380778</v>
      </c>
      <c r="G1436" s="880">
        <v>0.97074317970620738</v>
      </c>
      <c r="H1436" s="880">
        <v>0.97890351297657641</v>
      </c>
      <c r="I1436" s="880">
        <v>1.0076090192003369</v>
      </c>
      <c r="K1436">
        <v>1.0734278034790425</v>
      </c>
      <c r="L1436">
        <v>0</v>
      </c>
      <c r="M1436">
        <v>6.8723843841877563E-4</v>
      </c>
      <c r="N1436">
        <v>6.7594618557880681E-2</v>
      </c>
      <c r="O1436">
        <v>8.8638182969803993E-3</v>
      </c>
      <c r="P1436">
        <v>1.2632823429725302E-2</v>
      </c>
      <c r="Q1436">
        <v>2.9615639857434027E-3</v>
      </c>
      <c r="R1436">
        <v>6.7540172439885184E-4</v>
      </c>
      <c r="S1436">
        <v>8.6022855792101491E-2</v>
      </c>
      <c r="T1436">
        <v>0.81616610012318558</v>
      </c>
      <c r="U1436">
        <v>1.6806737719445044E-2</v>
      </c>
      <c r="V1436">
        <v>1.0412537558233778E-2</v>
      </c>
      <c r="W1436">
        <v>4.0517347628483164E-2</v>
      </c>
      <c r="X1436">
        <v>9.6230162535887176E-3</v>
      </c>
      <c r="Y1436">
        <v>1.8382208476950639E-3</v>
      </c>
    </row>
    <row r="1437" spans="1:25">
      <c r="A1437" s="876"/>
      <c r="B1437" s="1202">
        <v>1187</v>
      </c>
      <c r="C1437" s="880">
        <v>1.0143273589377424</v>
      </c>
      <c r="D1437" s="880">
        <v>0.97384686740231052</v>
      </c>
      <c r="E1437" s="880">
        <v>0.97614693757916904</v>
      </c>
      <c r="F1437" s="880">
        <v>0.9952824963226945</v>
      </c>
      <c r="G1437" s="880">
        <v>1.021034832419222</v>
      </c>
      <c r="H1437" s="880">
        <v>1.014983049361325</v>
      </c>
      <c r="I1437" s="880">
        <v>0.99650908118412118</v>
      </c>
      <c r="K1437">
        <v>1.0753925409796201</v>
      </c>
      <c r="L1437">
        <v>0</v>
      </c>
      <c r="M1437">
        <v>7.3635856856736918E-4</v>
      </c>
      <c r="N1437">
        <v>6.8141909243545226E-2</v>
      </c>
      <c r="O1437">
        <v>8.7868753973287805E-3</v>
      </c>
      <c r="P1437">
        <v>1.2459632920054696E-2</v>
      </c>
      <c r="Q1437">
        <v>2.8778896401344301E-3</v>
      </c>
      <c r="R1437">
        <v>7.241255481757427E-4</v>
      </c>
      <c r="S1437">
        <v>8.5625718189832098E-2</v>
      </c>
      <c r="T1437">
        <v>0.81777219495182862</v>
      </c>
      <c r="U1437">
        <v>1.6671766483418241E-2</v>
      </c>
      <c r="V1437">
        <v>1.0411761651234142E-2</v>
      </c>
      <c r="W1437">
        <v>4.1407404383145024E-2</v>
      </c>
      <c r="X1437">
        <v>9.2787901052776376E-3</v>
      </c>
      <c r="Y1437">
        <v>1.9708310342115691E-3</v>
      </c>
    </row>
    <row r="1438" spans="1:25">
      <c r="A1438" s="876"/>
      <c r="B1438" s="1202">
        <v>1188</v>
      </c>
      <c r="C1438" s="880">
        <v>1.0132843267057463</v>
      </c>
      <c r="D1438" s="880">
        <v>0.96594805276992179</v>
      </c>
      <c r="E1438" s="880">
        <v>0.99698488557414211</v>
      </c>
      <c r="F1438" s="880">
        <v>0.99685607115262176</v>
      </c>
      <c r="G1438" s="880">
        <v>1.0016674236115528</v>
      </c>
      <c r="H1438" s="880">
        <v>0.97606254393114678</v>
      </c>
      <c r="I1438" s="880">
        <v>0.98498594014877727</v>
      </c>
      <c r="K1438">
        <v>1.0702043796284531</v>
      </c>
      <c r="L1438">
        <v>0</v>
      </c>
      <c r="M1438">
        <v>6.8143415674214365E-4</v>
      </c>
      <c r="N1438">
        <v>6.7242496194377721E-2</v>
      </c>
      <c r="O1438">
        <v>8.8343156880456471E-3</v>
      </c>
      <c r="P1438">
        <v>1.2608326160073922E-2</v>
      </c>
      <c r="Q1438">
        <v>2.9533142773908636E-3</v>
      </c>
      <c r="R1438">
        <v>6.6966931129406162E-4</v>
      </c>
      <c r="S1438">
        <v>8.369052526161197E-2</v>
      </c>
      <c r="T1438">
        <v>0.81608033971434513</v>
      </c>
      <c r="U1438">
        <v>1.6688927698042987E-2</v>
      </c>
      <c r="V1438">
        <v>1.041186030563593E-2</v>
      </c>
      <c r="W1438">
        <v>4.0276965570264937E-2</v>
      </c>
      <c r="X1438">
        <v>9.6064544951985475E-3</v>
      </c>
      <c r="Y1438">
        <v>1.8226191089132971E-3</v>
      </c>
    </row>
    <row r="1439" spans="1:25">
      <c r="A1439" s="876"/>
      <c r="B1439" s="1202">
        <v>1189</v>
      </c>
      <c r="C1439" s="880">
        <v>0.99723048508833323</v>
      </c>
      <c r="D1439" s="880">
        <v>1.0070834038162699</v>
      </c>
      <c r="E1439" s="880">
        <v>0.97083104815066035</v>
      </c>
      <c r="F1439" s="880">
        <v>0.99581187551351835</v>
      </c>
      <c r="G1439" s="880">
        <v>0.96984570792947156</v>
      </c>
      <c r="H1439" s="880">
        <v>0.97516859876470086</v>
      </c>
      <c r="I1439" s="880">
        <v>1.0142073299073693</v>
      </c>
      <c r="K1439">
        <v>1.0710091019652921</v>
      </c>
      <c r="L1439">
        <v>0</v>
      </c>
      <c r="M1439">
        <v>7.1478171723203261E-4</v>
      </c>
      <c r="N1439">
        <v>6.5010449507306861E-2</v>
      </c>
      <c r="O1439">
        <v>8.7788492811393063E-3</v>
      </c>
      <c r="P1439">
        <v>1.2420037704426351E-2</v>
      </c>
      <c r="Q1439">
        <v>2.8669188647614538E-3</v>
      </c>
      <c r="R1439">
        <v>7.0239170882118362E-4</v>
      </c>
      <c r="S1439">
        <v>8.5726501055641433E-2</v>
      </c>
      <c r="T1439">
        <v>0.81820615027113108</v>
      </c>
      <c r="U1439">
        <v>1.6957593173111293E-2</v>
      </c>
      <c r="V1439">
        <v>1.041340477858297E-2</v>
      </c>
      <c r="W1439">
        <v>3.9651186224586181E-2</v>
      </c>
      <c r="X1439">
        <v>9.0787224249685439E-3</v>
      </c>
      <c r="Y1439">
        <v>1.911678688046678E-3</v>
      </c>
    </row>
    <row r="1440" spans="1:25">
      <c r="A1440" s="876"/>
      <c r="B1440" s="1202">
        <v>1190</v>
      </c>
      <c r="C1440" s="880">
        <v>1.0066818176846057</v>
      </c>
      <c r="D1440" s="880">
        <v>1.0383996394490329</v>
      </c>
      <c r="E1440" s="880">
        <v>1.046471283345676</v>
      </c>
      <c r="F1440" s="880">
        <v>1.0018619678078484</v>
      </c>
      <c r="G1440" s="880">
        <v>1.0355471704392658</v>
      </c>
      <c r="H1440" s="880">
        <v>1.0048550905116416</v>
      </c>
      <c r="I1440" s="880">
        <v>1.0189649031805723</v>
      </c>
      <c r="K1440">
        <v>1.0724604231197385</v>
      </c>
      <c r="L1440">
        <v>0</v>
      </c>
      <c r="M1440">
        <v>6.1202802472500224E-4</v>
      </c>
      <c r="N1440">
        <v>7.0457297979045708E-2</v>
      </c>
      <c r="O1440">
        <v>8.5558669949415966E-3</v>
      </c>
      <c r="P1440">
        <v>1.3039237899505694E-2</v>
      </c>
      <c r="Q1440">
        <v>3.0205907168154634E-3</v>
      </c>
      <c r="R1440">
        <v>6.0170961329414948E-4</v>
      </c>
      <c r="S1440">
        <v>8.5085728471719441E-2</v>
      </c>
      <c r="T1440">
        <v>0.81212166610817949</v>
      </c>
      <c r="U1440">
        <v>1.6798385119190139E-2</v>
      </c>
      <c r="V1440">
        <v>1.0412489541773423E-2</v>
      </c>
      <c r="W1440">
        <v>4.0818136705759116E-2</v>
      </c>
      <c r="X1440">
        <v>1.0523686780373553E-2</v>
      </c>
      <c r="Y1440">
        <v>1.6376552138659612E-3</v>
      </c>
    </row>
    <row r="1441" spans="1:25">
      <c r="A1441" s="876"/>
      <c r="B1441" s="1202">
        <v>1191</v>
      </c>
      <c r="C1441" s="880">
        <v>1.0252364786639523</v>
      </c>
      <c r="D1441" s="880">
        <v>0.96154502952111442</v>
      </c>
      <c r="E1441" s="880">
        <v>1.0056444883263251</v>
      </c>
      <c r="F1441" s="880">
        <v>0.98996901422093608</v>
      </c>
      <c r="G1441" s="880">
        <v>0.9594473943379036</v>
      </c>
      <c r="H1441" s="880">
        <v>0.98335523158515004</v>
      </c>
      <c r="I1441" s="880">
        <v>0.98513084313584931</v>
      </c>
      <c r="K1441">
        <v>1.0693875930016388</v>
      </c>
      <c r="L1441">
        <v>0</v>
      </c>
      <c r="M1441">
        <v>6.6788488132649279E-4</v>
      </c>
      <c r="N1441">
        <v>6.7714220588107304E-2</v>
      </c>
      <c r="O1441">
        <v>8.7526993454808532E-3</v>
      </c>
      <c r="P1441">
        <v>1.2670680093725852E-2</v>
      </c>
      <c r="Q1441">
        <v>2.9505687377253706E-3</v>
      </c>
      <c r="R1441">
        <v>6.5644337736749981E-4</v>
      </c>
      <c r="S1441">
        <v>8.3172011756434766E-2</v>
      </c>
      <c r="T1441">
        <v>0.81538159058036574</v>
      </c>
      <c r="U1441">
        <v>1.6494369072772033E-2</v>
      </c>
      <c r="V1441">
        <v>1.0410741849558673E-2</v>
      </c>
      <c r="W1441">
        <v>4.0320123202638461E-2</v>
      </c>
      <c r="X1441">
        <v>9.745406802094278E-3</v>
      </c>
      <c r="Y1441">
        <v>1.7866224766931432E-3</v>
      </c>
    </row>
    <row r="1442" spans="1:25">
      <c r="A1442" s="876"/>
      <c r="B1442" s="1202">
        <v>1192</v>
      </c>
      <c r="C1442" s="880">
        <v>0.9855518575333222</v>
      </c>
      <c r="D1442" s="880">
        <v>0.99989495858976496</v>
      </c>
      <c r="E1442" s="880">
        <v>0.99100700132421049</v>
      </c>
      <c r="F1442" s="880">
        <v>0.99936457901775066</v>
      </c>
      <c r="G1442" s="880">
        <v>1.0141014658072078</v>
      </c>
      <c r="H1442" s="880">
        <v>0.9796636351620378</v>
      </c>
      <c r="I1442" s="880">
        <v>1.0107778106867207</v>
      </c>
      <c r="K1442">
        <v>1.0754244336659091</v>
      </c>
      <c r="L1442">
        <v>0</v>
      </c>
      <c r="M1442">
        <v>6.9910715490158302E-4</v>
      </c>
      <c r="N1442">
        <v>6.7716067273238922E-2</v>
      </c>
      <c r="O1442">
        <v>8.9168638513475902E-3</v>
      </c>
      <c r="P1442">
        <v>1.2608628327135937E-2</v>
      </c>
      <c r="Q1442">
        <v>2.9707043538529485E-3</v>
      </c>
      <c r="R1442">
        <v>6.8705078575466384E-4</v>
      </c>
      <c r="S1442">
        <v>8.6922545993631972E-2</v>
      </c>
      <c r="T1442">
        <v>0.81656418508725892</v>
      </c>
      <c r="U1442">
        <v>1.7158537865553759E-2</v>
      </c>
      <c r="V1442">
        <v>1.0414559946143077E-2</v>
      </c>
      <c r="W1442">
        <v>4.0727571604227956E-2</v>
      </c>
      <c r="X1442">
        <v>9.5668999800719041E-3</v>
      </c>
      <c r="Y1442">
        <v>1.8699257525935402E-3</v>
      </c>
    </row>
    <row r="1443" spans="1:25">
      <c r="A1443" s="876"/>
      <c r="B1443" s="1202">
        <v>1193</v>
      </c>
      <c r="C1443" s="880">
        <v>0.99883691549232656</v>
      </c>
      <c r="D1443" s="880">
        <v>0.97146817555377873</v>
      </c>
      <c r="E1443" s="880">
        <v>0.99881571237795019</v>
      </c>
      <c r="F1443" s="880">
        <v>0.98236258127147646</v>
      </c>
      <c r="G1443" s="880">
        <v>1.0040662688847095</v>
      </c>
      <c r="H1443" s="880">
        <v>0.99249035855730039</v>
      </c>
      <c r="I1443" s="880">
        <v>1.0219801246065539</v>
      </c>
      <c r="K1443">
        <v>1.0787322900496989</v>
      </c>
      <c r="L1443">
        <v>0</v>
      </c>
      <c r="M1443">
        <v>6.9809540193985209E-4</v>
      </c>
      <c r="N1443">
        <v>6.9299783560655179E-2</v>
      </c>
      <c r="O1443">
        <v>8.9348219960960137E-3</v>
      </c>
      <c r="P1443">
        <v>1.2691800274869824E-2</v>
      </c>
      <c r="Q1443">
        <v>2.993713386355562E-3</v>
      </c>
      <c r="R1443">
        <v>6.8623736782363919E-4</v>
      </c>
      <c r="S1443">
        <v>8.8449659253144478E-2</v>
      </c>
      <c r="T1443">
        <v>0.81593239666102524</v>
      </c>
      <c r="U1443">
        <v>1.6930320259155758E-2</v>
      </c>
      <c r="V1443">
        <v>1.0413247995215912E-2</v>
      </c>
      <c r="W1443">
        <v>4.1457197843854113E-2</v>
      </c>
      <c r="X1443">
        <v>9.773494956314242E-3</v>
      </c>
      <c r="Y1443">
        <v>1.8677118971284405E-3</v>
      </c>
    </row>
    <row r="1444" spans="1:25">
      <c r="A1444" s="876"/>
      <c r="B1444" s="1202">
        <v>1194</v>
      </c>
      <c r="C1444" s="880">
        <v>0.99238750683161303</v>
      </c>
      <c r="D1444" s="880">
        <v>0.99441024355313967</v>
      </c>
      <c r="E1444" s="880">
        <v>1.0117165141509756</v>
      </c>
      <c r="F1444" s="880">
        <v>1.0194805018445419</v>
      </c>
      <c r="G1444" s="880">
        <v>1.0338495480138885</v>
      </c>
      <c r="H1444" s="880">
        <v>0.97775822406231971</v>
      </c>
      <c r="I1444" s="880">
        <v>1.0250303100135676</v>
      </c>
      <c r="K1444">
        <v>1.0759586626458648</v>
      </c>
      <c r="L1444">
        <v>0</v>
      </c>
      <c r="M1444">
        <v>6.6530822721745111E-4</v>
      </c>
      <c r="N1444">
        <v>6.8728633877550405E-2</v>
      </c>
      <c r="O1444">
        <v>8.8814635616364188E-3</v>
      </c>
      <c r="P1444">
        <v>1.2791146815322415E-2</v>
      </c>
      <c r="Q1444">
        <v>3.0198617975851745E-3</v>
      </c>
      <c r="R1444">
        <v>6.538170222468309E-4</v>
      </c>
      <c r="S1444">
        <v>8.771056366308691E-2</v>
      </c>
      <c r="T1444">
        <v>0.81489315573395094</v>
      </c>
      <c r="U1444">
        <v>1.7040348401747622E-2</v>
      </c>
      <c r="V1444">
        <v>1.0413880512250711E-2</v>
      </c>
      <c r="W1444">
        <v>4.0755496744094614E-2</v>
      </c>
      <c r="X1444">
        <v>9.9561283397776312E-3</v>
      </c>
      <c r="Y1444">
        <v>1.7794744038324151E-3</v>
      </c>
    </row>
    <row r="1445" spans="1:25">
      <c r="A1445" s="876"/>
      <c r="B1445" s="1202">
        <v>1195</v>
      </c>
      <c r="C1445" s="880">
        <v>0.9580770265178602</v>
      </c>
      <c r="D1445" s="880">
        <v>1.0056454461177813</v>
      </c>
      <c r="E1445" s="880">
        <v>0.9758705922449854</v>
      </c>
      <c r="F1445" s="880">
        <v>1.0178536679322014</v>
      </c>
      <c r="G1445" s="880">
        <v>0.99605776238471844</v>
      </c>
      <c r="H1445" s="880">
        <v>0.96587213542475525</v>
      </c>
      <c r="I1445" s="880">
        <v>1.0086406587521448</v>
      </c>
      <c r="K1445">
        <v>1.0786560927461573</v>
      </c>
      <c r="L1445">
        <v>0</v>
      </c>
      <c r="M1445">
        <v>7.2970718218902646E-4</v>
      </c>
      <c r="N1445">
        <v>6.7407467597905904E-2</v>
      </c>
      <c r="O1445">
        <v>9.1445729882003619E-3</v>
      </c>
      <c r="P1445">
        <v>1.2508409824609169E-2</v>
      </c>
      <c r="Q1445">
        <v>3.0014271549771605E-3</v>
      </c>
      <c r="R1445">
        <v>7.1693804900307056E-4</v>
      </c>
      <c r="S1445">
        <v>8.8454313821536484E-2</v>
      </c>
      <c r="T1445">
        <v>0.81779473049621243</v>
      </c>
      <c r="U1445">
        <v>1.7650594261104696E-2</v>
      </c>
      <c r="V1445">
        <v>1.0417388622924691E-2</v>
      </c>
      <c r="W1445">
        <v>4.0968987667837943E-2</v>
      </c>
      <c r="X1445">
        <v>9.3697004132107676E-3</v>
      </c>
      <c r="Y1445">
        <v>1.9512690308220216E-3</v>
      </c>
    </row>
    <row r="1446" spans="1:25">
      <c r="A1446" s="876"/>
      <c r="B1446" s="1202">
        <v>1196</v>
      </c>
      <c r="C1446" s="880">
        <v>0.99065982635869354</v>
      </c>
      <c r="D1446" s="880">
        <v>0.98660499233670462</v>
      </c>
      <c r="E1446" s="880">
        <v>1.0043201231825774</v>
      </c>
      <c r="F1446" s="880">
        <v>1.0178296584969395</v>
      </c>
      <c r="G1446" s="880">
        <v>0.98734894173691823</v>
      </c>
      <c r="H1446" s="880">
        <v>1.0174400065367524</v>
      </c>
      <c r="I1446" s="880">
        <v>0.99515861244257309</v>
      </c>
      <c r="K1446">
        <v>1.0806046483362439</v>
      </c>
      <c r="L1446">
        <v>0</v>
      </c>
      <c r="M1446">
        <v>7.0737927176979499E-4</v>
      </c>
      <c r="N1446">
        <v>7.146302324830385E-2</v>
      </c>
      <c r="O1446">
        <v>8.9344521752505769E-3</v>
      </c>
      <c r="P1446">
        <v>1.2721023971049596E-2</v>
      </c>
      <c r="Q1446">
        <v>3.0136944614998652E-3</v>
      </c>
      <c r="R1446">
        <v>6.9564475151295292E-4</v>
      </c>
      <c r="S1446">
        <v>8.7074128436998383E-2</v>
      </c>
      <c r="T1446">
        <v>0.81548828938174533</v>
      </c>
      <c r="U1446">
        <v>1.7070066248784641E-2</v>
      </c>
      <c r="V1446">
        <v>1.0414051350765721E-2</v>
      </c>
      <c r="W1446">
        <v>4.2590774427970324E-2</v>
      </c>
      <c r="X1446">
        <v>9.9535634597440262E-3</v>
      </c>
      <c r="Y1446">
        <v>1.893315694387552E-3</v>
      </c>
    </row>
    <row r="1447" spans="1:25">
      <c r="A1447" s="876"/>
      <c r="B1447" s="1202">
        <v>1197</v>
      </c>
      <c r="C1447" s="880">
        <v>0.99550981097880265</v>
      </c>
      <c r="D1447" s="880">
        <v>1.0108432031634074</v>
      </c>
      <c r="E1447" s="880">
        <v>1.0177491949356072</v>
      </c>
      <c r="F1447" s="880">
        <v>1.0248568748694462</v>
      </c>
      <c r="G1447" s="880">
        <v>0.98953194099498432</v>
      </c>
      <c r="H1447" s="880">
        <v>0.9710706748537411</v>
      </c>
      <c r="I1447" s="880">
        <v>0.99600355776422445</v>
      </c>
      <c r="K1447">
        <v>1.0700223164707945</v>
      </c>
      <c r="L1447">
        <v>0</v>
      </c>
      <c r="M1447">
        <v>6.4470655943944734E-4</v>
      </c>
      <c r="N1447">
        <v>6.7851146686437144E-2</v>
      </c>
      <c r="O1447">
        <v>8.776579915983837E-3</v>
      </c>
      <c r="P1447">
        <v>1.278984352431416E-2</v>
      </c>
      <c r="Q1447">
        <v>3.0058762415306642E-3</v>
      </c>
      <c r="R1447">
        <v>6.3348101281931926E-4</v>
      </c>
      <c r="S1447">
        <v>8.4031454662228222E-2</v>
      </c>
      <c r="T1447">
        <v>0.814409128965079</v>
      </c>
      <c r="U1447">
        <v>1.698690327253086E-2</v>
      </c>
      <c r="V1447">
        <v>1.0413573273085725E-2</v>
      </c>
      <c r="W1447">
        <v>4.0071102825159258E-2</v>
      </c>
      <c r="X1447">
        <v>9.9738061611296946E-3</v>
      </c>
      <c r="Y1447">
        <v>1.7241264899344345E-3</v>
      </c>
    </row>
    <row r="1448" spans="1:25">
      <c r="A1448" s="876"/>
      <c r="B1448" s="1202">
        <v>1198</v>
      </c>
      <c r="C1448" s="880">
        <v>1.0245129216880249</v>
      </c>
      <c r="D1448" s="880">
        <v>0.99988916796706329</v>
      </c>
      <c r="E1448" s="880">
        <v>1.0148634644987453</v>
      </c>
      <c r="F1448" s="880">
        <v>1.0249922073214608</v>
      </c>
      <c r="G1448" s="880">
        <v>1.0256191028429082</v>
      </c>
      <c r="H1448" s="880">
        <v>0.98791545615720411</v>
      </c>
      <c r="I1448" s="880">
        <v>0.9967689038004991</v>
      </c>
      <c r="K1448">
        <v>1.0672059723478444</v>
      </c>
      <c r="L1448">
        <v>0</v>
      </c>
      <c r="M1448">
        <v>6.4494271015745554E-4</v>
      </c>
      <c r="N1448">
        <v>6.7291337241559016E-2</v>
      </c>
      <c r="O1448">
        <v>8.5777921256859329E-3</v>
      </c>
      <c r="P1448">
        <v>1.2741476185727494E-2</v>
      </c>
      <c r="Q1448">
        <v>2.9269832122113377E-3</v>
      </c>
      <c r="R1448">
        <v>6.3391333394054205E-4</v>
      </c>
      <c r="S1448">
        <v>8.274539040438228E-2</v>
      </c>
      <c r="T1448">
        <v>0.81464050829885792</v>
      </c>
      <c r="U1448">
        <v>1.6506018136003393E-2</v>
      </c>
      <c r="V1448">
        <v>1.0410808816343334E-2</v>
      </c>
      <c r="W1448">
        <v>3.9818152509376453E-2</v>
      </c>
      <c r="X1448">
        <v>9.8332316684023452E-3</v>
      </c>
      <c r="Y1448">
        <v>1.7253031255117836E-3</v>
      </c>
    </row>
    <row r="1449" spans="1:25">
      <c r="A1449" s="876"/>
      <c r="B1449" s="1202">
        <v>1199</v>
      </c>
      <c r="C1449" s="880">
        <v>1.0001277828755695</v>
      </c>
      <c r="D1449" s="880">
        <v>1.0056961613480067</v>
      </c>
      <c r="E1449" s="880">
        <v>1.0059540301598369</v>
      </c>
      <c r="F1449" s="880">
        <v>0.97812306350027445</v>
      </c>
      <c r="G1449" s="880">
        <v>1.0322259590075027</v>
      </c>
      <c r="H1449" s="880">
        <v>1.01952101424603</v>
      </c>
      <c r="I1449" s="880">
        <v>0.96471709563144004</v>
      </c>
      <c r="K1449">
        <v>1.0738671217091216</v>
      </c>
      <c r="L1449">
        <v>0</v>
      </c>
      <c r="M1449">
        <v>6.9260151379266167E-4</v>
      </c>
      <c r="N1449">
        <v>7.0327297129189351E-2</v>
      </c>
      <c r="O1449">
        <v>8.7598504598121133E-3</v>
      </c>
      <c r="P1449">
        <v>1.2675067197409923E-2</v>
      </c>
      <c r="Q1449">
        <v>2.9638892235640253E-3</v>
      </c>
      <c r="R1449">
        <v>6.8111941466197294E-4</v>
      </c>
      <c r="S1449">
        <v>8.288787440448285E-2</v>
      </c>
      <c r="T1449">
        <v>0.81535666063380752</v>
      </c>
      <c r="U1449">
        <v>1.6908468253257512E-2</v>
      </c>
      <c r="V1449">
        <v>1.0413122374936868E-2</v>
      </c>
      <c r="W1449">
        <v>4.1867235031801002E-2</v>
      </c>
      <c r="X1449">
        <v>9.8653565842351035E-3</v>
      </c>
      <c r="Y1449">
        <v>1.8537825157551914E-3</v>
      </c>
    </row>
    <row r="1450" spans="1:25">
      <c r="A1450" s="876"/>
      <c r="B1450" s="1202">
        <v>1200</v>
      </c>
      <c r="C1450" s="880">
        <v>0.98992628273250527</v>
      </c>
      <c r="D1450" s="880">
        <v>0.98820212751920156</v>
      </c>
      <c r="E1450" s="880">
        <v>0.98229727331054417</v>
      </c>
      <c r="F1450" s="880">
        <v>0.97931478495057822</v>
      </c>
      <c r="G1450" s="880">
        <v>0.97185510150690857</v>
      </c>
      <c r="H1450" s="880">
        <v>0.9798913796360007</v>
      </c>
      <c r="I1450" s="880">
        <v>0.99786543672550321</v>
      </c>
      <c r="K1450">
        <v>1.0743683984630301</v>
      </c>
      <c r="L1450">
        <v>0</v>
      </c>
      <c r="M1450">
        <v>7.1349335558200833E-4</v>
      </c>
      <c r="N1450">
        <v>6.7261505718760412E-2</v>
      </c>
      <c r="O1450">
        <v>8.9333544155297383E-3</v>
      </c>
      <c r="P1450">
        <v>1.2521190569430907E-2</v>
      </c>
      <c r="Q1450">
        <v>2.9474665314404521E-3</v>
      </c>
      <c r="R1450">
        <v>7.0120239907747576E-4</v>
      </c>
      <c r="S1450">
        <v>8.594329569973648E-2</v>
      </c>
      <c r="T1450">
        <v>0.8172713127200999</v>
      </c>
      <c r="U1450">
        <v>1.7082715310147888E-2</v>
      </c>
      <c r="V1450">
        <v>1.0414124066223751E-2</v>
      </c>
      <c r="W1450">
        <v>4.0698261702985586E-2</v>
      </c>
      <c r="X1450">
        <v>9.3990209062002131E-3</v>
      </c>
      <c r="Y1450">
        <v>1.9084417789801565E-3</v>
      </c>
    </row>
    <row r="1451" spans="1:25">
      <c r="A1451" s="876"/>
      <c r="B1451" s="1202">
        <v>1201</v>
      </c>
      <c r="C1451" s="880">
        <v>1.0260302699865596</v>
      </c>
      <c r="D1451" s="880">
        <v>1.0146391024292638</v>
      </c>
      <c r="E1451" s="880">
        <v>1.0160117100393982</v>
      </c>
      <c r="F1451" s="880">
        <v>1.0061192857078469</v>
      </c>
      <c r="G1451" s="880">
        <v>1.0133245694331812</v>
      </c>
      <c r="H1451" s="880">
        <v>0.98699228114350135</v>
      </c>
      <c r="I1451" s="880">
        <v>0.96363455341551552</v>
      </c>
      <c r="K1451">
        <v>1.0624035335445223</v>
      </c>
      <c r="L1451">
        <v>0</v>
      </c>
      <c r="M1451">
        <v>6.3685214365373553E-4</v>
      </c>
      <c r="N1451">
        <v>6.6682384693342034E-2</v>
      </c>
      <c r="O1451">
        <v>8.4985273469958076E-3</v>
      </c>
      <c r="P1451">
        <v>1.2702593907524607E-2</v>
      </c>
      <c r="Q1451">
        <v>2.906423697924218E-3</v>
      </c>
      <c r="R1451">
        <v>6.2593924859785524E-4</v>
      </c>
      <c r="S1451">
        <v>7.9265877215519268E-2</v>
      </c>
      <c r="T1451">
        <v>0.81454840739875123</v>
      </c>
      <c r="U1451">
        <v>1.6481608155843094E-2</v>
      </c>
      <c r="V1451">
        <v>1.0410668491078303E-2</v>
      </c>
      <c r="W1451">
        <v>3.942716087571952E-2</v>
      </c>
      <c r="X1451">
        <v>9.7871943630143485E-3</v>
      </c>
      <c r="Y1451">
        <v>1.7036002938655172E-3</v>
      </c>
    </row>
    <row r="1452" spans="1:25">
      <c r="A1452" s="876"/>
      <c r="B1452" s="1202">
        <v>1202</v>
      </c>
      <c r="C1452" s="880">
        <v>1.0413429707698347</v>
      </c>
      <c r="D1452" s="880">
        <v>1.0236093807217275</v>
      </c>
      <c r="E1452" s="880">
        <v>0.98411589718932579</v>
      </c>
      <c r="F1452" s="880">
        <v>1.0121724505069123</v>
      </c>
      <c r="G1452" s="880">
        <v>1.0075343030001844</v>
      </c>
      <c r="H1452" s="880">
        <v>0.98739139959783739</v>
      </c>
      <c r="I1452" s="880">
        <v>1.0158906762421278</v>
      </c>
      <c r="K1452">
        <v>1.0618436015440174</v>
      </c>
      <c r="L1452">
        <v>0</v>
      </c>
      <c r="M1452">
        <v>6.6822438763649151E-4</v>
      </c>
      <c r="N1452">
        <v>6.335743156622968E-2</v>
      </c>
      <c r="O1452">
        <v>8.3344170966190654E-3</v>
      </c>
      <c r="P1452">
        <v>1.2471720963679243E-2</v>
      </c>
      <c r="Q1452">
        <v>2.7621672346218513E-3</v>
      </c>
      <c r="R1452">
        <v>6.5677119683816556E-4</v>
      </c>
      <c r="S1452">
        <v>8.1989981888705377E-2</v>
      </c>
      <c r="T1452">
        <v>0.81712344953334815</v>
      </c>
      <c r="U1452">
        <v>1.6239250026771537E-2</v>
      </c>
      <c r="V1452">
        <v>1.040927525075315E-2</v>
      </c>
      <c r="W1452">
        <v>3.8287765616793534E-2</v>
      </c>
      <c r="X1452">
        <v>9.0920808640661769E-3</v>
      </c>
      <c r="Y1452">
        <v>1.7875146932266361E-3</v>
      </c>
    </row>
    <row r="1453" spans="1:25">
      <c r="A1453" s="876"/>
      <c r="B1453" s="1202">
        <v>1203</v>
      </c>
      <c r="C1453" s="880">
        <v>0.99972568356712832</v>
      </c>
      <c r="D1453" s="880">
        <v>1.0166850329657888</v>
      </c>
      <c r="E1453" s="880">
        <v>1.0131055732040892</v>
      </c>
      <c r="F1453" s="880">
        <v>0.96899304590277091</v>
      </c>
      <c r="G1453" s="880">
        <v>0.96758985044743473</v>
      </c>
      <c r="H1453" s="880">
        <v>0.99598475714438117</v>
      </c>
      <c r="I1453" s="880">
        <v>0.98894248621881198</v>
      </c>
      <c r="K1453">
        <v>1.0714936331946385</v>
      </c>
      <c r="L1453">
        <v>0</v>
      </c>
      <c r="M1453">
        <v>6.6291219701534836E-4</v>
      </c>
      <c r="N1453">
        <v>6.8797619182190142E-2</v>
      </c>
      <c r="O1453">
        <v>8.712788450677432E-3</v>
      </c>
      <c r="P1453">
        <v>1.2746009417690296E-2</v>
      </c>
      <c r="Q1453">
        <v>2.9715211642458916E-3</v>
      </c>
      <c r="R1453">
        <v>6.5165365264356991E-4</v>
      </c>
      <c r="S1453">
        <v>8.3719755352492681E-2</v>
      </c>
      <c r="T1453">
        <v>0.81478159596382926</v>
      </c>
      <c r="U1453">
        <v>1.6915269002206117E-2</v>
      </c>
      <c r="V1453">
        <v>1.0413161470294266E-2</v>
      </c>
      <c r="W1453">
        <v>4.0757981559661059E-2</v>
      </c>
      <c r="X1453">
        <v>9.9156037507958424E-3</v>
      </c>
      <c r="Y1453">
        <v>1.7735864249269367E-3</v>
      </c>
    </row>
    <row r="1454" spans="1:25">
      <c r="A1454" s="876"/>
      <c r="B1454" s="1202">
        <v>1204</v>
      </c>
      <c r="C1454" s="880">
        <v>0.97291848228106115</v>
      </c>
      <c r="D1454" s="880">
        <v>0.98360144077835265</v>
      </c>
      <c r="E1454" s="880">
        <v>0.99544643274643096</v>
      </c>
      <c r="F1454" s="880">
        <v>0.98962472715465177</v>
      </c>
      <c r="G1454" s="880">
        <v>1.0288180426179503</v>
      </c>
      <c r="H1454" s="880">
        <v>0.95561749271142549</v>
      </c>
      <c r="I1454" s="880">
        <v>0.97921947075791393</v>
      </c>
      <c r="K1454">
        <v>1.0738538094142211</v>
      </c>
      <c r="L1454">
        <v>0</v>
      </c>
      <c r="M1454">
        <v>6.9039374080149553E-4</v>
      </c>
      <c r="N1454">
        <v>6.7774102023717031E-2</v>
      </c>
      <c r="O1454">
        <v>9.1121983809749844E-3</v>
      </c>
      <c r="P1454">
        <v>1.2624545129012045E-2</v>
      </c>
      <c r="Q1454">
        <v>3.0456563722673293E-3</v>
      </c>
      <c r="R1454">
        <v>6.7820281440509906E-4</v>
      </c>
      <c r="S1454">
        <v>8.5130358070142464E-2</v>
      </c>
      <c r="T1454">
        <v>0.81620474500453255</v>
      </c>
      <c r="U1454">
        <v>1.7381341986950911E-2</v>
      </c>
      <c r="V1454">
        <v>1.0415840776655066E-2</v>
      </c>
      <c r="W1454">
        <v>4.0638256662768747E-2</v>
      </c>
      <c r="X1454">
        <v>9.6931114422838423E-3</v>
      </c>
      <c r="Y1454">
        <v>1.8458444913129967E-3</v>
      </c>
    </row>
    <row r="1455" spans="1:25">
      <c r="A1455" s="876"/>
      <c r="B1455" s="1202">
        <v>1205</v>
      </c>
      <c r="C1455" s="880">
        <v>1.0171762181327493</v>
      </c>
      <c r="D1455" s="880">
        <v>1.0067689913151989</v>
      </c>
      <c r="E1455" s="880">
        <v>1.0097197355646823</v>
      </c>
      <c r="F1455" s="880">
        <v>1.0002855769417442</v>
      </c>
      <c r="G1455" s="880">
        <v>0.97123239500415171</v>
      </c>
      <c r="H1455" s="880">
        <v>0.99312501815610821</v>
      </c>
      <c r="I1455" s="880">
        <v>0.97681206987240676</v>
      </c>
      <c r="K1455">
        <v>1.0670415145172381</v>
      </c>
      <c r="L1455">
        <v>0</v>
      </c>
      <c r="M1455">
        <v>6.5774268740346337E-4</v>
      </c>
      <c r="N1455">
        <v>6.7543931674599295E-2</v>
      </c>
      <c r="O1455">
        <v>8.6081377782483565E-3</v>
      </c>
      <c r="P1455">
        <v>1.2684366668680249E-2</v>
      </c>
      <c r="Q1455">
        <v>2.9237872301105449E-3</v>
      </c>
      <c r="R1455">
        <v>6.4654779169545271E-4</v>
      </c>
      <c r="S1455">
        <v>8.1573524975834547E-2</v>
      </c>
      <c r="T1455">
        <v>0.81505363849336543</v>
      </c>
      <c r="U1455">
        <v>1.6625072985874154E-2</v>
      </c>
      <c r="V1455">
        <v>1.0411493225066844E-2</v>
      </c>
      <c r="W1455">
        <v>4.0107331317541253E-2</v>
      </c>
      <c r="X1455">
        <v>9.7617351090507603E-3</v>
      </c>
      <c r="Y1455">
        <v>1.7596899545727707E-3</v>
      </c>
    </row>
    <row r="1456" spans="1:25">
      <c r="A1456" s="876"/>
      <c r="B1456" s="1202">
        <v>1206</v>
      </c>
      <c r="C1456" s="880">
        <v>1.0077446767297487</v>
      </c>
      <c r="D1456" s="880">
        <v>0.9736994414766722</v>
      </c>
      <c r="E1456" s="880">
        <v>0.97755603475694575</v>
      </c>
      <c r="F1456" s="880">
        <v>1.0154153496342555</v>
      </c>
      <c r="G1456" s="880">
        <v>1.0174473994850679</v>
      </c>
      <c r="H1456" s="880">
        <v>1.0438667199593281</v>
      </c>
      <c r="I1456" s="880">
        <v>0.96486223738010379</v>
      </c>
      <c r="K1456">
        <v>1.0785266144059218</v>
      </c>
      <c r="L1456">
        <v>0</v>
      </c>
      <c r="M1456">
        <v>7.6007112824416471E-4</v>
      </c>
      <c r="N1456">
        <v>7.0678835308356211E-2</v>
      </c>
      <c r="O1456">
        <v>8.8449879720446066E-3</v>
      </c>
      <c r="P1456">
        <v>1.245727925845547E-2</v>
      </c>
      <c r="Q1456">
        <v>2.9010488118349723E-3</v>
      </c>
      <c r="R1456">
        <v>7.4779369887145817E-4</v>
      </c>
      <c r="S1456">
        <v>8.4457215355433643E-2</v>
      </c>
      <c r="T1456">
        <v>0.81765732534958957</v>
      </c>
      <c r="U1456">
        <v>1.6780668016852622E-2</v>
      </c>
      <c r="V1456">
        <v>1.0412387691748782E-2</v>
      </c>
      <c r="W1456">
        <v>4.290693761018638E-2</v>
      </c>
      <c r="X1456">
        <v>9.40695852258998E-3</v>
      </c>
      <c r="Y1456">
        <v>2.0352479382015278E-3</v>
      </c>
    </row>
    <row r="1457" spans="1:25">
      <c r="A1457" s="876"/>
      <c r="B1457" s="1202">
        <v>1207</v>
      </c>
      <c r="C1457" s="880">
        <v>1.0235672190151242</v>
      </c>
      <c r="D1457" s="880">
        <v>1.0215828614218132</v>
      </c>
      <c r="E1457" s="880">
        <v>0.96951959475859106</v>
      </c>
      <c r="F1457" s="880">
        <v>0.99647378818856991</v>
      </c>
      <c r="G1457" s="880">
        <v>0.9964922033160527</v>
      </c>
      <c r="H1457" s="880">
        <v>0.99516221984827602</v>
      </c>
      <c r="I1457" s="880">
        <v>1.0106848487243518</v>
      </c>
      <c r="K1457">
        <v>1.0662295572318998</v>
      </c>
      <c r="L1457">
        <v>0</v>
      </c>
      <c r="M1457">
        <v>7.0723256720230652E-4</v>
      </c>
      <c r="N1457">
        <v>6.4082900286020414E-2</v>
      </c>
      <c r="O1457">
        <v>8.4881029469439911E-3</v>
      </c>
      <c r="P1457">
        <v>1.2371283447219742E-2</v>
      </c>
      <c r="Q1457">
        <v>2.7711958592353367E-3</v>
      </c>
      <c r="R1457">
        <v>6.9520717364295569E-4</v>
      </c>
      <c r="S1457">
        <v>8.3339380870164584E-2</v>
      </c>
      <c r="T1457">
        <v>0.81831335571557995</v>
      </c>
      <c r="U1457">
        <v>1.6521268512510401E-2</v>
      </c>
      <c r="V1457">
        <v>1.0410896485940428E-2</v>
      </c>
      <c r="W1457">
        <v>3.9121286111594489E-2</v>
      </c>
      <c r="X1457">
        <v>8.9297876385748178E-3</v>
      </c>
      <c r="Y1457">
        <v>1.8921247516729262E-3</v>
      </c>
    </row>
    <row r="1458" spans="1:25">
      <c r="A1458" s="876"/>
      <c r="B1458" s="1202">
        <v>1208</v>
      </c>
      <c r="C1458" s="880">
        <v>0.99680618823365286</v>
      </c>
      <c r="D1458" s="880">
        <v>0.95807916692177109</v>
      </c>
      <c r="E1458" s="880">
        <v>1.0023684004204627</v>
      </c>
      <c r="F1458" s="880">
        <v>1.0069909588408399</v>
      </c>
      <c r="G1458" s="880">
        <v>0.98992668893462965</v>
      </c>
      <c r="H1458" s="880">
        <v>0.98271630736302307</v>
      </c>
      <c r="I1458" s="880">
        <v>1.0274353799838916</v>
      </c>
      <c r="K1458">
        <v>1.0798599672009681</v>
      </c>
      <c r="L1458">
        <v>0</v>
      </c>
      <c r="M1458">
        <v>6.9257749862977592E-4</v>
      </c>
      <c r="N1458">
        <v>6.9505414333632734E-2</v>
      </c>
      <c r="O1458">
        <v>9.0197584803588474E-3</v>
      </c>
      <c r="P1458">
        <v>1.2734435712401019E-2</v>
      </c>
      <c r="Q1458">
        <v>3.0297892613444567E-3</v>
      </c>
      <c r="R1458">
        <v>6.8070847661288287E-4</v>
      </c>
      <c r="S1458">
        <v>8.9354925614105241E-2</v>
      </c>
      <c r="T1458">
        <v>0.81564564058491174</v>
      </c>
      <c r="U1458">
        <v>1.6964811279831748E-2</v>
      </c>
      <c r="V1458">
        <v>1.0413446273198349E-2</v>
      </c>
      <c r="W1458">
        <v>4.1479299582372939E-2</v>
      </c>
      <c r="X1458">
        <v>9.8716510229766123E-3</v>
      </c>
      <c r="Y1458">
        <v>1.8526640778512599E-3</v>
      </c>
    </row>
    <row r="1459" spans="1:25">
      <c r="A1459" s="876"/>
      <c r="B1459" s="1202">
        <v>1209</v>
      </c>
      <c r="C1459" s="880">
        <v>0.98953527566826893</v>
      </c>
      <c r="D1459" s="880">
        <v>1.0204039753247944</v>
      </c>
      <c r="E1459" s="880">
        <v>1.0072559349063628</v>
      </c>
      <c r="F1459" s="880">
        <v>1.0344798111834026</v>
      </c>
      <c r="G1459" s="880">
        <v>0.98653420679465842</v>
      </c>
      <c r="H1459" s="880">
        <v>1.0205196973697308</v>
      </c>
      <c r="I1459" s="880">
        <v>1.035874402600756</v>
      </c>
      <c r="K1459">
        <v>1.0811731146777079</v>
      </c>
      <c r="L1459">
        <v>0</v>
      </c>
      <c r="M1459">
        <v>6.9341072498262449E-4</v>
      </c>
      <c r="N1459">
        <v>7.0694991207685645E-2</v>
      </c>
      <c r="O1459">
        <v>8.7854216083937155E-3</v>
      </c>
      <c r="P1459">
        <v>1.2776970902705421E-2</v>
      </c>
      <c r="Q1459">
        <v>2.9796308975602471E-3</v>
      </c>
      <c r="R1459">
        <v>6.8191427907766239E-4</v>
      </c>
      <c r="S1459">
        <v>8.9343762513236405E-2</v>
      </c>
      <c r="T1459">
        <v>0.81525184323257727</v>
      </c>
      <c r="U1459">
        <v>1.7089465410449374E-2</v>
      </c>
      <c r="V1459">
        <v>1.0414162870418096E-2</v>
      </c>
      <c r="W1459">
        <v>4.2048828479101442E-2</v>
      </c>
      <c r="X1459">
        <v>9.9435881268172214E-3</v>
      </c>
      <c r="Y1459">
        <v>1.8559458746677134E-3</v>
      </c>
    </row>
    <row r="1460" spans="1:25">
      <c r="A1460" s="876"/>
      <c r="B1460" s="1202">
        <v>1210</v>
      </c>
      <c r="C1460" s="880">
        <v>1.0061289299628802</v>
      </c>
      <c r="D1460" s="880">
        <v>1.0213064391153674</v>
      </c>
      <c r="E1460" s="880">
        <v>1.0366764369033452</v>
      </c>
      <c r="F1460" s="880">
        <v>1.0230742373636044</v>
      </c>
      <c r="G1460" s="880">
        <v>0.98438809791411674</v>
      </c>
      <c r="H1460" s="880">
        <v>1.0251968200214259</v>
      </c>
      <c r="I1460" s="880">
        <v>0.97183901236643655</v>
      </c>
      <c r="K1460">
        <v>1.073212696629859</v>
      </c>
      <c r="L1460">
        <v>0</v>
      </c>
      <c r="M1460">
        <v>6.4350570996188133E-4</v>
      </c>
      <c r="N1460">
        <v>7.18902573800939E-2</v>
      </c>
      <c r="O1460">
        <v>8.6364630167683077E-3</v>
      </c>
      <c r="P1460">
        <v>1.2923248763470858E-2</v>
      </c>
      <c r="Q1460">
        <v>3.0161505156806527E-3</v>
      </c>
      <c r="R1460">
        <v>6.3288465805677097E-4</v>
      </c>
      <c r="S1460">
        <v>8.2561814040570669E-2</v>
      </c>
      <c r="T1460">
        <v>0.81289857387995179</v>
      </c>
      <c r="U1460">
        <v>1.6807616163642455E-2</v>
      </c>
      <c r="V1460">
        <v>1.0412542608131988E-2</v>
      </c>
      <c r="W1460">
        <v>4.192036865826098E-2</v>
      </c>
      <c r="X1460">
        <v>1.043377924633241E-2</v>
      </c>
      <c r="Y1460">
        <v>1.7225034088590729E-3</v>
      </c>
    </row>
    <row r="1461" spans="1:25">
      <c r="A1461" s="876"/>
      <c r="B1461" s="1202">
        <v>1211</v>
      </c>
      <c r="C1461" s="880">
        <v>1.0222398416463756</v>
      </c>
      <c r="D1461" s="880">
        <v>0.98609084838233363</v>
      </c>
      <c r="E1461" s="880">
        <v>0.98941037895612916</v>
      </c>
      <c r="F1461" s="880">
        <v>1.009354556975113</v>
      </c>
      <c r="G1461" s="880">
        <v>0.98557211176787174</v>
      </c>
      <c r="H1461" s="880">
        <v>0.99624447825165885</v>
      </c>
      <c r="I1461" s="880">
        <v>1.0289240798204566</v>
      </c>
      <c r="K1461">
        <v>1.0725506255307045</v>
      </c>
      <c r="L1461">
        <v>0</v>
      </c>
      <c r="M1461">
        <v>6.9283769027357373E-4</v>
      </c>
      <c r="N1461">
        <v>6.6796721976589035E-2</v>
      </c>
      <c r="O1461">
        <v>8.6608507860972215E-3</v>
      </c>
      <c r="P1461">
        <v>1.2581133188021995E-2</v>
      </c>
      <c r="Q1461">
        <v>2.8777611674651324E-3</v>
      </c>
      <c r="R1461">
        <v>6.811003235039024E-4</v>
      </c>
      <c r="S1461">
        <v>8.6501491772307565E-2</v>
      </c>
      <c r="T1461">
        <v>0.81669361962452336</v>
      </c>
      <c r="U1461">
        <v>1.6542721362451326E-2</v>
      </c>
      <c r="V1461">
        <v>1.0411019811597939E-2</v>
      </c>
      <c r="W1461">
        <v>4.021885044724105E-2</v>
      </c>
      <c r="X1461">
        <v>9.4244622052632905E-3</v>
      </c>
      <c r="Y1461">
        <v>1.8537305559163215E-3</v>
      </c>
    </row>
    <row r="1462" spans="1:25">
      <c r="A1462" s="876"/>
      <c r="B1462" s="1202">
        <v>1212</v>
      </c>
      <c r="C1462" s="880">
        <v>1.031942600632106</v>
      </c>
      <c r="D1462" s="880">
        <v>0.97451376800422973</v>
      </c>
      <c r="E1462" s="880">
        <v>1.0065637300555395</v>
      </c>
      <c r="F1462" s="880">
        <v>1.033647717437608</v>
      </c>
      <c r="G1462" s="880">
        <v>1.0000801365505612</v>
      </c>
      <c r="H1462" s="880">
        <v>1.0069217173051759</v>
      </c>
      <c r="I1462" s="880">
        <v>0.98570015468580785</v>
      </c>
      <c r="K1462">
        <v>1.0700597445602058</v>
      </c>
      <c r="L1462">
        <v>0</v>
      </c>
      <c r="M1462">
        <v>6.7330045126584765E-4</v>
      </c>
      <c r="N1462">
        <v>6.8485461662636277E-2</v>
      </c>
      <c r="O1462">
        <v>8.6337232821874031E-3</v>
      </c>
      <c r="P1462">
        <v>1.2673708633457429E-2</v>
      </c>
      <c r="Q1462">
        <v>2.9161006143732216E-3</v>
      </c>
      <c r="R1462">
        <v>6.6202488344473283E-4</v>
      </c>
      <c r="S1462">
        <v>8.2943575348139051E-2</v>
      </c>
      <c r="T1462">
        <v>0.81530756602494325</v>
      </c>
      <c r="U1462">
        <v>1.6387179728401518E-2</v>
      </c>
      <c r="V1462">
        <v>1.041012565187808E-2</v>
      </c>
      <c r="W1462">
        <v>4.075382265636892E-2</v>
      </c>
      <c r="X1462">
        <v>9.757943029348317E-3</v>
      </c>
      <c r="Y1462">
        <v>1.8018134962923874E-3</v>
      </c>
    </row>
    <row r="1463" spans="1:25">
      <c r="A1463" s="876"/>
      <c r="B1463" s="1202">
        <v>1213</v>
      </c>
      <c r="C1463" s="880">
        <v>1.0081853367685367</v>
      </c>
      <c r="D1463" s="880">
        <v>1.026383368652285</v>
      </c>
      <c r="E1463" s="880">
        <v>0.99139239233551091</v>
      </c>
      <c r="F1463" s="880">
        <v>1.0061253164579187</v>
      </c>
      <c r="G1463" s="880">
        <v>1.0261927520883558</v>
      </c>
      <c r="H1463" s="880">
        <v>1.0066002874081217</v>
      </c>
      <c r="I1463" s="880">
        <v>0.97627923580436138</v>
      </c>
      <c r="K1463">
        <v>1.068429475562221</v>
      </c>
      <c r="L1463">
        <v>0</v>
      </c>
      <c r="M1463">
        <v>6.9195409266306672E-4</v>
      </c>
      <c r="N1463">
        <v>6.7132998079751607E-2</v>
      </c>
      <c r="O1463">
        <v>8.5961372296251438E-3</v>
      </c>
      <c r="P1463">
        <v>1.2538923942652266E-2</v>
      </c>
      <c r="Q1463">
        <v>2.8705365557884677E-3</v>
      </c>
      <c r="R1463">
        <v>6.8031821544698053E-4</v>
      </c>
      <c r="S1463">
        <v>8.1931055722385931E-2</v>
      </c>
      <c r="T1463">
        <v>0.81653295526841296</v>
      </c>
      <c r="U1463">
        <v>1.6773333482665787E-2</v>
      </c>
      <c r="V1463">
        <v>1.0412345527828657E-2</v>
      </c>
      <c r="W1463">
        <v>4.0366175166258858E-2</v>
      </c>
      <c r="X1463">
        <v>9.4350485484594494E-3</v>
      </c>
      <c r="Y1463">
        <v>1.851601915607232E-3</v>
      </c>
    </row>
    <row r="1464" spans="1:25">
      <c r="A1464" s="876"/>
      <c r="B1464" s="1202">
        <v>1214</v>
      </c>
      <c r="C1464" s="880">
        <v>1.0126602167157917</v>
      </c>
      <c r="D1464" s="880">
        <v>0.99395814656687165</v>
      </c>
      <c r="E1464" s="880">
        <v>1.0022579460104017</v>
      </c>
      <c r="F1464" s="880">
        <v>0.99755071717422716</v>
      </c>
      <c r="G1464" s="880">
        <v>1.0104938699819899</v>
      </c>
      <c r="H1464" s="880">
        <v>1.0360598194870116</v>
      </c>
      <c r="I1464" s="880">
        <v>1.0417768331353725</v>
      </c>
      <c r="K1464">
        <v>1.0814033004061236</v>
      </c>
      <c r="L1464">
        <v>0</v>
      </c>
      <c r="M1464">
        <v>7.0495106654503922E-4</v>
      </c>
      <c r="N1464">
        <v>7.0783188168369676E-2</v>
      </c>
      <c r="O1464">
        <v>8.7057752778241463E-3</v>
      </c>
      <c r="P1464">
        <v>1.2732252596940099E-2</v>
      </c>
      <c r="Q1464">
        <v>2.932121957661073E-3</v>
      </c>
      <c r="R1464">
        <v>6.9346070332401634E-4</v>
      </c>
      <c r="S1464">
        <v>8.9530136133412222E-2</v>
      </c>
      <c r="T1464">
        <v>0.81565454947876492</v>
      </c>
      <c r="U1464">
        <v>1.6699213207758926E-2</v>
      </c>
      <c r="V1464">
        <v>1.0411919433782181E-2</v>
      </c>
      <c r="W1464">
        <v>4.2245034348404341E-2</v>
      </c>
      <c r="X1464">
        <v>9.8332287312391416E-3</v>
      </c>
      <c r="Y1464">
        <v>1.8873714351885593E-3</v>
      </c>
    </row>
    <row r="1465" spans="1:25">
      <c r="A1465" s="876"/>
      <c r="B1465" s="1202">
        <v>1215</v>
      </c>
      <c r="C1465" s="880">
        <v>0.99455524058599853</v>
      </c>
      <c r="D1465" s="880">
        <v>0.96768181170142709</v>
      </c>
      <c r="E1465" s="880">
        <v>1.0033287537541711</v>
      </c>
      <c r="F1465" s="880">
        <v>1.0069236524893734</v>
      </c>
      <c r="G1465" s="880">
        <v>1.0152880143418048</v>
      </c>
      <c r="H1465" s="880">
        <v>0.98324665494109043</v>
      </c>
      <c r="I1465" s="880">
        <v>0.95820234516352287</v>
      </c>
      <c r="K1465">
        <v>1.0732499757443534</v>
      </c>
      <c r="L1465">
        <v>0</v>
      </c>
      <c r="M1465">
        <v>6.8943492230585577E-4</v>
      </c>
      <c r="N1465">
        <v>6.939677402702972E-2</v>
      </c>
      <c r="O1465">
        <v>8.992049215787376E-3</v>
      </c>
      <c r="P1465">
        <v>1.2657790011122058E-2</v>
      </c>
      <c r="Q1465">
        <v>3.0256841239389804E-3</v>
      </c>
      <c r="R1465">
        <v>6.7761733543569348E-4</v>
      </c>
      <c r="S1465">
        <v>8.3125546999522612E-2</v>
      </c>
      <c r="T1465">
        <v>0.81556819908412226</v>
      </c>
      <c r="U1465">
        <v>1.700320723863314E-2</v>
      </c>
      <c r="V1465">
        <v>1.0413666999436542E-2</v>
      </c>
      <c r="W1465">
        <v>4.1387314412251193E-2</v>
      </c>
      <c r="X1465">
        <v>9.8473102088185629E-3</v>
      </c>
      <c r="Y1465">
        <v>1.8442510105613648E-3</v>
      </c>
    </row>
    <row r="1466" spans="1:25">
      <c r="A1466" s="876"/>
      <c r="B1466" s="1202">
        <v>1216</v>
      </c>
      <c r="C1466" s="880">
        <v>0.99191083023249416</v>
      </c>
      <c r="D1466" s="880">
        <v>1.0102392147946673</v>
      </c>
      <c r="E1466" s="880">
        <v>0.98668322293493349</v>
      </c>
      <c r="F1466" s="880">
        <v>1.0099677180652786</v>
      </c>
      <c r="G1466" s="880">
        <v>0.99770653078259108</v>
      </c>
      <c r="H1466" s="880">
        <v>0.97786002663727845</v>
      </c>
      <c r="I1466" s="880">
        <v>1.0200395194923855</v>
      </c>
      <c r="K1466">
        <v>1.0732010231102216</v>
      </c>
      <c r="L1466">
        <v>0</v>
      </c>
      <c r="M1466">
        <v>6.9585873400646568E-4</v>
      </c>
      <c r="N1466">
        <v>6.6497052064180912E-2</v>
      </c>
      <c r="O1466">
        <v>8.8112293823932961E-3</v>
      </c>
      <c r="P1466">
        <v>1.2567065409891503E-2</v>
      </c>
      <c r="Q1466">
        <v>2.9249450103284373E-3</v>
      </c>
      <c r="R1466">
        <v>6.8382718168403698E-4</v>
      </c>
      <c r="S1466">
        <v>8.6645536759237002E-2</v>
      </c>
      <c r="T1466">
        <v>0.81691490382757304</v>
      </c>
      <c r="U1466">
        <v>1.7048537379099567E-2</v>
      </c>
      <c r="V1466">
        <v>1.0413927588094674E-2</v>
      </c>
      <c r="W1466">
        <v>4.0113827888814894E-2</v>
      </c>
      <c r="X1466">
        <v>9.4148771879572404E-3</v>
      </c>
      <c r="Y1466">
        <v>1.8611521649740898E-3</v>
      </c>
    </row>
    <row r="1467" spans="1:25">
      <c r="A1467" s="876"/>
      <c r="B1467" s="1202">
        <v>1217</v>
      </c>
      <c r="C1467" s="880">
        <v>1.0190060326593022</v>
      </c>
      <c r="D1467" s="880">
        <v>0.99370648934716732</v>
      </c>
      <c r="E1467" s="880">
        <v>1.0214487936286574</v>
      </c>
      <c r="F1467" s="880">
        <v>1.0145641475275169</v>
      </c>
      <c r="G1467" s="880">
        <v>0.98554963275858276</v>
      </c>
      <c r="H1467" s="880">
        <v>1.0176691115496166</v>
      </c>
      <c r="I1467" s="880">
        <v>0.99768037565916035</v>
      </c>
      <c r="K1467">
        <v>1.0739108337197629</v>
      </c>
      <c r="L1467">
        <v>0</v>
      </c>
      <c r="M1467">
        <v>6.6091031353636073E-4</v>
      </c>
      <c r="N1467">
        <v>7.0419104729470994E-2</v>
      </c>
      <c r="O1467">
        <v>8.6527294576501951E-3</v>
      </c>
      <c r="P1467">
        <v>1.2822537303533568E-2</v>
      </c>
      <c r="Q1467">
        <v>2.970588376432035E-3</v>
      </c>
      <c r="R1467">
        <v>6.4994332331965614E-4</v>
      </c>
      <c r="S1467">
        <v>8.4571363788566237E-2</v>
      </c>
      <c r="T1467">
        <v>0.81411290843808448</v>
      </c>
      <c r="U1467">
        <v>1.6595219580614939E-2</v>
      </c>
      <c r="V1467">
        <v>1.0411321607270442E-2</v>
      </c>
      <c r="W1467">
        <v>4.1483952098900288E-2</v>
      </c>
      <c r="X1467">
        <v>1.011314385713814E-2</v>
      </c>
      <c r="Y1467">
        <v>1.768931472317154E-3</v>
      </c>
    </row>
    <row r="1468" spans="1:25">
      <c r="A1468" s="876"/>
      <c r="B1468" s="1202">
        <v>1218</v>
      </c>
      <c r="C1468" s="880">
        <v>0.98625864516134643</v>
      </c>
      <c r="D1468" s="880">
        <v>1.0020607014284295</v>
      </c>
      <c r="E1468" s="880">
        <v>0.99735053882245184</v>
      </c>
      <c r="F1468" s="880">
        <v>0.98692707913578737</v>
      </c>
      <c r="G1468" s="880">
        <v>0.99035182171712621</v>
      </c>
      <c r="H1468" s="880">
        <v>0.98930719212016527</v>
      </c>
      <c r="I1468" s="880">
        <v>1.0057606384392201</v>
      </c>
      <c r="K1468">
        <v>1.0762467755460101</v>
      </c>
      <c r="L1468">
        <v>0</v>
      </c>
      <c r="M1468">
        <v>6.9532879173853394E-4</v>
      </c>
      <c r="N1468">
        <v>6.8704624677196971E-2</v>
      </c>
      <c r="O1468">
        <v>8.9001997638329632E-3</v>
      </c>
      <c r="P1468">
        <v>1.2658460227934629E-2</v>
      </c>
      <c r="Q1468">
        <v>2.9846635535974143E-3</v>
      </c>
      <c r="R1468">
        <v>6.834525838288045E-4</v>
      </c>
      <c r="S1468">
        <v>8.6687306286376942E-2</v>
      </c>
      <c r="T1468">
        <v>0.81605078338826142</v>
      </c>
      <c r="U1468">
        <v>1.7146241453919919E-2</v>
      </c>
      <c r="V1468">
        <v>1.0414489257956934E-2</v>
      </c>
      <c r="W1468">
        <v>4.1142437181801661E-2</v>
      </c>
      <c r="X1468">
        <v>9.709313329942678E-3</v>
      </c>
      <c r="Y1468">
        <v>1.8601326330982969E-3</v>
      </c>
    </row>
    <row r="1469" spans="1:25">
      <c r="A1469" s="876"/>
      <c r="B1469" s="1202">
        <v>1219</v>
      </c>
      <c r="C1469" s="880">
        <v>1.0014615085947498</v>
      </c>
      <c r="D1469" s="880">
        <v>0.98752551355573692</v>
      </c>
      <c r="E1469" s="880">
        <v>0.98343025225285718</v>
      </c>
      <c r="F1469" s="880">
        <v>1.0058268946350339</v>
      </c>
      <c r="G1469" s="880">
        <v>0.99828114859204986</v>
      </c>
      <c r="H1469" s="880">
        <v>0.98540850424916981</v>
      </c>
      <c r="I1469" s="880">
        <v>0.97358152956172628</v>
      </c>
      <c r="K1469">
        <v>1.0705314066076079</v>
      </c>
      <c r="L1469">
        <v>0</v>
      </c>
      <c r="M1469">
        <v>7.0781846975496326E-4</v>
      </c>
      <c r="N1469">
        <v>6.6969075178162529E-2</v>
      </c>
      <c r="O1469">
        <v>8.8336862060088076E-3</v>
      </c>
      <c r="P1469">
        <v>1.2489820373127247E-2</v>
      </c>
      <c r="Q1469">
        <v>2.9177848856534682E-3</v>
      </c>
      <c r="R1469">
        <v>6.9569415191955556E-4</v>
      </c>
      <c r="S1469">
        <v>8.3107315275034219E-2</v>
      </c>
      <c r="T1469">
        <v>0.81717918273329759</v>
      </c>
      <c r="U1469">
        <v>1.6885949905035658E-2</v>
      </c>
      <c r="V1469">
        <v>1.0412992924066295E-2</v>
      </c>
      <c r="W1469">
        <v>4.0489539333359498E-2</v>
      </c>
      <c r="X1469">
        <v>9.3647339656878943E-3</v>
      </c>
      <c r="Y1469">
        <v>1.893450146009485E-3</v>
      </c>
    </row>
    <row r="1470" spans="1:25">
      <c r="A1470" s="876"/>
      <c r="B1470" s="1202">
        <v>1220</v>
      </c>
      <c r="C1470" s="880">
        <v>0.95803789358260116</v>
      </c>
      <c r="D1470" s="880">
        <v>0.97779105371967123</v>
      </c>
      <c r="E1470" s="880">
        <v>0.9692834301362907</v>
      </c>
      <c r="F1470" s="880">
        <v>1.0392262092187563</v>
      </c>
      <c r="G1470" s="880">
        <v>0.97469869997234804</v>
      </c>
      <c r="H1470" s="880">
        <v>0.99273442024847358</v>
      </c>
      <c r="I1470" s="880">
        <v>0.99820760048007218</v>
      </c>
      <c r="K1470">
        <v>1.0849712692091564</v>
      </c>
      <c r="L1470">
        <v>0</v>
      </c>
      <c r="M1470">
        <v>7.7192194411399625E-4</v>
      </c>
      <c r="N1470">
        <v>6.9893904302458024E-2</v>
      </c>
      <c r="O1470">
        <v>9.2830702702254193E-3</v>
      </c>
      <c r="P1470">
        <v>1.2470459354233484E-2</v>
      </c>
      <c r="Q1470">
        <v>3.0201035060738305E-3</v>
      </c>
      <c r="R1470">
        <v>7.588067802645562E-4</v>
      </c>
      <c r="S1470">
        <v>8.978912885997925E-2</v>
      </c>
      <c r="T1470">
        <v>0.81833266728393528</v>
      </c>
      <c r="U1470">
        <v>1.765131523421766E-2</v>
      </c>
      <c r="V1470">
        <v>1.0417392767571356E-2</v>
      </c>
      <c r="W1470">
        <v>4.2675829073227124E-2</v>
      </c>
      <c r="X1470">
        <v>9.3852918057916804E-3</v>
      </c>
      <c r="Y1470">
        <v>2.0652219152922347E-3</v>
      </c>
    </row>
    <row r="1471" spans="1:25">
      <c r="A1471" s="876"/>
      <c r="B1471" s="1202">
        <v>1221</v>
      </c>
      <c r="C1471" s="880">
        <v>0.9631255782919117</v>
      </c>
      <c r="D1471" s="880">
        <v>0.99301811833878217</v>
      </c>
      <c r="E1471" s="880">
        <v>1.0190163364483082</v>
      </c>
      <c r="F1471" s="880">
        <v>1.0423337538201398</v>
      </c>
      <c r="G1471" s="880">
        <v>1.018971282693774</v>
      </c>
      <c r="H1471" s="880">
        <v>0.99257675499914111</v>
      </c>
      <c r="I1471" s="880">
        <v>1.0028866008616277</v>
      </c>
      <c r="K1471">
        <v>1.0839136435185892</v>
      </c>
      <c r="L1471">
        <v>0</v>
      </c>
      <c r="M1471">
        <v>6.8578135062488362E-4</v>
      </c>
      <c r="N1471">
        <v>7.2488157382258056E-2</v>
      </c>
      <c r="O1471">
        <v>9.1581458108024247E-3</v>
      </c>
      <c r="P1471">
        <v>1.287760591307819E-2</v>
      </c>
      <c r="Q1471">
        <v>3.1363482619761913E-3</v>
      </c>
      <c r="R1471">
        <v>6.7411457279463493E-4</v>
      </c>
      <c r="S1471">
        <v>8.9038519456718784E-2</v>
      </c>
      <c r="T1471">
        <v>0.81430761857893574</v>
      </c>
      <c r="U1471">
        <v>1.7558072640893947E-2</v>
      </c>
      <c r="V1471">
        <v>1.0416856745356881E-2</v>
      </c>
      <c r="W1471">
        <v>4.2772970041046694E-2</v>
      </c>
      <c r="X1471">
        <v>1.0336297820014207E-2</v>
      </c>
      <c r="Y1471">
        <v>1.8347176453377978E-3</v>
      </c>
    </row>
    <row r="1472" spans="1:25">
      <c r="A1472" s="876"/>
      <c r="B1472" s="1202">
        <v>1222</v>
      </c>
      <c r="C1472" s="880">
        <v>0.97515115551148568</v>
      </c>
      <c r="D1472" s="880">
        <v>0.99533060556741992</v>
      </c>
      <c r="E1472" s="880">
        <v>0.99248649127964073</v>
      </c>
      <c r="F1472" s="880">
        <v>1.0448757251589711</v>
      </c>
      <c r="G1472" s="880">
        <v>1.0110384684014053</v>
      </c>
      <c r="H1472" s="880">
        <v>1.002453265280993</v>
      </c>
      <c r="I1472" s="880">
        <v>0.96966808042139485</v>
      </c>
      <c r="K1472">
        <v>1.0783672235802841</v>
      </c>
      <c r="L1472">
        <v>0</v>
      </c>
      <c r="M1472">
        <v>7.2251086861917701E-4</v>
      </c>
      <c r="N1472">
        <v>7.0334484282879681E-2</v>
      </c>
      <c r="O1472">
        <v>9.0339884604820914E-3</v>
      </c>
      <c r="P1472">
        <v>1.260126855817144E-2</v>
      </c>
      <c r="Q1472">
        <v>3.0131939451425787E-3</v>
      </c>
      <c r="R1472">
        <v>7.1033825122156875E-4</v>
      </c>
      <c r="S1472">
        <v>8.5281163756803877E-2</v>
      </c>
      <c r="T1472">
        <v>0.81644432338432416</v>
      </c>
      <c r="U1472">
        <v>1.7341546251957642E-2</v>
      </c>
      <c r="V1472">
        <v>1.0415612003545724E-2</v>
      </c>
      <c r="W1472">
        <v>4.2259358811079763E-2</v>
      </c>
      <c r="X1472">
        <v>9.721150186411209E-3</v>
      </c>
      <c r="Y1472">
        <v>1.9333065568835274E-3</v>
      </c>
    </row>
    <row r="1473" spans="1:25">
      <c r="A1473" s="876"/>
      <c r="B1473" s="1202">
        <v>1223</v>
      </c>
      <c r="C1473" s="880">
        <v>0.97209432451560229</v>
      </c>
      <c r="D1473" s="880">
        <v>1.016997643897203</v>
      </c>
      <c r="E1473" s="880">
        <v>0.98531210001274416</v>
      </c>
      <c r="F1473" s="880">
        <v>0.98719985338516314</v>
      </c>
      <c r="G1473" s="880">
        <v>1.0325405505549663</v>
      </c>
      <c r="H1473" s="880">
        <v>1.0052976255562502</v>
      </c>
      <c r="I1473" s="880">
        <v>0.98946531526624182</v>
      </c>
      <c r="K1473">
        <v>1.0786590964808369</v>
      </c>
      <c r="L1473">
        <v>0</v>
      </c>
      <c r="M1473">
        <v>7.2948434999771893E-4</v>
      </c>
      <c r="N1473">
        <v>6.9446069788705378E-2</v>
      </c>
      <c r="O1473">
        <v>8.9589791209211365E-3</v>
      </c>
      <c r="P1473">
        <v>1.2557859278303243E-2</v>
      </c>
      <c r="Q1473">
        <v>2.9713343438304853E-3</v>
      </c>
      <c r="R1473">
        <v>7.172096755790826E-4</v>
      </c>
      <c r="S1473">
        <v>8.6467708629485968E-2</v>
      </c>
      <c r="T1473">
        <v>0.81702625334309575</v>
      </c>
      <c r="U1473">
        <v>1.7396078178297147E-2</v>
      </c>
      <c r="V1473">
        <v>1.0415925490364082E-2</v>
      </c>
      <c r="W1473">
        <v>4.1932508465498876E-2</v>
      </c>
      <c r="X1473">
        <v>9.546646207932814E-3</v>
      </c>
      <c r="Y1473">
        <v>1.9520083088202496E-3</v>
      </c>
    </row>
    <row r="1474" spans="1:25">
      <c r="A1474" s="876"/>
      <c r="B1474" s="1202">
        <v>1224</v>
      </c>
      <c r="C1474" s="880">
        <v>0.99084024243812241</v>
      </c>
      <c r="D1474" s="880">
        <v>0.97009245441632852</v>
      </c>
      <c r="E1474" s="880">
        <v>1.0073427362320893</v>
      </c>
      <c r="F1474" s="880">
        <v>1.0222268401480998</v>
      </c>
      <c r="G1474" s="880">
        <v>0.98383604437969063</v>
      </c>
      <c r="H1474" s="880">
        <v>0.98738598698166258</v>
      </c>
      <c r="I1474" s="880">
        <v>1.0359129794508399</v>
      </c>
      <c r="K1474">
        <v>1.0815049920859907</v>
      </c>
      <c r="L1474">
        <v>0</v>
      </c>
      <c r="M1474">
        <v>6.8816449351098783E-4</v>
      </c>
      <c r="N1474">
        <v>7.0143902149926246E-2</v>
      </c>
      <c r="O1474">
        <v>9.0137598705233388E-3</v>
      </c>
      <c r="P1474">
        <v>1.2789812149905074E-2</v>
      </c>
      <c r="Q1474">
        <v>3.0457890902232348E-3</v>
      </c>
      <c r="R1474">
        <v>6.764159578200161E-4</v>
      </c>
      <c r="S1474">
        <v>9.024919014475348E-2</v>
      </c>
      <c r="T1474">
        <v>0.81524485683823433</v>
      </c>
      <c r="U1474">
        <v>1.7066958064138636E-2</v>
      </c>
      <c r="V1474">
        <v>1.0414033482794044E-2</v>
      </c>
      <c r="W1474">
        <v>4.1718579731397788E-2</v>
      </c>
      <c r="X1474">
        <v>9.9888778430585554E-3</v>
      </c>
      <c r="Y1474">
        <v>1.8409812567255156E-3</v>
      </c>
    </row>
    <row r="1475" spans="1:25">
      <c r="A1475" s="876"/>
      <c r="B1475" s="1202">
        <v>1225</v>
      </c>
      <c r="C1475" s="880">
        <v>0.97331595543240923</v>
      </c>
      <c r="D1475" s="880">
        <v>1.033284030817843</v>
      </c>
      <c r="E1475" s="880">
        <v>1.0342269425925239</v>
      </c>
      <c r="F1475" s="880">
        <v>1.0041163322946076</v>
      </c>
      <c r="G1475" s="880">
        <v>1.0149512852551319</v>
      </c>
      <c r="H1475" s="880">
        <v>0.99854946921133447</v>
      </c>
      <c r="I1475" s="880">
        <v>0.98145143792515943</v>
      </c>
      <c r="K1475">
        <v>1.07635113726014</v>
      </c>
      <c r="L1475">
        <v>0</v>
      </c>
      <c r="M1475">
        <v>6.4726152596561145E-4</v>
      </c>
      <c r="N1475">
        <v>7.1729137968487885E-2</v>
      </c>
      <c r="O1475">
        <v>8.8724250713701353E-3</v>
      </c>
      <c r="P1475">
        <v>1.2941643372962615E-2</v>
      </c>
      <c r="Q1475">
        <v>3.0937457541773072E-3</v>
      </c>
      <c r="R1475">
        <v>6.3628411108035182E-4</v>
      </c>
      <c r="S1475">
        <v>8.4747229328384369E-2</v>
      </c>
      <c r="T1475">
        <v>0.81309337544553839</v>
      </c>
      <c r="U1475">
        <v>1.7374243966276688E-2</v>
      </c>
      <c r="V1475">
        <v>1.0415799972376415E-2</v>
      </c>
      <c r="W1475">
        <v>4.1894870573355461E-2</v>
      </c>
      <c r="X1475">
        <v>1.0467887622735369E-2</v>
      </c>
      <c r="Y1475">
        <v>1.7317555993598722E-3</v>
      </c>
    </row>
    <row r="1476" spans="1:25">
      <c r="A1476" s="876"/>
      <c r="B1476" s="1202">
        <v>1226</v>
      </c>
      <c r="C1476" s="880">
        <v>0.99134857341926863</v>
      </c>
      <c r="D1476" s="880">
        <v>0.99499521851159567</v>
      </c>
      <c r="E1476" s="880">
        <v>0.98864348111360167</v>
      </c>
      <c r="F1476" s="880">
        <v>0.96113524207510681</v>
      </c>
      <c r="G1476" s="880">
        <v>1.0224938085647683</v>
      </c>
      <c r="H1476" s="880">
        <v>0.99617587328512691</v>
      </c>
      <c r="I1476" s="880">
        <v>1.0206126476323705</v>
      </c>
      <c r="K1476">
        <v>1.0779467136552787</v>
      </c>
      <c r="L1476">
        <v>0</v>
      </c>
      <c r="M1476">
        <v>7.1211372779943498E-4</v>
      </c>
      <c r="N1476">
        <v>6.8490525261762053E-2</v>
      </c>
      <c r="O1476">
        <v>8.8879821323912464E-3</v>
      </c>
      <c r="P1476">
        <v>1.2603051562071857E-2</v>
      </c>
      <c r="Q1476">
        <v>2.9529312448710729E-3</v>
      </c>
      <c r="R1476">
        <v>7.000409754805637E-4</v>
      </c>
      <c r="S1476">
        <v>8.8078229187263282E-2</v>
      </c>
      <c r="T1476">
        <v>0.81675582101428656</v>
      </c>
      <c r="U1476">
        <v>1.7058206688718769E-2</v>
      </c>
      <c r="V1476">
        <v>1.0413983173901235E-2</v>
      </c>
      <c r="W1476">
        <v>4.1260515381501182E-2</v>
      </c>
      <c r="X1476">
        <v>9.5522599940172422E-3</v>
      </c>
      <c r="Y1476">
        <v>1.9052807668125476E-3</v>
      </c>
    </row>
    <row r="1477" spans="1:25">
      <c r="A1477" s="876"/>
      <c r="B1477" s="1202">
        <v>1227</v>
      </c>
      <c r="C1477" s="880">
        <v>0.96458779765188796</v>
      </c>
      <c r="D1477" s="880">
        <v>0.99660687012840077</v>
      </c>
      <c r="E1477" s="880">
        <v>1.0233363410094531</v>
      </c>
      <c r="F1477" s="880">
        <v>0.979331294403324</v>
      </c>
      <c r="G1477" s="880">
        <v>1.0067157420334809</v>
      </c>
      <c r="H1477" s="880">
        <v>0.99202671701201495</v>
      </c>
      <c r="I1477" s="880">
        <v>0.99977829314995426</v>
      </c>
      <c r="K1477">
        <v>1.0829013685152145</v>
      </c>
      <c r="L1477">
        <v>0</v>
      </c>
      <c r="M1477">
        <v>6.7684365865203569E-4</v>
      </c>
      <c r="N1477">
        <v>7.2508909271563685E-2</v>
      </c>
      <c r="O1477">
        <v>9.1266799298194284E-3</v>
      </c>
      <c r="P1477">
        <v>1.2905080407398541E-2</v>
      </c>
      <c r="Q1477">
        <v>3.1398636535632024E-3</v>
      </c>
      <c r="R1477">
        <v>6.6531948871696852E-4</v>
      </c>
      <c r="S1477">
        <v>8.8448405040171998E-2</v>
      </c>
      <c r="T1477">
        <v>0.81396195554794026</v>
      </c>
      <c r="U1477">
        <v>1.7531456345516915E-2</v>
      </c>
      <c r="V1477">
        <v>1.0416703736682626E-2</v>
      </c>
      <c r="W1477">
        <v>4.266077731740376E-2</v>
      </c>
      <c r="X1477">
        <v>1.0402281109310903E-2</v>
      </c>
      <c r="Y1477">
        <v>1.8107803257770769E-3</v>
      </c>
    </row>
    <row r="1478" spans="1:25">
      <c r="A1478" s="876"/>
      <c r="B1478" s="1202">
        <v>1228</v>
      </c>
      <c r="C1478" s="880">
        <v>1.0247757397299275</v>
      </c>
      <c r="D1478" s="880">
        <v>0.99204127194475189</v>
      </c>
      <c r="E1478" s="880">
        <v>1.0003525564820119</v>
      </c>
      <c r="F1478" s="880">
        <v>0.98798470250292347</v>
      </c>
      <c r="G1478" s="880">
        <v>1.0008310574766297</v>
      </c>
      <c r="H1478" s="880">
        <v>1.0165463484062738</v>
      </c>
      <c r="I1478" s="880">
        <v>0.99823254165433983</v>
      </c>
      <c r="K1478">
        <v>1.0720329173726371</v>
      </c>
      <c r="L1478">
        <v>0</v>
      </c>
      <c r="M1478">
        <v>6.8695067837771465E-4</v>
      </c>
      <c r="N1478">
        <v>6.8546517406754076E-2</v>
      </c>
      <c r="O1478">
        <v>8.6117166895084193E-3</v>
      </c>
      <c r="P1478">
        <v>1.2640420659390219E-2</v>
      </c>
      <c r="Q1478">
        <v>2.8944784363075272E-3</v>
      </c>
      <c r="R1478">
        <v>6.7554039995943013E-4</v>
      </c>
      <c r="S1478">
        <v>8.4172896631508717E-2</v>
      </c>
      <c r="T1478">
        <v>0.81580829728052384</v>
      </c>
      <c r="U1478">
        <v>1.6501784937267422E-2</v>
      </c>
      <c r="V1478">
        <v>1.041078448102105E-2</v>
      </c>
      <c r="W1478">
        <v>4.0963460361580578E-2</v>
      </c>
      <c r="X1478">
        <v>9.655372490335469E-3</v>
      </c>
      <c r="Y1478">
        <v>1.8385982768565723E-3</v>
      </c>
    </row>
    <row r="1479" spans="1:25">
      <c r="A1479" s="876"/>
      <c r="B1479" s="1202">
        <v>1229</v>
      </c>
      <c r="C1479" s="880">
        <v>0.99879588342216807</v>
      </c>
      <c r="D1479" s="880">
        <v>0.99972736676054941</v>
      </c>
      <c r="E1479" s="880">
        <v>0.99405352886255927</v>
      </c>
      <c r="F1479" s="880">
        <v>0.99900407157114313</v>
      </c>
      <c r="G1479" s="880">
        <v>0.987559703918791</v>
      </c>
      <c r="H1479" s="880">
        <v>1.0076149679873365</v>
      </c>
      <c r="I1479" s="880">
        <v>0.97828238265049672</v>
      </c>
      <c r="K1479">
        <v>1.0738608335129805</v>
      </c>
      <c r="L1479">
        <v>0</v>
      </c>
      <c r="M1479">
        <v>7.0504970519729164E-4</v>
      </c>
      <c r="N1479">
        <v>6.8975955037537201E-2</v>
      </c>
      <c r="O1479">
        <v>8.799412845885965E-3</v>
      </c>
      <c r="P1479">
        <v>1.2591353412128744E-2</v>
      </c>
      <c r="Q1479">
        <v>2.9405665433396618E-3</v>
      </c>
      <c r="R1479">
        <v>6.932282876699258E-4</v>
      </c>
      <c r="S1479">
        <v>8.3998463390665176E-2</v>
      </c>
      <c r="T1479">
        <v>0.81631744994488742</v>
      </c>
      <c r="U1479">
        <v>1.6931015782735911E-2</v>
      </c>
      <c r="V1479">
        <v>1.0413251993561261E-2</v>
      </c>
      <c r="W1479">
        <v>4.1398486005295061E-2</v>
      </c>
      <c r="X1479">
        <v>9.619961098077081E-3</v>
      </c>
      <c r="Y1479">
        <v>1.8867388763939242E-3</v>
      </c>
    </row>
    <row r="1480" spans="1:25">
      <c r="A1480" s="876"/>
      <c r="B1480" s="1202">
        <v>1230</v>
      </c>
      <c r="C1480" s="880">
        <v>1.0015488526181864</v>
      </c>
      <c r="D1480" s="880">
        <v>0.99989203532246174</v>
      </c>
      <c r="E1480" s="880">
        <v>0.99239072246721294</v>
      </c>
      <c r="F1480" s="880">
        <v>0.99248479196423167</v>
      </c>
      <c r="G1480" s="880">
        <v>1.0224109013724851</v>
      </c>
      <c r="H1480" s="880">
        <v>1.0031564399801083</v>
      </c>
      <c r="I1480" s="880">
        <v>1.0016839375663658</v>
      </c>
      <c r="K1480">
        <v>1.0745189241659716</v>
      </c>
      <c r="L1480">
        <v>0</v>
      </c>
      <c r="M1480">
        <v>7.0239196381372232E-4</v>
      </c>
      <c r="N1480">
        <v>6.8356009953089839E-2</v>
      </c>
      <c r="O1480">
        <v>8.7744550954411069E-3</v>
      </c>
      <c r="P1480">
        <v>1.2598621336504981E-2</v>
      </c>
      <c r="Q1480">
        <v>2.9273469467056223E-3</v>
      </c>
      <c r="R1480">
        <v>6.905626227701907E-4</v>
      </c>
      <c r="S1480">
        <v>8.5604905448082996E-2</v>
      </c>
      <c r="T1480">
        <v>0.81645207990033786</v>
      </c>
      <c r="U1480">
        <v>1.6884477299080998E-2</v>
      </c>
      <c r="V1480">
        <v>1.0412984458519844E-2</v>
      </c>
      <c r="W1480">
        <v>4.1073329570313184E-2</v>
      </c>
      <c r="X1480">
        <v>9.5670596836644178E-3</v>
      </c>
      <c r="Y1480">
        <v>1.8794838152730439E-3</v>
      </c>
    </row>
    <row r="1481" spans="1:25">
      <c r="A1481" s="876"/>
      <c r="B1481" s="1202">
        <v>1231</v>
      </c>
      <c r="C1481" s="880">
        <v>0.97725192269949446</v>
      </c>
      <c r="D1481" s="880">
        <v>1.0379212567720768</v>
      </c>
      <c r="E1481" s="880">
        <v>0.97306709487401954</v>
      </c>
      <c r="F1481" s="880">
        <v>0.99364960935493329</v>
      </c>
      <c r="G1481" s="880">
        <v>0.99350283159850938</v>
      </c>
      <c r="H1481" s="880">
        <v>1.0102431154706326</v>
      </c>
      <c r="I1481" s="880">
        <v>0.98144706435740214</v>
      </c>
      <c r="K1481">
        <v>1.0748355566993741</v>
      </c>
      <c r="L1481">
        <v>0</v>
      </c>
      <c r="M1481">
        <v>7.4014779719137837E-4</v>
      </c>
      <c r="N1481">
        <v>6.7827428006061188E-2</v>
      </c>
      <c r="O1481">
        <v>8.8156848230120845E-3</v>
      </c>
      <c r="P1481">
        <v>1.2428888695292628E-2</v>
      </c>
      <c r="Q1481">
        <v>2.8919738607171277E-3</v>
      </c>
      <c r="R1481">
        <v>7.2773633173708017E-4</v>
      </c>
      <c r="S1481">
        <v>8.4629901806471924E-2</v>
      </c>
      <c r="T1481">
        <v>0.81802349736065194</v>
      </c>
      <c r="U1481">
        <v>1.7304267684876608E-2</v>
      </c>
      <c r="V1481">
        <v>1.0415397700839574E-2</v>
      </c>
      <c r="W1481">
        <v>4.1304816942037074E-2</v>
      </c>
      <c r="X1481">
        <v>9.2254528880964682E-3</v>
      </c>
      <c r="Y1481">
        <v>1.9806583967710489E-3</v>
      </c>
    </row>
    <row r="1482" spans="1:25">
      <c r="A1482" s="876"/>
      <c r="B1482" s="1202">
        <v>1232</v>
      </c>
      <c r="C1482" s="880">
        <v>0.99781046756259517</v>
      </c>
      <c r="D1482" s="880">
        <v>0.99448558823601596</v>
      </c>
      <c r="E1482" s="880">
        <v>1.0019344202305505</v>
      </c>
      <c r="F1482" s="880">
        <v>0.99565651627729979</v>
      </c>
      <c r="G1482" s="880">
        <v>1.0337766083173812</v>
      </c>
      <c r="H1482" s="880">
        <v>1.0092268816675751</v>
      </c>
      <c r="I1482" s="880">
        <v>1.0325045901726606</v>
      </c>
      <c r="K1482">
        <v>1.0799222227094498</v>
      </c>
      <c r="L1482">
        <v>0</v>
      </c>
      <c r="M1482">
        <v>6.9719135766286883E-4</v>
      </c>
      <c r="N1482">
        <v>6.9902776375103531E-2</v>
      </c>
      <c r="O1482">
        <v>8.8328369743497625E-3</v>
      </c>
      <c r="P1482">
        <v>1.2726178549792789E-2</v>
      </c>
      <c r="Q1482">
        <v>2.9740685513503385E-3</v>
      </c>
      <c r="R1482">
        <v>6.8552487978116065E-4</v>
      </c>
      <c r="S1482">
        <v>8.9034331274642262E-2</v>
      </c>
      <c r="T1482">
        <v>0.81568064640328319</v>
      </c>
      <c r="U1482">
        <v>1.6947736484726278E-2</v>
      </c>
      <c r="V1482">
        <v>1.0413348115595073E-2</v>
      </c>
      <c r="W1482">
        <v>4.1728807307875884E-2</v>
      </c>
      <c r="X1482">
        <v>9.8273864110636905E-3</v>
      </c>
      <c r="Y1482">
        <v>1.8657727395484335E-3</v>
      </c>
    </row>
    <row r="1483" spans="1:25">
      <c r="A1483" s="876"/>
      <c r="B1483" s="1202">
        <v>1233</v>
      </c>
      <c r="C1483" s="880">
        <v>1.0095588874451391</v>
      </c>
      <c r="D1483" s="880">
        <v>0.98604900812131679</v>
      </c>
      <c r="E1483" s="880">
        <v>1.022352915342811</v>
      </c>
      <c r="F1483" s="880">
        <v>0.99443528331409259</v>
      </c>
      <c r="G1483" s="880">
        <v>1.0086357815918341</v>
      </c>
      <c r="H1483" s="880">
        <v>0.99425863220852573</v>
      </c>
      <c r="I1483" s="880">
        <v>1.0215551921296555</v>
      </c>
      <c r="K1483">
        <v>1.0754604232589977</v>
      </c>
      <c r="L1483">
        <v>0</v>
      </c>
      <c r="M1483">
        <v>6.5319041418108288E-4</v>
      </c>
      <c r="N1483">
        <v>6.9765239050198005E-2</v>
      </c>
      <c r="O1483">
        <v>8.7698374472541252E-3</v>
      </c>
      <c r="P1483">
        <v>1.2864368958280347E-2</v>
      </c>
      <c r="Q1483">
        <v>3.0117492101555069E-3</v>
      </c>
      <c r="R1483">
        <v>6.4210264519564146E-4</v>
      </c>
      <c r="S1483">
        <v>8.6890199688334183E-2</v>
      </c>
      <c r="T1483">
        <v>0.81404058791995371</v>
      </c>
      <c r="U1483">
        <v>1.6750512601347696E-2</v>
      </c>
      <c r="V1483">
        <v>1.0412214337790876E-2</v>
      </c>
      <c r="W1483">
        <v>4.1073726386291781E-2</v>
      </c>
      <c r="X1483">
        <v>1.0145483697233783E-2</v>
      </c>
      <c r="Y1483">
        <v>1.7475917311424347E-3</v>
      </c>
    </row>
    <row r="1484" spans="1:25">
      <c r="A1484" s="876"/>
      <c r="B1484" s="1202">
        <v>1234</v>
      </c>
      <c r="C1484" s="880">
        <v>1.037930291642144</v>
      </c>
      <c r="D1484" s="880">
        <v>0.99472838028350097</v>
      </c>
      <c r="E1484" s="880">
        <v>1.0183319253445056</v>
      </c>
      <c r="F1484" s="880">
        <v>0.98409886433277571</v>
      </c>
      <c r="G1484" s="880">
        <v>0.98755348187543446</v>
      </c>
      <c r="H1484" s="880">
        <v>0.99504801963235145</v>
      </c>
      <c r="I1484" s="880">
        <v>1.0262920916326557</v>
      </c>
      <c r="K1484">
        <v>1.0684617318819438</v>
      </c>
      <c r="L1484">
        <v>0</v>
      </c>
      <c r="M1484">
        <v>6.3827857526214233E-4</v>
      </c>
      <c r="N1484">
        <v>6.7326481193339255E-2</v>
      </c>
      <c r="O1484">
        <v>8.4903094621626776E-3</v>
      </c>
      <c r="P1484">
        <v>1.2792395222517617E-2</v>
      </c>
      <c r="Q1484">
        <v>2.9060327442439545E-3</v>
      </c>
      <c r="R1484">
        <v>6.2744552877271227E-4</v>
      </c>
      <c r="S1484">
        <v>8.4564786569863784E-2</v>
      </c>
      <c r="T1484">
        <v>0.81436243978249756</v>
      </c>
      <c r="U1484">
        <v>1.6292644122754638E-2</v>
      </c>
      <c r="V1484">
        <v>1.0409582196544212E-2</v>
      </c>
      <c r="W1484">
        <v>3.9745596302812415E-2</v>
      </c>
      <c r="X1484">
        <v>9.8745974397406282E-3</v>
      </c>
      <c r="Y1484">
        <v>1.7076998919563515E-3</v>
      </c>
    </row>
    <row r="1485" spans="1:25">
      <c r="A1485" s="876"/>
      <c r="B1485" s="1202">
        <v>1235</v>
      </c>
      <c r="C1485" s="880">
        <v>0.9958112429606385</v>
      </c>
      <c r="D1485" s="880">
        <v>1.0128583222077008</v>
      </c>
      <c r="E1485" s="880">
        <v>0.97072054557942522</v>
      </c>
      <c r="F1485" s="880">
        <v>0.99497800690651916</v>
      </c>
      <c r="G1485" s="880">
        <v>1.0204541000248268</v>
      </c>
      <c r="H1485" s="880">
        <v>1.0090998266862716</v>
      </c>
      <c r="I1485" s="880">
        <v>1.0162434227649753</v>
      </c>
      <c r="K1485">
        <v>1.0759842995587527</v>
      </c>
      <c r="L1485">
        <v>0</v>
      </c>
      <c r="M1485">
        <v>7.3863028433425416E-4</v>
      </c>
      <c r="N1485">
        <v>6.7195724804374107E-2</v>
      </c>
      <c r="O1485">
        <v>8.764620622698973E-3</v>
      </c>
      <c r="P1485">
        <v>1.2436517731251741E-2</v>
      </c>
      <c r="Q1485">
        <v>2.8631663707042172E-3</v>
      </c>
      <c r="R1485">
        <v>7.2625222923946306E-4</v>
      </c>
      <c r="S1485">
        <v>8.7006517371584075E-2</v>
      </c>
      <c r="T1485">
        <v>0.81821518112199865</v>
      </c>
      <c r="U1485">
        <v>1.6981761338298922E-2</v>
      </c>
      <c r="V1485">
        <v>1.04135437137301E-2</v>
      </c>
      <c r="W1485">
        <v>4.0987192850604141E-2</v>
      </c>
      <c r="X1485">
        <v>9.155832529595169E-3</v>
      </c>
      <c r="Y1485">
        <v>1.9766191590067927E-3</v>
      </c>
    </row>
    <row r="1486" spans="1:25">
      <c r="A1486" s="876"/>
      <c r="B1486" s="1202">
        <v>1236</v>
      </c>
      <c r="C1486" s="880">
        <v>0.98302156974333599</v>
      </c>
      <c r="D1486" s="880">
        <v>1.0187704619195868</v>
      </c>
      <c r="E1486" s="880">
        <v>0.97204425821703599</v>
      </c>
      <c r="F1486" s="880">
        <v>1.038626905312698</v>
      </c>
      <c r="G1486" s="880">
        <v>1.0133617441086118</v>
      </c>
      <c r="H1486" s="880">
        <v>0.97652859325520314</v>
      </c>
      <c r="I1486" s="880">
        <v>0.98565090369213892</v>
      </c>
      <c r="K1486">
        <v>1.0707885561682615</v>
      </c>
      <c r="L1486">
        <v>0</v>
      </c>
      <c r="M1486">
        <v>7.198532934192853E-4</v>
      </c>
      <c r="N1486">
        <v>6.5720466953463785E-2</v>
      </c>
      <c r="O1486">
        <v>8.8511806102205652E-3</v>
      </c>
      <c r="P1486">
        <v>1.241158683248402E-2</v>
      </c>
      <c r="Q1486">
        <v>2.8966051431932858E-3</v>
      </c>
      <c r="R1486">
        <v>7.0738224957372171E-4</v>
      </c>
      <c r="S1486">
        <v>8.4081959342800147E-2</v>
      </c>
      <c r="T1486">
        <v>0.81810702747750796</v>
      </c>
      <c r="U1486">
        <v>1.7202703772174269E-2</v>
      </c>
      <c r="V1486">
        <v>1.0414813841988601E-2</v>
      </c>
      <c r="W1486">
        <v>4.0050306563367756E-2</v>
      </c>
      <c r="X1486">
        <v>9.1391153800634891E-3</v>
      </c>
      <c r="Y1486">
        <v>1.9252612948437696E-3</v>
      </c>
    </row>
    <row r="1487" spans="1:25">
      <c r="A1487" s="876"/>
      <c r="B1487" s="1202">
        <v>1237</v>
      </c>
      <c r="C1487" s="880">
        <v>0.98339275894353484</v>
      </c>
      <c r="D1487" s="880">
        <v>1.0067495420067585</v>
      </c>
      <c r="E1487" s="880">
        <v>0.99857815007959894</v>
      </c>
      <c r="F1487" s="880">
        <v>1.0203260149236595</v>
      </c>
      <c r="G1487" s="880">
        <v>1.0100394805967621</v>
      </c>
      <c r="H1487" s="880">
        <v>0.97803993642690257</v>
      </c>
      <c r="I1487" s="880">
        <v>1.0152613955532277</v>
      </c>
      <c r="K1487">
        <v>1.0755256556638584</v>
      </c>
      <c r="L1487">
        <v>0</v>
      </c>
      <c r="M1487">
        <v>6.8592857414763811E-4</v>
      </c>
      <c r="N1487">
        <v>6.8021157190114964E-2</v>
      </c>
      <c r="O1487">
        <v>8.903953276070185E-3</v>
      </c>
      <c r="P1487">
        <v>1.2675640486829797E-2</v>
      </c>
      <c r="Q1487">
        <v>2.9906538655878343E-3</v>
      </c>
      <c r="R1487">
        <v>6.7407389953398058E-4</v>
      </c>
      <c r="S1487">
        <v>8.7143106546236845E-2</v>
      </c>
      <c r="T1487">
        <v>0.81595158685609792</v>
      </c>
      <c r="U1487">
        <v>1.7196210478628678E-2</v>
      </c>
      <c r="V1487">
        <v>1.0414776514095204E-2</v>
      </c>
      <c r="W1487">
        <v>4.0698906491422875E-2</v>
      </c>
      <c r="X1487">
        <v>9.7069116872572376E-3</v>
      </c>
      <c r="Y1487">
        <v>1.8346069461302335E-3</v>
      </c>
    </row>
    <row r="1488" spans="1:25">
      <c r="A1488" s="876"/>
      <c r="B1488" s="1202">
        <v>1238</v>
      </c>
      <c r="C1488" s="880">
        <v>1.0068351239595092</v>
      </c>
      <c r="D1488" s="880">
        <v>1.0141936529972768</v>
      </c>
      <c r="E1488" s="880">
        <v>1.0037944306631754</v>
      </c>
      <c r="F1488" s="880">
        <v>0.99316757156465052</v>
      </c>
      <c r="G1488" s="880">
        <v>0.99218998415322091</v>
      </c>
      <c r="H1488" s="880">
        <v>0.99103115575145584</v>
      </c>
      <c r="I1488" s="880">
        <v>0.97976561084024738</v>
      </c>
      <c r="K1488">
        <v>1.0683389858822436</v>
      </c>
      <c r="L1488">
        <v>0</v>
      </c>
      <c r="M1488">
        <v>6.688152377197109E-4</v>
      </c>
      <c r="N1488">
        <v>6.7424017871452316E-2</v>
      </c>
      <c r="O1488">
        <v>8.6625758685408023E-3</v>
      </c>
      <c r="P1488">
        <v>1.2647329663037376E-2</v>
      </c>
      <c r="Q1488">
        <v>2.9264685804020144E-3</v>
      </c>
      <c r="R1488">
        <v>6.5740170587931274E-4</v>
      </c>
      <c r="S1488">
        <v>8.2286666308407919E-2</v>
      </c>
      <c r="T1488">
        <v>0.81553065886144993</v>
      </c>
      <c r="U1488">
        <v>1.679582730432479E-2</v>
      </c>
      <c r="V1488">
        <v>1.0412474837703757E-2</v>
      </c>
      <c r="W1488">
        <v>4.0198010106030788E-2</v>
      </c>
      <c r="X1488">
        <v>9.6771392817454546E-3</v>
      </c>
      <c r="Y1488">
        <v>1.7892307309893894E-3</v>
      </c>
    </row>
    <row r="1489" spans="1:25">
      <c r="A1489" s="876"/>
      <c r="B1489" s="1202">
        <v>1239</v>
      </c>
      <c r="C1489" s="880">
        <v>0.99052064754361413</v>
      </c>
      <c r="D1489" s="880">
        <v>0.98770899969104986</v>
      </c>
      <c r="E1489" s="880">
        <v>1.0110582490968252</v>
      </c>
      <c r="F1489" s="880">
        <v>0.99474166583538159</v>
      </c>
      <c r="G1489" s="880">
        <v>0.96647187082297004</v>
      </c>
      <c r="H1489" s="880">
        <v>1.0059126924101338</v>
      </c>
      <c r="I1489" s="880">
        <v>1.0281058622992041</v>
      </c>
      <c r="K1489">
        <v>1.0818522735232745</v>
      </c>
      <c r="L1489">
        <v>0</v>
      </c>
      <c r="M1489">
        <v>6.8918555394023877E-4</v>
      </c>
      <c r="N1489">
        <v>7.108526838140504E-2</v>
      </c>
      <c r="O1489">
        <v>8.9303734046189565E-3</v>
      </c>
      <c r="P1489">
        <v>1.2810563787648555E-2</v>
      </c>
      <c r="Q1489">
        <v>3.0329580357256955E-3</v>
      </c>
      <c r="R1489">
        <v>6.7762087548422839E-4</v>
      </c>
      <c r="S1489">
        <v>8.9488759233285628E-2</v>
      </c>
      <c r="T1489">
        <v>0.81494604604739052</v>
      </c>
      <c r="U1489">
        <v>1.7072464776871566E-2</v>
      </c>
      <c r="V1489">
        <v>1.0414065139146013E-2</v>
      </c>
      <c r="W1489">
        <v>4.2171801285495004E-2</v>
      </c>
      <c r="X1489">
        <v>1.0067277464737189E-2</v>
      </c>
      <c r="Y1489">
        <v>1.8442606454065001E-3</v>
      </c>
    </row>
    <row r="1490" spans="1:25">
      <c r="A1490" s="876"/>
      <c r="B1490" s="1202">
        <v>1240</v>
      </c>
      <c r="C1490" s="880">
        <v>0.98494134629443297</v>
      </c>
      <c r="D1490" s="880">
        <v>1.0171192634953266</v>
      </c>
      <c r="E1490" s="880">
        <v>1.0053217880771568</v>
      </c>
      <c r="F1490" s="880">
        <v>1.005654647140596</v>
      </c>
      <c r="G1490" s="880">
        <v>0.97871619897882034</v>
      </c>
      <c r="H1490" s="880">
        <v>0.98128282815502743</v>
      </c>
      <c r="I1490" s="880">
        <v>1.0046515323781928</v>
      </c>
      <c r="K1490">
        <v>1.0737830601755516</v>
      </c>
      <c r="L1490">
        <v>0</v>
      </c>
      <c r="M1490">
        <v>6.7374970376749596E-4</v>
      </c>
      <c r="N1490">
        <v>6.8232851375627346E-2</v>
      </c>
      <c r="O1490">
        <v>8.8415603097882749E-3</v>
      </c>
      <c r="P1490">
        <v>1.2712984447405644E-2</v>
      </c>
      <c r="Q1490">
        <v>2.9921517706132986E-3</v>
      </c>
      <c r="R1490">
        <v>6.6213530233288952E-4</v>
      </c>
      <c r="S1490">
        <v>8.5776562783748997E-2</v>
      </c>
      <c r="T1490">
        <v>0.81540758375192013</v>
      </c>
      <c r="U1490">
        <v>1.7169173504162347E-2</v>
      </c>
      <c r="V1490">
        <v>1.0414621087069739E-2</v>
      </c>
      <c r="W1490">
        <v>4.0637877324670564E-2</v>
      </c>
      <c r="X1490">
        <v>9.8071942018728275E-3</v>
      </c>
      <c r="Y1490">
        <v>1.8021140201063734E-3</v>
      </c>
    </row>
    <row r="1491" spans="1:25">
      <c r="A1491" s="876"/>
      <c r="B1491" s="1202">
        <v>1241</v>
      </c>
      <c r="C1491" s="880">
        <v>1.0127325956971256</v>
      </c>
      <c r="D1491" s="880">
        <v>0.95426803889194012</v>
      </c>
      <c r="E1491" s="880">
        <v>0.97205147709200679</v>
      </c>
      <c r="F1491" s="880">
        <v>1.0426732562898535</v>
      </c>
      <c r="G1491" s="880">
        <v>0.99431636865904927</v>
      </c>
      <c r="H1491" s="880">
        <v>1.0287302404706684</v>
      </c>
      <c r="I1491" s="880">
        <v>1.0077445980223652</v>
      </c>
      <c r="K1491">
        <v>1.0810152997712164</v>
      </c>
      <c r="L1491">
        <v>0</v>
      </c>
      <c r="M1491">
        <v>7.6217490055407707E-4</v>
      </c>
      <c r="N1491">
        <v>6.965373568240224E-2</v>
      </c>
      <c r="O1491">
        <v>8.8968835734144543E-3</v>
      </c>
      <c r="P1491">
        <v>1.2458756661699473E-2</v>
      </c>
      <c r="Q1491">
        <v>2.8973070856948687E-3</v>
      </c>
      <c r="R1491">
        <v>7.4970111529494045E-4</v>
      </c>
      <c r="S1491">
        <v>8.8114852646494768E-2</v>
      </c>
      <c r="T1491">
        <v>0.81810643782314907</v>
      </c>
      <c r="U1491">
        <v>1.6698019731765198E-2</v>
      </c>
      <c r="V1491">
        <v>1.0411912572865707E-2</v>
      </c>
      <c r="W1491">
        <v>4.2447041914351717E-2</v>
      </c>
      <c r="X1491">
        <v>9.3023865677108047E-3</v>
      </c>
      <c r="Y1491">
        <v>2.0404392969265907E-3</v>
      </c>
    </row>
    <row r="1492" spans="1:25">
      <c r="A1492" s="876"/>
      <c r="B1492" s="1202">
        <v>1242</v>
      </c>
      <c r="C1492" s="880">
        <v>1.0012967752868847</v>
      </c>
      <c r="D1492" s="880">
        <v>0.97479236739171138</v>
      </c>
      <c r="E1492" s="880">
        <v>0.99850880251426832</v>
      </c>
      <c r="F1492" s="880">
        <v>1.0261975737024533</v>
      </c>
      <c r="G1492" s="880">
        <v>1.0074139633858465</v>
      </c>
      <c r="H1492" s="880">
        <v>0.97843460690550066</v>
      </c>
      <c r="I1492" s="880">
        <v>1.0016909371085687</v>
      </c>
      <c r="K1492">
        <v>1.0737965830120484</v>
      </c>
      <c r="L1492">
        <v>0</v>
      </c>
      <c r="M1492">
        <v>6.8571144448597546E-4</v>
      </c>
      <c r="N1492">
        <v>6.798827574351661E-2</v>
      </c>
      <c r="O1492">
        <v>8.8966086333090531E-3</v>
      </c>
      <c r="P1492">
        <v>1.2652855341510389E-2</v>
      </c>
      <c r="Q1492">
        <v>2.9807588284140752E-3</v>
      </c>
      <c r="R1492">
        <v>6.7389344317219779E-4</v>
      </c>
      <c r="S1492">
        <v>8.5823621892086407E-2</v>
      </c>
      <c r="T1492">
        <v>0.81595718908839454</v>
      </c>
      <c r="U1492">
        <v>1.6888727980879831E-2</v>
      </c>
      <c r="V1492">
        <v>1.0413008894346733E-2</v>
      </c>
      <c r="W1492">
        <v>4.0681164886564078E-2</v>
      </c>
      <c r="X1492">
        <v>9.6920739209405207E-3</v>
      </c>
      <c r="Y1492">
        <v>1.8341158034008841E-3</v>
      </c>
    </row>
    <row r="1493" spans="1:25">
      <c r="A1493" s="876"/>
      <c r="B1493" s="1202">
        <v>1243</v>
      </c>
      <c r="C1493" s="880">
        <v>0.96019723470332996</v>
      </c>
      <c r="D1493" s="880">
        <v>1.0046334326865476</v>
      </c>
      <c r="E1493" s="880">
        <v>0.97144259192525595</v>
      </c>
      <c r="F1493" s="880">
        <v>0.96581849965181155</v>
      </c>
      <c r="G1493" s="880">
        <v>1.0042614825182405</v>
      </c>
      <c r="H1493" s="880">
        <v>0.96078047248149023</v>
      </c>
      <c r="I1493" s="880">
        <v>1.0120260461844586</v>
      </c>
      <c r="K1493">
        <v>1.0776335163646393</v>
      </c>
      <c r="L1493">
        <v>0</v>
      </c>
      <c r="M1493">
        <v>7.3140625795742038E-4</v>
      </c>
      <c r="N1493">
        <v>6.6632039038162061E-2</v>
      </c>
      <c r="O1493">
        <v>9.1292788198595928E-3</v>
      </c>
      <c r="P1493">
        <v>1.2469800176316088E-2</v>
      </c>
      <c r="Q1493">
        <v>2.9826806237058519E-3</v>
      </c>
      <c r="R1493">
        <v>7.1854051409205521E-4</v>
      </c>
      <c r="S1493">
        <v>8.8408179466322512E-2</v>
      </c>
      <c r="T1493">
        <v>0.81815617915330585</v>
      </c>
      <c r="U1493">
        <v>1.7611620045101677E-2</v>
      </c>
      <c r="V1493">
        <v>1.0417164572468494E-2</v>
      </c>
      <c r="W1493">
        <v>4.0622876906763451E-2</v>
      </c>
      <c r="X1493">
        <v>9.2609328939581449E-3</v>
      </c>
      <c r="Y1493">
        <v>1.9556304125417628E-3</v>
      </c>
    </row>
    <row r="1494" spans="1:25">
      <c r="A1494" s="876"/>
      <c r="B1494" s="1202">
        <v>1244</v>
      </c>
      <c r="C1494" s="880">
        <v>1.0164617075554072</v>
      </c>
      <c r="D1494" s="880">
        <v>1.0226771513706119</v>
      </c>
      <c r="E1494" s="880">
        <v>1.0389321088122094</v>
      </c>
      <c r="F1494" s="880">
        <v>1.0066321874205728</v>
      </c>
      <c r="G1494" s="880">
        <v>1.0071616924179734</v>
      </c>
      <c r="H1494" s="880">
        <v>0.99983975650021994</v>
      </c>
      <c r="I1494" s="880">
        <v>1.008038301694397</v>
      </c>
      <c r="K1494">
        <v>1.069982914142388</v>
      </c>
      <c r="L1494">
        <v>0</v>
      </c>
      <c r="M1494">
        <v>6.1780884858148412E-4</v>
      </c>
      <c r="N1494">
        <v>6.9474489343551785E-2</v>
      </c>
      <c r="O1494">
        <v>8.5425701811704807E-3</v>
      </c>
      <c r="P1494">
        <v>1.2957082981691235E-2</v>
      </c>
      <c r="Q1494">
        <v>2.9902889876077675E-3</v>
      </c>
      <c r="R1494">
        <v>6.073522973861743E-4</v>
      </c>
      <c r="S1494">
        <v>8.3821587596042982E-2</v>
      </c>
      <c r="T1494">
        <v>0.81271936779799969</v>
      </c>
      <c r="U1494">
        <v>1.6636759398071653E-2</v>
      </c>
      <c r="V1494">
        <v>1.0411560406558915E-2</v>
      </c>
      <c r="W1494">
        <v>4.0450834835951119E-2</v>
      </c>
      <c r="X1494">
        <v>1.0335816425082783E-2</v>
      </c>
      <c r="Y1494">
        <v>1.6530127398541416E-3</v>
      </c>
    </row>
    <row r="1495" spans="1:25">
      <c r="A1495" s="876"/>
      <c r="B1495" s="1202">
        <v>1245</v>
      </c>
      <c r="C1495" s="880">
        <v>1.0036944066043822</v>
      </c>
      <c r="D1495" s="880">
        <v>1.0041326246106572</v>
      </c>
      <c r="E1495" s="880">
        <v>1.036887940274986</v>
      </c>
      <c r="F1495" s="880">
        <v>0.98170150268211787</v>
      </c>
      <c r="G1495" s="880">
        <v>0.98803333204882848</v>
      </c>
      <c r="H1495" s="880">
        <v>1.0212021894290573</v>
      </c>
      <c r="I1495" s="880">
        <v>0.96004834956611251</v>
      </c>
      <c r="K1495">
        <v>1.074061879376907</v>
      </c>
      <c r="L1495">
        <v>0</v>
      </c>
      <c r="M1495">
        <v>6.4807915999059355E-4</v>
      </c>
      <c r="N1495">
        <v>7.2445469196020129E-2</v>
      </c>
      <c r="O1495">
        <v>8.7359642592686922E-3</v>
      </c>
      <c r="P1495">
        <v>1.2922099438813957E-2</v>
      </c>
      <c r="Q1495">
        <v>3.047693705852568E-3</v>
      </c>
      <c r="R1495">
        <v>6.3735407246417975E-4</v>
      </c>
      <c r="S1495">
        <v>8.2314717068843898E-2</v>
      </c>
      <c r="T1495">
        <v>0.81288176321115413</v>
      </c>
      <c r="U1495">
        <v>1.6848384084517377E-2</v>
      </c>
      <c r="V1495">
        <v>1.0412776970030851E-2</v>
      </c>
      <c r="W1495">
        <v>4.2238162734875809E-2</v>
      </c>
      <c r="X1495">
        <v>1.0490906113521816E-2</v>
      </c>
      <c r="Y1495">
        <v>1.7346676815339765E-3</v>
      </c>
    </row>
    <row r="1496" spans="1:25">
      <c r="A1496" s="876"/>
      <c r="B1496" s="1202">
        <v>1246</v>
      </c>
      <c r="C1496" s="880">
        <v>1.0201227668437851</v>
      </c>
      <c r="D1496" s="880">
        <v>0.9775662714924972</v>
      </c>
      <c r="E1496" s="880">
        <v>0.97067693975043634</v>
      </c>
      <c r="F1496" s="880">
        <v>0.97150854513400886</v>
      </c>
      <c r="G1496" s="880">
        <v>1.0015596278510539</v>
      </c>
      <c r="H1496" s="880">
        <v>1.0283373695924447</v>
      </c>
      <c r="I1496" s="880">
        <v>0.97348437777641617</v>
      </c>
      <c r="K1496">
        <v>1.073477053875636</v>
      </c>
      <c r="L1496">
        <v>0</v>
      </c>
      <c r="M1496">
        <v>7.4884329908724912E-4</v>
      </c>
      <c r="N1496">
        <v>6.8140263800118409E-2</v>
      </c>
      <c r="O1496">
        <v>8.7191720403725689E-3</v>
      </c>
      <c r="P1496">
        <v>1.238357324348493E-2</v>
      </c>
      <c r="Q1496">
        <v>2.8406417556952786E-3</v>
      </c>
      <c r="R1496">
        <v>7.3656095275441771E-4</v>
      </c>
      <c r="S1496">
        <v>8.3474993553179652E-2</v>
      </c>
      <c r="T1496">
        <v>0.81821874493293922</v>
      </c>
      <c r="U1496">
        <v>1.6577052699522733E-2</v>
      </c>
      <c r="V1496">
        <v>1.0411217171609794E-2</v>
      </c>
      <c r="W1496">
        <v>4.1564596602341221E-2</v>
      </c>
      <c r="X1496">
        <v>9.1544043165600608E-3</v>
      </c>
      <c r="Y1496">
        <v>2.0046761061447054E-3</v>
      </c>
    </row>
    <row r="1497" spans="1:25">
      <c r="A1497" s="876"/>
      <c r="B1497" s="1202">
        <v>1247</v>
      </c>
      <c r="C1497" s="880">
        <v>1.0132831189335896</v>
      </c>
      <c r="D1497" s="880">
        <v>0.98501117173833863</v>
      </c>
      <c r="E1497" s="880">
        <v>0.98542019444395113</v>
      </c>
      <c r="F1497" s="880">
        <v>0.9837373811424075</v>
      </c>
      <c r="G1497" s="880">
        <v>1.0219399441320181</v>
      </c>
      <c r="H1497" s="880">
        <v>1.0011260993547983</v>
      </c>
      <c r="I1497" s="880">
        <v>1.0375343914187622</v>
      </c>
      <c r="K1497">
        <v>1.0760883170591409</v>
      </c>
      <c r="L1497">
        <v>0</v>
      </c>
      <c r="M1497">
        <v>7.0871570366953015E-4</v>
      </c>
      <c r="N1497">
        <v>6.7489540925375124E-2</v>
      </c>
      <c r="O1497">
        <v>8.7425196851538631E-3</v>
      </c>
      <c r="P1497">
        <v>1.2572884995451445E-2</v>
      </c>
      <c r="Q1497">
        <v>2.8929502431391373E-3</v>
      </c>
      <c r="R1497">
        <v>6.9676885909076918E-4</v>
      </c>
      <c r="S1497">
        <v>8.8224635916577282E-2</v>
      </c>
      <c r="T1497">
        <v>0.81701747263259872</v>
      </c>
      <c r="U1497">
        <v>1.6688947590234825E-2</v>
      </c>
      <c r="V1497">
        <v>1.0411860419989843E-2</v>
      </c>
      <c r="W1497">
        <v>4.0748084000421028E-2</v>
      </c>
      <c r="X1497">
        <v>9.4149923501258732E-3</v>
      </c>
      <c r="Y1497">
        <v>1.8963751446524056E-3</v>
      </c>
    </row>
    <row r="1498" spans="1:25">
      <c r="A1498" s="876"/>
      <c r="B1498" s="1202">
        <v>1248</v>
      </c>
      <c r="C1498" s="880">
        <v>0.98238298964756321</v>
      </c>
      <c r="D1498" s="880">
        <v>1.003093960803159</v>
      </c>
      <c r="E1498" s="880">
        <v>0.99307953512958091</v>
      </c>
      <c r="F1498" s="880">
        <v>1.0182972436705324</v>
      </c>
      <c r="G1498" s="880">
        <v>0.99726616802861989</v>
      </c>
      <c r="H1498" s="880">
        <v>0.99388376660808175</v>
      </c>
      <c r="I1498" s="880">
        <v>1.0157784626278226</v>
      </c>
      <c r="K1498">
        <v>1.0785245918213038</v>
      </c>
      <c r="L1498">
        <v>0</v>
      </c>
      <c r="M1498">
        <v>7.0724503615470608E-4</v>
      </c>
      <c r="N1498">
        <v>6.8964737047097921E-2</v>
      </c>
      <c r="O1498">
        <v>8.930404274203203E-3</v>
      </c>
      <c r="P1498">
        <v>1.2641678983206995E-2</v>
      </c>
      <c r="Q1498">
        <v>2.9821584325598846E-3</v>
      </c>
      <c r="R1498">
        <v>6.9522001399987198E-4</v>
      </c>
      <c r="S1498">
        <v>8.801998490860112E-2</v>
      </c>
      <c r="T1498">
        <v>0.8163962984547356</v>
      </c>
      <c r="U1498">
        <v>1.7213886075143878E-2</v>
      </c>
      <c r="V1498">
        <v>1.0414878125516006E-2</v>
      </c>
      <c r="W1498">
        <v>4.1419472082271473E-2</v>
      </c>
      <c r="X1498">
        <v>9.66095876122996E-3</v>
      </c>
      <c r="Y1498">
        <v>1.8921596988916297E-3</v>
      </c>
    </row>
    <row r="1499" spans="1:25">
      <c r="A1499" s="876"/>
      <c r="B1499" s="1202">
        <v>1249</v>
      </c>
      <c r="C1499" s="880">
        <v>1.0131718983529043</v>
      </c>
      <c r="D1499" s="880">
        <v>0.9945602691302593</v>
      </c>
      <c r="E1499" s="880">
        <v>1.0137280714750125</v>
      </c>
      <c r="F1499" s="880">
        <v>0.97842696276833308</v>
      </c>
      <c r="G1499" s="880">
        <v>1.0301598083081513</v>
      </c>
      <c r="H1499" s="880">
        <v>1.0153273086049779</v>
      </c>
      <c r="I1499" s="880">
        <v>1.0005623086554005</v>
      </c>
      <c r="K1499">
        <v>1.0748124650181807</v>
      </c>
      <c r="L1499">
        <v>0</v>
      </c>
      <c r="M1499">
        <v>6.7377890786374218E-4</v>
      </c>
      <c r="N1499">
        <v>7.0085765946272957E-2</v>
      </c>
      <c r="O1499">
        <v>8.6985674378161019E-3</v>
      </c>
      <c r="P1499">
        <v>1.2768260848722013E-2</v>
      </c>
      <c r="Q1499">
        <v>2.9636516282502711E-3</v>
      </c>
      <c r="R1499">
        <v>6.6257188335919095E-4</v>
      </c>
      <c r="S1499">
        <v>8.5184597690220853E-2</v>
      </c>
      <c r="T1499">
        <v>0.81473162246045061</v>
      </c>
      <c r="U1499">
        <v>1.6690779613453235E-2</v>
      </c>
      <c r="V1499">
        <v>1.0411870951712617E-2</v>
      </c>
      <c r="W1499">
        <v>4.1503605084093592E-2</v>
      </c>
      <c r="X1499">
        <v>9.9816481319515739E-3</v>
      </c>
      <c r="Y1499">
        <v>1.8033022497410691E-3</v>
      </c>
    </row>
    <row r="1500" spans="1:25">
      <c r="A1500" s="876"/>
      <c r="B1500" s="1202">
        <v>1250</v>
      </c>
      <c r="C1500" s="880">
        <v>1.005364492920569</v>
      </c>
      <c r="D1500" s="880">
        <v>0.99338750103855222</v>
      </c>
      <c r="E1500" s="880">
        <v>1.0111565009066086</v>
      </c>
      <c r="F1500" s="880">
        <v>0.98498761383858291</v>
      </c>
      <c r="G1500" s="880">
        <v>0.98995917080156792</v>
      </c>
      <c r="H1500" s="880">
        <v>0.99092010377099748</v>
      </c>
      <c r="I1500" s="880">
        <v>1.0118193746081035</v>
      </c>
      <c r="K1500">
        <v>1.073909480841698</v>
      </c>
      <c r="L1500">
        <v>0</v>
      </c>
      <c r="M1500">
        <v>6.6671277403719141E-4</v>
      </c>
      <c r="N1500">
        <v>6.8770078833684134E-2</v>
      </c>
      <c r="O1500">
        <v>8.7716387817685215E-3</v>
      </c>
      <c r="P1500">
        <v>1.2759635362838286E-2</v>
      </c>
      <c r="Q1500">
        <v>2.980621784415704E-3</v>
      </c>
      <c r="R1500">
        <v>6.5535112448717803E-4</v>
      </c>
      <c r="S1500">
        <v>8.5981675140511443E-2</v>
      </c>
      <c r="T1500">
        <v>0.81493815076942988</v>
      </c>
      <c r="U1500">
        <v>1.6820395970845618E-2</v>
      </c>
      <c r="V1500">
        <v>1.0412616075206568E-2</v>
      </c>
      <c r="W1500">
        <v>4.0795578378765379E-2</v>
      </c>
      <c r="X1500">
        <v>9.9068016693672923E-3</v>
      </c>
      <c r="Y1500">
        <v>1.7836497244139728E-3</v>
      </c>
    </row>
    <row r="1501" spans="1:25">
      <c r="A1501" s="876"/>
      <c r="B1501" s="1202">
        <v>1251</v>
      </c>
      <c r="C1501" s="880">
        <v>0.99868977286509986</v>
      </c>
      <c r="D1501" s="880">
        <v>0.99001031644136406</v>
      </c>
      <c r="E1501" s="880">
        <v>0.98980595229604484</v>
      </c>
      <c r="F1501" s="880">
        <v>1.0228133395032499</v>
      </c>
      <c r="G1501" s="880">
        <v>0.98927121619339509</v>
      </c>
      <c r="H1501" s="880">
        <v>1.0239060890773923</v>
      </c>
      <c r="I1501" s="880">
        <v>0.97665870987659176</v>
      </c>
      <c r="K1501">
        <v>1.0771837485034088</v>
      </c>
      <c r="L1501">
        <v>0</v>
      </c>
      <c r="M1501">
        <v>7.2672336096049617E-4</v>
      </c>
      <c r="N1501">
        <v>7.0182310912958137E-2</v>
      </c>
      <c r="O1501">
        <v>8.8463271062544941E-3</v>
      </c>
      <c r="P1501">
        <v>1.2567397237151327E-2</v>
      </c>
      <c r="Q1501">
        <v>2.9414414930042875E-3</v>
      </c>
      <c r="R1501">
        <v>7.1474103151310741E-4</v>
      </c>
      <c r="S1501">
        <v>8.4849997162313673E-2</v>
      </c>
      <c r="T1501">
        <v>0.81666154334000773</v>
      </c>
      <c r="U1501">
        <v>1.6932814699241541E-2</v>
      </c>
      <c r="V1501">
        <v>1.0413262334963985E-2</v>
      </c>
      <c r="W1501">
        <v>4.2245821592535024E-2</v>
      </c>
      <c r="X1501">
        <v>9.6095254809654279E-3</v>
      </c>
      <c r="Y1501">
        <v>1.9452894734609629E-3</v>
      </c>
    </row>
    <row r="1502" spans="1:25">
      <c r="A1502" s="876"/>
      <c r="B1502" s="1202">
        <v>1252</v>
      </c>
      <c r="C1502" s="880">
        <v>1.0256828667064268</v>
      </c>
      <c r="D1502" s="880">
        <v>1.0206007644975319</v>
      </c>
      <c r="E1502" s="880">
        <v>0.99855104896727143</v>
      </c>
      <c r="F1502" s="880">
        <v>1.0175547176226081</v>
      </c>
      <c r="G1502" s="880">
        <v>1.0338609370891849</v>
      </c>
      <c r="H1502" s="880">
        <v>0.96780139524244402</v>
      </c>
      <c r="I1502" s="880">
        <v>0.97868488996575143</v>
      </c>
      <c r="K1502">
        <v>1.0598672718748932</v>
      </c>
      <c r="L1502">
        <v>0</v>
      </c>
      <c r="M1502">
        <v>6.460916451736555E-4</v>
      </c>
      <c r="N1502">
        <v>6.4052208932106461E-2</v>
      </c>
      <c r="O1502">
        <v>8.4749318434101644E-3</v>
      </c>
      <c r="P1502">
        <v>1.2563528344837625E-2</v>
      </c>
      <c r="Q1502">
        <v>2.8493664463653374E-3</v>
      </c>
      <c r="R1502">
        <v>6.3479606834602683E-4</v>
      </c>
      <c r="S1502">
        <v>7.9649376481417206E-2</v>
      </c>
      <c r="T1502">
        <v>0.81595377619580356</v>
      </c>
      <c r="U1502">
        <v>1.6487190548725987E-2</v>
      </c>
      <c r="V1502">
        <v>1.041070058249155E-2</v>
      </c>
      <c r="W1502">
        <v>3.8324888302839435E-2</v>
      </c>
      <c r="X1502">
        <v>9.384894136152443E-3</v>
      </c>
      <c r="Y1502">
        <v>1.7277056375701949E-3</v>
      </c>
    </row>
    <row r="1503" spans="1:25">
      <c r="A1503" s="876"/>
      <c r="B1503" s="1202">
        <v>1253</v>
      </c>
      <c r="C1503" s="880">
        <v>1.0048698723912237</v>
      </c>
      <c r="D1503" s="880">
        <v>1.0128632902690957</v>
      </c>
      <c r="E1503" s="880">
        <v>1.0211194656960483</v>
      </c>
      <c r="F1503" s="880">
        <v>1.0160828881488013</v>
      </c>
      <c r="G1503" s="880">
        <v>0.99470814906412364</v>
      </c>
      <c r="H1503" s="880">
        <v>1.0235387724183345</v>
      </c>
      <c r="I1503" s="880">
        <v>0.99901998926778479</v>
      </c>
      <c r="K1503">
        <v>1.0760422372267275</v>
      </c>
      <c r="L1503">
        <v>0</v>
      </c>
      <c r="M1503">
        <v>6.6772698758497105E-4</v>
      </c>
      <c r="N1503">
        <v>7.1077876987727232E-2</v>
      </c>
      <c r="O1503">
        <v>8.6855872533209682E-3</v>
      </c>
      <c r="P1503">
        <v>1.2832753728005937E-2</v>
      </c>
      <c r="Q1503">
        <v>2.9851418526617543E-3</v>
      </c>
      <c r="R1503">
        <v>6.5669498844532384E-4</v>
      </c>
      <c r="S1503">
        <v>8.5270436866357491E-2</v>
      </c>
      <c r="T1503">
        <v>0.81413925824074485</v>
      </c>
      <c r="U1503">
        <v>1.6828675364414365E-2</v>
      </c>
      <c r="V1503">
        <v>1.0412663670824817E-2</v>
      </c>
      <c r="W1503">
        <v>4.1881333056582162E-2</v>
      </c>
      <c r="X1503">
        <v>1.0152234926123181E-2</v>
      </c>
      <c r="Y1503">
        <v>1.7873072791034111E-3</v>
      </c>
    </row>
    <row r="1504" spans="1:25">
      <c r="A1504" s="876"/>
      <c r="B1504" s="1202">
        <v>1254</v>
      </c>
      <c r="C1504" s="880">
        <v>0.98266203070206781</v>
      </c>
      <c r="D1504" s="880">
        <v>1.0411573628145998</v>
      </c>
      <c r="E1504" s="880">
        <v>1.0255158906120121</v>
      </c>
      <c r="F1504" s="880">
        <v>0.99465129553748477</v>
      </c>
      <c r="G1504" s="880">
        <v>0.9911014161506575</v>
      </c>
      <c r="H1504" s="880">
        <v>1.0059809548167724</v>
      </c>
      <c r="I1504" s="880">
        <v>1.0118124260645391</v>
      </c>
      <c r="K1504">
        <v>1.0767587535228607</v>
      </c>
      <c r="L1504">
        <v>0</v>
      </c>
      <c r="M1504">
        <v>6.5524698004405238E-4</v>
      </c>
      <c r="N1504">
        <v>7.0685162578985022E-2</v>
      </c>
      <c r="O1504">
        <v>8.7526609512827737E-3</v>
      </c>
      <c r="P1504">
        <v>1.2891353544790004E-2</v>
      </c>
      <c r="Q1504">
        <v>3.0274995283562727E-3</v>
      </c>
      <c r="R1504">
        <v>6.4421017442279922E-4</v>
      </c>
      <c r="S1504">
        <v>8.6480472880127335E-2</v>
      </c>
      <c r="T1504">
        <v>0.8137878015368768</v>
      </c>
      <c r="U1504">
        <v>1.7208997943952788E-2</v>
      </c>
      <c r="V1504">
        <v>1.0414850025193887E-2</v>
      </c>
      <c r="W1504">
        <v>4.152684049716833E-2</v>
      </c>
      <c r="X1504">
        <v>1.0240823110796994E-2</v>
      </c>
      <c r="Y1504">
        <v>1.7533277309519349E-3</v>
      </c>
    </row>
    <row r="1505" spans="1:25">
      <c r="A1505" s="876"/>
      <c r="B1505" s="1202">
        <v>1255</v>
      </c>
      <c r="C1505" s="880">
        <v>0.99200655610583344</v>
      </c>
      <c r="D1505" s="880">
        <v>0.99342551286868996</v>
      </c>
      <c r="E1505" s="880">
        <v>0.95401580404688413</v>
      </c>
      <c r="F1505" s="880">
        <v>1.0263656009944961</v>
      </c>
      <c r="G1505" s="880">
        <v>0.99322932338397207</v>
      </c>
      <c r="H1505" s="880">
        <v>1.0145335890405294</v>
      </c>
      <c r="I1505" s="880">
        <v>1.04046938663229</v>
      </c>
      <c r="K1505">
        <v>1.0815539091599375</v>
      </c>
      <c r="L1505">
        <v>0</v>
      </c>
      <c r="M1505">
        <v>7.7997991365426572E-4</v>
      </c>
      <c r="N1505">
        <v>6.7361931641455056E-2</v>
      </c>
      <c r="O1505">
        <v>8.8895724170011368E-3</v>
      </c>
      <c r="P1505">
        <v>1.2341841662188926E-2</v>
      </c>
      <c r="Q1505">
        <v>2.8504939631502448E-3</v>
      </c>
      <c r="R1505">
        <v>7.6699737976606164E-4</v>
      </c>
      <c r="S1505">
        <v>9.0493784432224847E-2</v>
      </c>
      <c r="T1505">
        <v>0.8195851145287677</v>
      </c>
      <c r="U1505">
        <v>1.7046892242664004E-2</v>
      </c>
      <c r="V1505">
        <v>1.0413918130724986E-2</v>
      </c>
      <c r="W1505">
        <v>4.1573633353331578E-2</v>
      </c>
      <c r="X1505">
        <v>8.9221952952126069E-3</v>
      </c>
      <c r="Y1505">
        <v>2.0875140271049333E-3</v>
      </c>
    </row>
    <row r="1506" spans="1:25">
      <c r="A1506" s="876"/>
      <c r="B1506" s="1202">
        <v>1256</v>
      </c>
      <c r="C1506" s="880">
        <v>0.98477253777781726</v>
      </c>
      <c r="D1506" s="880">
        <v>0.99968825827078667</v>
      </c>
      <c r="E1506" s="880">
        <v>0.99463636697633584</v>
      </c>
      <c r="F1506" s="880">
        <v>0.99074812223739928</v>
      </c>
      <c r="G1506" s="880">
        <v>0.99949538388978287</v>
      </c>
      <c r="H1506" s="880">
        <v>1.0350304346426304</v>
      </c>
      <c r="I1506" s="880">
        <v>0.97621430244854546</v>
      </c>
      <c r="K1506">
        <v>1.0812234539956458</v>
      </c>
      <c r="L1506">
        <v>0</v>
      </c>
      <c r="M1506">
        <v>7.3366112332293523E-4</v>
      </c>
      <c r="N1506">
        <v>7.1937850877594564E-2</v>
      </c>
      <c r="O1506">
        <v>8.9249043242711976E-3</v>
      </c>
      <c r="P1506">
        <v>1.2626563975512154E-2</v>
      </c>
      <c r="Q1506">
        <v>2.9842475782485794E-3</v>
      </c>
      <c r="R1506">
        <v>7.2168584625983913E-4</v>
      </c>
      <c r="S1506">
        <v>8.5988034761862842E-2</v>
      </c>
      <c r="T1506">
        <v>0.81627028237187138</v>
      </c>
      <c r="U1506">
        <v>1.7172116623105648E-2</v>
      </c>
      <c r="V1506">
        <v>1.0414638006130848E-2</v>
      </c>
      <c r="W1506">
        <v>4.3158894553366502E-2</v>
      </c>
      <c r="X1506">
        <v>9.7937052308998945E-3</v>
      </c>
      <c r="Y1506">
        <v>1.9641909698440009E-3</v>
      </c>
    </row>
    <row r="1507" spans="1:25">
      <c r="A1507" s="876"/>
      <c r="B1507" s="1202">
        <v>1257</v>
      </c>
      <c r="C1507" s="880">
        <v>0.97973312260588707</v>
      </c>
      <c r="D1507" s="880">
        <v>1.0051745701606365</v>
      </c>
      <c r="E1507" s="880">
        <v>0.99591810822143179</v>
      </c>
      <c r="F1507" s="880">
        <v>0.96490780851035463</v>
      </c>
      <c r="G1507" s="880">
        <v>1.0115514586234395</v>
      </c>
      <c r="H1507" s="880">
        <v>1.0283154421321468</v>
      </c>
      <c r="I1507" s="880">
        <v>1.0042893455067556</v>
      </c>
      <c r="K1507">
        <v>1.0833481926068518</v>
      </c>
      <c r="L1507">
        <v>0</v>
      </c>
      <c r="M1507">
        <v>7.2855313849714231E-4</v>
      </c>
      <c r="N1507">
        <v>7.1714277581349753E-2</v>
      </c>
      <c r="O1507">
        <v>8.9446731647743853E-3</v>
      </c>
      <c r="P1507">
        <v>1.2671710575706251E-2</v>
      </c>
      <c r="Q1507">
        <v>2.995946850252429E-3</v>
      </c>
      <c r="R1507">
        <v>7.1657877579720637E-4</v>
      </c>
      <c r="S1507">
        <v>8.8428311280284069E-2</v>
      </c>
      <c r="T1507">
        <v>0.81616659494603705</v>
      </c>
      <c r="U1507">
        <v>1.7260444171749142E-2</v>
      </c>
      <c r="V1507">
        <v>1.0415145773306067E-2</v>
      </c>
      <c r="W1507">
        <v>4.2986920793406859E-2</v>
      </c>
      <c r="X1507">
        <v>9.8258506250959391E-3</v>
      </c>
      <c r="Y1507">
        <v>1.95029120759004E-3</v>
      </c>
    </row>
    <row r="1508" spans="1:25">
      <c r="A1508" s="876"/>
      <c r="B1508" s="1202">
        <v>1258</v>
      </c>
      <c r="C1508" s="880">
        <v>1.0272013316847406</v>
      </c>
      <c r="D1508" s="880">
        <v>0.9737445102913852</v>
      </c>
      <c r="E1508" s="880">
        <v>1.003953122878728</v>
      </c>
      <c r="F1508" s="880">
        <v>0.96320007093509952</v>
      </c>
      <c r="G1508" s="880">
        <v>0.98839954357685222</v>
      </c>
      <c r="H1508" s="880">
        <v>0.99930259719352243</v>
      </c>
      <c r="I1508" s="880">
        <v>0.97236331654898744</v>
      </c>
      <c r="K1508">
        <v>1.0688356564484709</v>
      </c>
      <c r="L1508">
        <v>0</v>
      </c>
      <c r="M1508">
        <v>6.752781138316768E-4</v>
      </c>
      <c r="N1508">
        <v>6.8122452480578508E-2</v>
      </c>
      <c r="O1508">
        <v>8.6772365905983355E-3</v>
      </c>
      <c r="P1508">
        <v>1.2639727835071089E-2</v>
      </c>
      <c r="Q1508">
        <v>2.922964738744714E-3</v>
      </c>
      <c r="R1508">
        <v>6.6388387255330921E-4</v>
      </c>
      <c r="S1508">
        <v>8.1969875487117511E-2</v>
      </c>
      <c r="T1508">
        <v>0.81551786768243184</v>
      </c>
      <c r="U1508">
        <v>1.6462818285308097E-2</v>
      </c>
      <c r="V1508">
        <v>1.0410560474048158E-2</v>
      </c>
      <c r="W1508">
        <v>4.061001693893726E-2</v>
      </c>
      <c r="X1508">
        <v>9.7066571250833487E-3</v>
      </c>
      <c r="Y1508">
        <v>1.8068730518303372E-3</v>
      </c>
    </row>
    <row r="1509" spans="1:25">
      <c r="A1509" s="876"/>
      <c r="B1509" s="1202">
        <v>1259</v>
      </c>
      <c r="C1509" s="880">
        <v>0.99212099414020072</v>
      </c>
      <c r="D1509" s="880">
        <v>0.98631915512745327</v>
      </c>
      <c r="E1509" s="880">
        <v>1.0120360209898598</v>
      </c>
      <c r="F1509" s="880">
        <v>1.0125084857064497</v>
      </c>
      <c r="G1509" s="880">
        <v>0.96325768568574621</v>
      </c>
      <c r="H1509" s="880">
        <v>0.98418574372170087</v>
      </c>
      <c r="I1509" s="880">
        <v>1.014166469286885</v>
      </c>
      <c r="K1509">
        <v>1.0770136092026805</v>
      </c>
      <c r="L1509">
        <v>0</v>
      </c>
      <c r="M1509">
        <v>6.7232883470130214E-4</v>
      </c>
      <c r="N1509">
        <v>6.9531610152913675E-2</v>
      </c>
      <c r="O1509">
        <v>8.9226741817304903E-3</v>
      </c>
      <c r="P1509">
        <v>1.2789532773405507E-2</v>
      </c>
      <c r="Q1509">
        <v>3.0329832220835841E-3</v>
      </c>
      <c r="R1509">
        <v>6.6079915632965376E-4</v>
      </c>
      <c r="S1509">
        <v>8.7395053516174492E-2</v>
      </c>
      <c r="T1509">
        <v>0.81486748930082076</v>
      </c>
      <c r="U1509">
        <v>1.704492593729217E-2</v>
      </c>
      <c r="V1509">
        <v>1.0413906827056566E-2</v>
      </c>
      <c r="W1509">
        <v>4.1222716099664707E-2</v>
      </c>
      <c r="X1509">
        <v>1.000576939876276E-2</v>
      </c>
      <c r="Y1509">
        <v>1.7984774711459768E-3</v>
      </c>
    </row>
    <row r="1510" spans="1:25">
      <c r="A1510" s="876"/>
      <c r="B1510" s="1202">
        <v>1260</v>
      </c>
      <c r="C1510" s="880">
        <v>1.0138628191470678</v>
      </c>
      <c r="D1510" s="880">
        <v>1.010319823199362</v>
      </c>
      <c r="E1510" s="880">
        <v>1.0195425494254857</v>
      </c>
      <c r="F1510" s="880">
        <v>0.9909084131129775</v>
      </c>
      <c r="G1510" s="880">
        <v>1.034807305282986</v>
      </c>
      <c r="H1510" s="880">
        <v>0.98931673712520973</v>
      </c>
      <c r="I1510" s="880">
        <v>0.97906382495314126</v>
      </c>
      <c r="K1510">
        <v>1.0672887561740947</v>
      </c>
      <c r="L1510">
        <v>0</v>
      </c>
      <c r="M1510">
        <v>6.4266940672723567E-4</v>
      </c>
      <c r="N1510">
        <v>6.8036921676850312E-2</v>
      </c>
      <c r="O1510">
        <v>8.6200836894316391E-3</v>
      </c>
      <c r="P1510">
        <v>1.2768904328871266E-2</v>
      </c>
      <c r="Q1510">
        <v>2.9574363312956813E-3</v>
      </c>
      <c r="R1510">
        <v>6.3168612615877885E-4</v>
      </c>
      <c r="S1510">
        <v>8.1754436940283767E-2</v>
      </c>
      <c r="T1510">
        <v>0.81426547987387388</v>
      </c>
      <c r="U1510">
        <v>1.6679405286978342E-2</v>
      </c>
      <c r="V1510">
        <v>1.041180556430276E-2</v>
      </c>
      <c r="W1510">
        <v>4.0132176893163021E-2</v>
      </c>
      <c r="X1510">
        <v>9.9538474694839067E-3</v>
      </c>
      <c r="Y1510">
        <v>1.7192414001286726E-3</v>
      </c>
    </row>
    <row r="1511" spans="1:25">
      <c r="A1511" s="876"/>
      <c r="B1511" s="1202">
        <v>1261</v>
      </c>
      <c r="C1511" s="880">
        <v>0.97965527542474673</v>
      </c>
      <c r="D1511" s="880">
        <v>0.99684226744795157</v>
      </c>
      <c r="E1511" s="880">
        <v>1.0011747702551723</v>
      </c>
      <c r="F1511" s="880">
        <v>0.9955880692347816</v>
      </c>
      <c r="G1511" s="880">
        <v>0.96645868948825264</v>
      </c>
      <c r="H1511" s="880">
        <v>0.99910366509494097</v>
      </c>
      <c r="I1511" s="880">
        <v>1.0051104495860277</v>
      </c>
      <c r="K1511">
        <v>1.0800129654702251</v>
      </c>
      <c r="L1511">
        <v>0</v>
      </c>
      <c r="M1511">
        <v>7.0322831602091459E-4</v>
      </c>
      <c r="N1511">
        <v>7.0329302714283087E-2</v>
      </c>
      <c r="O1511">
        <v>8.9851760173295398E-3</v>
      </c>
      <c r="P1511">
        <v>1.2707292036965788E-2</v>
      </c>
      <c r="Q1511">
        <v>3.023590249732807E-3</v>
      </c>
      <c r="R1511">
        <v>6.913395166660369E-4</v>
      </c>
      <c r="S1511">
        <v>8.7802246394067598E-2</v>
      </c>
      <c r="T1511">
        <v>0.8157419368886849</v>
      </c>
      <c r="U1511">
        <v>1.7261815753118335E-2</v>
      </c>
      <c r="V1511">
        <v>1.0415153658094086E-2</v>
      </c>
      <c r="W1511">
        <v>4.2005228597326812E-2</v>
      </c>
      <c r="X1511">
        <v>9.8715136956220584E-3</v>
      </c>
      <c r="Y1511">
        <v>1.8815982643545326E-3</v>
      </c>
    </row>
    <row r="1512" spans="1:25">
      <c r="A1512" s="876"/>
      <c r="B1512" s="1202">
        <v>1262</v>
      </c>
      <c r="C1512" s="880">
        <v>1.0050214958057697</v>
      </c>
      <c r="D1512" s="880">
        <v>0.96024488565284094</v>
      </c>
      <c r="E1512" s="880">
        <v>0.984200460221752</v>
      </c>
      <c r="F1512" s="880">
        <v>0.98471076589627138</v>
      </c>
      <c r="G1512" s="880">
        <v>1.0071503718133969</v>
      </c>
      <c r="H1512" s="880">
        <v>0.98893544630601615</v>
      </c>
      <c r="I1512" s="880">
        <v>0.99119971492556647</v>
      </c>
      <c r="K1512">
        <v>1.0749101368014697</v>
      </c>
      <c r="L1512">
        <v>0</v>
      </c>
      <c r="M1512">
        <v>7.1732948940003011E-4</v>
      </c>
      <c r="N1512">
        <v>6.8038647214421058E-2</v>
      </c>
      <c r="O1512">
        <v>8.935220387345854E-3</v>
      </c>
      <c r="P1512">
        <v>1.2529433914512675E-2</v>
      </c>
      <c r="Q1512">
        <v>2.9473834559154027E-3</v>
      </c>
      <c r="R1512">
        <v>7.0511152719810995E-4</v>
      </c>
      <c r="S1512">
        <v>8.562647972539246E-2</v>
      </c>
      <c r="T1512">
        <v>0.81711657686205663</v>
      </c>
      <c r="U1512">
        <v>1.6826136492129842E-2</v>
      </c>
      <c r="V1512">
        <v>1.0412649075650048E-2</v>
      </c>
      <c r="W1512">
        <v>4.1114282969752565E-2</v>
      </c>
      <c r="X1512">
        <v>9.4564635294136657E-3</v>
      </c>
      <c r="Y1512">
        <v>1.919081137080784E-3</v>
      </c>
    </row>
    <row r="1513" spans="1:25">
      <c r="A1513" s="876"/>
      <c r="B1513" s="1202">
        <v>1263</v>
      </c>
      <c r="C1513" s="880">
        <v>0.99300439724375211</v>
      </c>
      <c r="D1513" s="880">
        <v>1.0353624160457129</v>
      </c>
      <c r="E1513" s="880">
        <v>0.97419017950788278</v>
      </c>
      <c r="F1513" s="880">
        <v>1.002441660598631</v>
      </c>
      <c r="G1513" s="880">
        <v>1.0357845457004624</v>
      </c>
      <c r="H1513" s="880">
        <v>0.97553614774402719</v>
      </c>
      <c r="I1513" s="880">
        <v>0.98962248879033088</v>
      </c>
      <c r="K1513">
        <v>1.0670185729845807</v>
      </c>
      <c r="L1513">
        <v>0</v>
      </c>
      <c r="M1513">
        <v>7.0264628837806841E-4</v>
      </c>
      <c r="N1513">
        <v>6.457759114533719E-2</v>
      </c>
      <c r="O1513">
        <v>8.6872262414730648E-3</v>
      </c>
      <c r="P1513">
        <v>1.2411093133052747E-2</v>
      </c>
      <c r="Q1513">
        <v>2.8525818880495131E-3</v>
      </c>
      <c r="R1513">
        <v>6.9044666545860266E-4</v>
      </c>
      <c r="S1513">
        <v>8.2870012833912043E-2</v>
      </c>
      <c r="T1513">
        <v>0.81793182117917929</v>
      </c>
      <c r="U1513">
        <v>1.7029762318163562E-2</v>
      </c>
      <c r="V1513">
        <v>1.0413819656200243E-2</v>
      </c>
      <c r="W1513">
        <v>3.929499432796682E-2</v>
      </c>
      <c r="X1513">
        <v>9.0827016664689064E-3</v>
      </c>
      <c r="Y1513">
        <v>1.8791682176962183E-3</v>
      </c>
    </row>
    <row r="1514" spans="1:25">
      <c r="A1514" s="876"/>
      <c r="B1514" s="1202">
        <v>1264</v>
      </c>
      <c r="C1514" s="880">
        <v>1.0271422419997891</v>
      </c>
      <c r="D1514" s="880">
        <v>1.0135962842354027</v>
      </c>
      <c r="E1514" s="880">
        <v>1.012050901566935</v>
      </c>
      <c r="F1514" s="880">
        <v>0.99631140798269913</v>
      </c>
      <c r="G1514" s="880">
        <v>0.96617585163261832</v>
      </c>
      <c r="H1514" s="880">
        <v>0.9955009656995627</v>
      </c>
      <c r="I1514" s="880">
        <v>1.0248892452684399</v>
      </c>
      <c r="K1514">
        <v>1.0685736388971896</v>
      </c>
      <c r="L1514">
        <v>0</v>
      </c>
      <c r="M1514">
        <v>6.4738662990577013E-4</v>
      </c>
      <c r="N1514">
        <v>6.6966170500694103E-2</v>
      </c>
      <c r="O1514">
        <v>8.4939772048207018E-3</v>
      </c>
      <c r="P1514">
        <v>1.2742536743140808E-2</v>
      </c>
      <c r="Q1514">
        <v>2.8931934310318231E-3</v>
      </c>
      <c r="R1514">
        <v>6.3638886156926406E-4</v>
      </c>
      <c r="S1514">
        <v>8.4557692899071682E-2</v>
      </c>
      <c r="T1514">
        <v>0.8148662940078758</v>
      </c>
      <c r="U1514">
        <v>1.6463765362262101E-2</v>
      </c>
      <c r="V1514">
        <v>1.0410565918494387E-2</v>
      </c>
      <c r="W1514">
        <v>3.9701361099927036E-2</v>
      </c>
      <c r="X1514">
        <v>9.7570388025476785E-3</v>
      </c>
      <c r="Y1514">
        <v>1.7320406956597019E-3</v>
      </c>
    </row>
    <row r="1515" spans="1:25">
      <c r="A1515" s="876"/>
      <c r="B1515" s="1202">
        <v>1265</v>
      </c>
      <c r="C1515" s="880">
        <v>0.97291595628492056</v>
      </c>
      <c r="D1515" s="880">
        <v>1.0113736486318634</v>
      </c>
      <c r="E1515" s="880">
        <v>0.97638653041047285</v>
      </c>
      <c r="F1515" s="880">
        <v>0.98474056143839794</v>
      </c>
      <c r="G1515" s="880">
        <v>0.99341922825841589</v>
      </c>
      <c r="H1515" s="880">
        <v>1.0039047013188414</v>
      </c>
      <c r="I1515" s="880">
        <v>0.96579542174747279</v>
      </c>
      <c r="K1515">
        <v>1.0764961486898481</v>
      </c>
      <c r="L1515">
        <v>0</v>
      </c>
      <c r="M1515">
        <v>7.4381545750044334E-4</v>
      </c>
      <c r="N1515">
        <v>6.8867256043204886E-2</v>
      </c>
      <c r="O1515">
        <v>8.9778874987411859E-3</v>
      </c>
      <c r="P1515">
        <v>1.2456282624616063E-2</v>
      </c>
      <c r="Q1515">
        <v>2.949513162440083E-3</v>
      </c>
      <c r="R1515">
        <v>7.3128734602023932E-4</v>
      </c>
      <c r="S1515">
        <v>8.4511734131892391E-2</v>
      </c>
      <c r="T1515">
        <v>0.81775265860774649</v>
      </c>
      <c r="U1515">
        <v>1.738138711438714E-2</v>
      </c>
      <c r="V1515">
        <v>1.0415841036078443E-2</v>
      </c>
      <c r="W1515">
        <v>4.1841196731506769E-2</v>
      </c>
      <c r="X1515">
        <v>9.3645967636568281E-3</v>
      </c>
      <c r="Y1515">
        <v>1.9903230870582642E-3</v>
      </c>
    </row>
    <row r="1516" spans="1:25">
      <c r="A1516" s="876"/>
      <c r="B1516" s="1202">
        <v>1266</v>
      </c>
      <c r="C1516" s="880">
        <v>0.98523683503705195</v>
      </c>
      <c r="D1516" s="880">
        <v>0.97099480425976969</v>
      </c>
      <c r="E1516" s="880">
        <v>1.0089277084795489</v>
      </c>
      <c r="F1516" s="880">
        <v>0.98848740383166656</v>
      </c>
      <c r="G1516" s="880">
        <v>1.0110914664390316</v>
      </c>
      <c r="H1516" s="880">
        <v>0.9903459772032438</v>
      </c>
      <c r="I1516" s="880">
        <v>1.0025181117616708</v>
      </c>
      <c r="K1516">
        <v>1.0803067262000179</v>
      </c>
      <c r="L1516">
        <v>0</v>
      </c>
      <c r="M1516">
        <v>6.9149396506329409E-4</v>
      </c>
      <c r="N1516">
        <v>7.0835066716492978E-2</v>
      </c>
      <c r="O1516">
        <v>9.0605183060741695E-3</v>
      </c>
      <c r="P1516">
        <v>1.2772237229466772E-2</v>
      </c>
      <c r="Q1516">
        <v>3.0666643165505759E-3</v>
      </c>
      <c r="R1516">
        <v>6.7972305811517849E-4</v>
      </c>
      <c r="S1516">
        <v>8.7905146277164767E-2</v>
      </c>
      <c r="T1516">
        <v>0.81511733196333047</v>
      </c>
      <c r="U1516">
        <v>1.7164024186444915E-2</v>
      </c>
      <c r="V1516">
        <v>1.0414591485268821E-2</v>
      </c>
      <c r="W1516">
        <v>4.2084247985358918E-2</v>
      </c>
      <c r="X1516">
        <v>1.0048686547268308E-2</v>
      </c>
      <c r="Y1516">
        <v>1.8499820935436286E-3</v>
      </c>
    </row>
    <row r="1517" spans="1:25">
      <c r="A1517" s="876"/>
      <c r="B1517" s="1202">
        <v>1267</v>
      </c>
      <c r="C1517" s="880">
        <v>1.0058150459389368</v>
      </c>
      <c r="D1517" s="880">
        <v>1.0235938527997392</v>
      </c>
      <c r="E1517" s="880">
        <v>1.0299732126206496</v>
      </c>
      <c r="F1517" s="880">
        <v>0.98258271770458483</v>
      </c>
      <c r="G1517" s="880">
        <v>0.98965045705142773</v>
      </c>
      <c r="H1517" s="880">
        <v>0.99788372230665334</v>
      </c>
      <c r="I1517" s="880">
        <v>0.9884655303964035</v>
      </c>
      <c r="K1517">
        <v>1.0700869743254939</v>
      </c>
      <c r="L1517">
        <v>0</v>
      </c>
      <c r="M1517">
        <v>6.3475547192304912E-4</v>
      </c>
      <c r="N1517">
        <v>6.9420646192007773E-2</v>
      </c>
      <c r="O1517">
        <v>8.6288793831468223E-3</v>
      </c>
      <c r="P1517">
        <v>1.2873645144235361E-2</v>
      </c>
      <c r="Q1517">
        <v>2.9941278973833895E-3</v>
      </c>
      <c r="R1517">
        <v>6.2399033519336432E-4</v>
      </c>
      <c r="S1517">
        <v>8.2959232390205626E-2</v>
      </c>
      <c r="T1517">
        <v>0.81343214988348589</v>
      </c>
      <c r="U1517">
        <v>1.6812861305098264E-2</v>
      </c>
      <c r="V1517">
        <v>1.0412572760793314E-2</v>
      </c>
      <c r="W1517">
        <v>4.0662122870336027E-2</v>
      </c>
      <c r="X1517">
        <v>1.0203205641493211E-2</v>
      </c>
      <c r="Y1517">
        <v>1.6982959940376242E-3</v>
      </c>
    </row>
    <row r="1518" spans="1:25">
      <c r="A1518" s="876"/>
      <c r="B1518" s="1202">
        <v>1268</v>
      </c>
      <c r="C1518" s="880">
        <v>0.99641052691850962</v>
      </c>
      <c r="D1518" s="880">
        <v>0.97789113735578992</v>
      </c>
      <c r="E1518" s="880">
        <v>1.0291243829272643</v>
      </c>
      <c r="F1518" s="880">
        <v>1.005585020200376</v>
      </c>
      <c r="G1518" s="880">
        <v>1.0355930281508776</v>
      </c>
      <c r="H1518" s="880">
        <v>0.976965762697795</v>
      </c>
      <c r="I1518" s="880">
        <v>1.0158355070320704</v>
      </c>
      <c r="K1518">
        <v>1.076497757863524</v>
      </c>
      <c r="L1518">
        <v>0</v>
      </c>
      <c r="M1518">
        <v>6.4390013056934829E-4</v>
      </c>
      <c r="N1518">
        <v>7.0213642884890598E-2</v>
      </c>
      <c r="O1518">
        <v>8.9250829901758519E-3</v>
      </c>
      <c r="P1518">
        <v>1.2928968458310017E-2</v>
      </c>
      <c r="Q1518">
        <v>3.0837722363587787E-3</v>
      </c>
      <c r="R1518">
        <v>6.3278343076433722E-4</v>
      </c>
      <c r="S1518">
        <v>8.7269682478922597E-2</v>
      </c>
      <c r="T1518">
        <v>0.81349982609867399</v>
      </c>
      <c r="U1518">
        <v>1.6971547779859403E-2</v>
      </c>
      <c r="V1518">
        <v>1.0413484999209006E-2</v>
      </c>
      <c r="W1518">
        <v>4.1150016386438754E-2</v>
      </c>
      <c r="X1518">
        <v>1.0330622348950746E-2</v>
      </c>
      <c r="Y1518">
        <v>1.7222279015386358E-3</v>
      </c>
    </row>
    <row r="1519" spans="1:25">
      <c r="A1519" s="876"/>
      <c r="B1519" s="1202">
        <v>1269</v>
      </c>
      <c r="C1519" s="880">
        <v>0.95893819301764149</v>
      </c>
      <c r="D1519" s="880">
        <v>0.9789954496085993</v>
      </c>
      <c r="E1519" s="880">
        <v>0.99882693894562713</v>
      </c>
      <c r="F1519" s="880">
        <v>1.0056699122378705</v>
      </c>
      <c r="G1519" s="880">
        <v>0.97751987281994912</v>
      </c>
      <c r="H1519" s="880">
        <v>1.0190098163106156</v>
      </c>
      <c r="I1519" s="880">
        <v>0.98543410733649417</v>
      </c>
      <c r="K1519">
        <v>1.088607226055522</v>
      </c>
      <c r="L1519">
        <v>0</v>
      </c>
      <c r="M1519">
        <v>7.4348629537552191E-4</v>
      </c>
      <c r="N1519">
        <v>7.3840785891504723E-2</v>
      </c>
      <c r="O1519">
        <v>9.2682560103017758E-3</v>
      </c>
      <c r="P1519">
        <v>1.2715590010860254E-2</v>
      </c>
      <c r="Q1519">
        <v>3.1072796180625132E-3</v>
      </c>
      <c r="R1519">
        <v>7.3117885777452304E-4</v>
      </c>
      <c r="S1519">
        <v>8.9478910455900812E-2</v>
      </c>
      <c r="T1519">
        <v>0.8159314898304546</v>
      </c>
      <c r="U1519">
        <v>1.7634743291157301E-2</v>
      </c>
      <c r="V1519">
        <v>1.0417297500705625E-2</v>
      </c>
      <c r="W1519">
        <v>4.41734212964656E-2</v>
      </c>
      <c r="X1519">
        <v>1.0061731769894068E-2</v>
      </c>
      <c r="Y1519">
        <v>1.990027817816565E-3</v>
      </c>
    </row>
    <row r="1520" spans="1:25">
      <c r="A1520" s="876"/>
      <c r="B1520" s="1202">
        <v>1270</v>
      </c>
      <c r="C1520" s="880">
        <v>1.0227242466575517</v>
      </c>
      <c r="D1520" s="880">
        <v>0.97847253169495085</v>
      </c>
      <c r="E1520" s="880">
        <v>0.98413754143175847</v>
      </c>
      <c r="F1520" s="880">
        <v>0.96944688569728588</v>
      </c>
      <c r="G1520" s="880">
        <v>0.99345801138642664</v>
      </c>
      <c r="H1520" s="880">
        <v>0.97881144951853261</v>
      </c>
      <c r="I1520" s="880">
        <v>0.97095975573225046</v>
      </c>
      <c r="K1520">
        <v>1.0655912674017531</v>
      </c>
      <c r="L1520">
        <v>0</v>
      </c>
      <c r="M1520">
        <v>6.9082240344700259E-4</v>
      </c>
      <c r="N1520">
        <v>6.549826465043708E-2</v>
      </c>
      <c r="O1520">
        <v>8.6926876836032722E-3</v>
      </c>
      <c r="P1520">
        <v>1.2466708150614471E-2</v>
      </c>
      <c r="Q1520">
        <v>2.8712828053536902E-3</v>
      </c>
      <c r="R1520">
        <v>6.7891757290687344E-4</v>
      </c>
      <c r="S1520">
        <v>8.1307545676124846E-2</v>
      </c>
      <c r="T1520">
        <v>0.81712169042290184</v>
      </c>
      <c r="U1520">
        <v>1.6534886037188775E-2</v>
      </c>
      <c r="V1520">
        <v>1.041097476878812E-2</v>
      </c>
      <c r="W1520">
        <v>3.9580907696808269E-2</v>
      </c>
      <c r="X1520">
        <v>9.2704345121381402E-3</v>
      </c>
      <c r="Y1520">
        <v>1.8477898283347494E-3</v>
      </c>
    </row>
    <row r="1521" spans="1:25">
      <c r="A1521" s="876"/>
      <c r="B1521" s="1202">
        <v>1271</v>
      </c>
      <c r="C1521" s="880">
        <v>1.0237347841574194</v>
      </c>
      <c r="D1521" s="880">
        <v>0.999353235814185</v>
      </c>
      <c r="E1521" s="880">
        <v>1.0038404904722682</v>
      </c>
      <c r="F1521" s="880">
        <v>0.99965505707562674</v>
      </c>
      <c r="G1521" s="880">
        <v>0.99414709457752115</v>
      </c>
      <c r="H1521" s="880">
        <v>0.99946184979581232</v>
      </c>
      <c r="I1521" s="880">
        <v>1.0048592190639831</v>
      </c>
      <c r="K1521">
        <v>1.0695605228706451</v>
      </c>
      <c r="L1521">
        <v>0</v>
      </c>
      <c r="M1521">
        <v>6.6852473442057404E-4</v>
      </c>
      <c r="N1521">
        <v>6.7415510301624737E-2</v>
      </c>
      <c r="O1521">
        <v>8.5867668016548753E-3</v>
      </c>
      <c r="P1521">
        <v>1.2666087598719171E-2</v>
      </c>
      <c r="Q1521">
        <v>2.8978091419685935E-3</v>
      </c>
      <c r="R1521">
        <v>6.5722459630704983E-4</v>
      </c>
      <c r="S1521">
        <v>8.3908051967422834E-2</v>
      </c>
      <c r="T1521">
        <v>0.81552694618242705</v>
      </c>
      <c r="U1521">
        <v>1.6518564307522875E-2</v>
      </c>
      <c r="V1521">
        <v>1.0410880940320175E-2</v>
      </c>
      <c r="W1521">
        <v>4.0191674585952485E-2</v>
      </c>
      <c r="X1521">
        <v>9.6607824840278193E-3</v>
      </c>
      <c r="Y1521">
        <v>1.7887486971178443E-3</v>
      </c>
    </row>
    <row r="1522" spans="1:25">
      <c r="A1522" s="876"/>
      <c r="B1522" s="1202">
        <v>1272</v>
      </c>
      <c r="C1522" s="880">
        <v>1.0213628097583478</v>
      </c>
      <c r="D1522" s="880">
        <v>1.009121272527336</v>
      </c>
      <c r="E1522" s="880">
        <v>1.0072959679847224</v>
      </c>
      <c r="F1522" s="880">
        <v>0.97880688906654922</v>
      </c>
      <c r="G1522" s="880">
        <v>1.027689248790586</v>
      </c>
      <c r="H1522" s="880">
        <v>0.99878919882401307</v>
      </c>
      <c r="I1522" s="880">
        <v>0.98887038868942678</v>
      </c>
      <c r="K1522">
        <v>1.0676628516857372</v>
      </c>
      <c r="L1522">
        <v>0</v>
      </c>
      <c r="M1522">
        <v>6.6133722325485082E-4</v>
      </c>
      <c r="N1522">
        <v>6.7409616922686461E-2</v>
      </c>
      <c r="O1522">
        <v>8.5621984956328074E-3</v>
      </c>
      <c r="P1522">
        <v>1.2673874044539764E-2</v>
      </c>
      <c r="Q1522">
        <v>2.9016443029265828E-3</v>
      </c>
      <c r="R1522">
        <v>6.5014307012574348E-4</v>
      </c>
      <c r="S1522">
        <v>8.2341702532722494E-2</v>
      </c>
      <c r="T1522">
        <v>0.81524862105095186</v>
      </c>
      <c r="U1522">
        <v>1.6556926397147158E-2</v>
      </c>
      <c r="V1522">
        <v>1.0411101471855169E-2</v>
      </c>
      <c r="W1522">
        <v>4.009362081039184E-2</v>
      </c>
      <c r="X1522">
        <v>9.7052646927355494E-3</v>
      </c>
      <c r="Y1522">
        <v>1.7694751172768063E-3</v>
      </c>
    </row>
    <row r="1523" spans="1:25">
      <c r="A1523" s="876"/>
      <c r="B1523" s="1202">
        <v>1273</v>
      </c>
      <c r="C1523" s="880">
        <v>1.0171148971701773</v>
      </c>
      <c r="D1523" s="880">
        <v>1.0075274065694841</v>
      </c>
      <c r="E1523" s="880">
        <v>0.99756410148193975</v>
      </c>
      <c r="F1523" s="880">
        <v>1.0231004109618931</v>
      </c>
      <c r="G1523" s="880">
        <v>1.0255093069993486</v>
      </c>
      <c r="H1523" s="880">
        <v>1.002974583800506</v>
      </c>
      <c r="I1523" s="880">
        <v>0.97096539340650934</v>
      </c>
      <c r="K1523">
        <v>1.0676144889996333</v>
      </c>
      <c r="L1523">
        <v>0</v>
      </c>
      <c r="M1523">
        <v>6.8126811233220458E-4</v>
      </c>
      <c r="N1523">
        <v>6.7375544001434792E-2</v>
      </c>
      <c r="O1523">
        <v>8.605202836522146E-3</v>
      </c>
      <c r="P1523">
        <v>1.2581019101142956E-2</v>
      </c>
      <c r="Q1523">
        <v>2.8875280868815158E-3</v>
      </c>
      <c r="R1523">
        <v>6.6978604683732461E-4</v>
      </c>
      <c r="S1523">
        <v>8.1394624282043707E-2</v>
      </c>
      <c r="T1523">
        <v>0.81603352288360032</v>
      </c>
      <c r="U1523">
        <v>1.6626075296902246E-2</v>
      </c>
      <c r="V1523">
        <v>1.0411498987036291E-2</v>
      </c>
      <c r="W1523">
        <v>4.0340637074976253E-2</v>
      </c>
      <c r="X1523">
        <v>9.5473816900087539E-3</v>
      </c>
      <c r="Y1523">
        <v>1.8229368245801974E-3</v>
      </c>
    </row>
    <row r="1524" spans="1:25">
      <c r="A1524" s="876"/>
      <c r="B1524" s="1202">
        <v>1274</v>
      </c>
      <c r="C1524" s="880">
        <v>1.0349770844014743</v>
      </c>
      <c r="D1524" s="880">
        <v>0.98980658136344768</v>
      </c>
      <c r="E1524" s="880">
        <v>1.0231776887427437</v>
      </c>
      <c r="F1524" s="880">
        <v>0.98965125073183879</v>
      </c>
      <c r="G1524" s="880">
        <v>0.97489992200074516</v>
      </c>
      <c r="H1524" s="880">
        <v>0.96434289688843577</v>
      </c>
      <c r="I1524" s="880">
        <v>1.0280296955392905</v>
      </c>
      <c r="K1524">
        <v>1.0652829130413013</v>
      </c>
      <c r="L1524">
        <v>0</v>
      </c>
      <c r="M1524">
        <v>6.1565312811097601E-4</v>
      </c>
      <c r="N1524">
        <v>6.588901309113207E-2</v>
      </c>
      <c r="O1524">
        <v>8.5371040298220322E-3</v>
      </c>
      <c r="P1524">
        <v>1.2826234433210676E-2</v>
      </c>
      <c r="Q1524">
        <v>2.9350629237161188E-3</v>
      </c>
      <c r="R1524">
        <v>6.048753243188714E-4</v>
      </c>
      <c r="S1524">
        <v>8.4063540470434045E-2</v>
      </c>
      <c r="T1524">
        <v>0.81397463877346454</v>
      </c>
      <c r="U1524">
        <v>1.6339133610607189E-2</v>
      </c>
      <c r="V1524">
        <v>1.0409849449924225E-2</v>
      </c>
      <c r="W1524">
        <v>3.8770087684300354E-2</v>
      </c>
      <c r="X1524">
        <v>9.9027551427844814E-3</v>
      </c>
      <c r="Y1524">
        <v>1.6462712356988952E-3</v>
      </c>
    </row>
    <row r="1525" spans="1:25">
      <c r="A1525" s="876"/>
      <c r="B1525" s="1202">
        <v>1275</v>
      </c>
      <c r="C1525" s="880">
        <v>1.0012586173056688</v>
      </c>
      <c r="D1525" s="880">
        <v>0.96872530588278638</v>
      </c>
      <c r="E1525" s="880">
        <v>1.0108813154104463</v>
      </c>
      <c r="F1525" s="880">
        <v>0.99423635486923201</v>
      </c>
      <c r="G1525" s="880">
        <v>1.0062262395598125</v>
      </c>
      <c r="H1525" s="880">
        <v>0.96398495958511243</v>
      </c>
      <c r="I1525" s="880">
        <v>0.98117867772757861</v>
      </c>
      <c r="K1525">
        <v>1.0708171200978649</v>
      </c>
      <c r="L1525">
        <v>0</v>
      </c>
      <c r="M1525">
        <v>6.6041789766233385E-4</v>
      </c>
      <c r="N1525">
        <v>6.8031812356665305E-2</v>
      </c>
      <c r="O1525">
        <v>8.9267000448426618E-3</v>
      </c>
      <c r="P1525">
        <v>1.2728514734273163E-2</v>
      </c>
      <c r="Q1525">
        <v>3.0267420072973739E-3</v>
      </c>
      <c r="R1525">
        <v>6.4887057150395523E-4</v>
      </c>
      <c r="S1525">
        <v>8.381699256204457E-2</v>
      </c>
      <c r="T1525">
        <v>0.81496026483958484</v>
      </c>
      <c r="U1525">
        <v>1.6889371610561459E-2</v>
      </c>
      <c r="V1525">
        <v>1.0413012594370481E-2</v>
      </c>
      <c r="W1525">
        <v>4.0365167786585561E-2</v>
      </c>
      <c r="X1525">
        <v>9.9040770922892967E-3</v>
      </c>
      <c r="Y1525">
        <v>1.7660117955073575E-3</v>
      </c>
    </row>
    <row r="1526" spans="1:25">
      <c r="A1526" s="876"/>
      <c r="B1526" s="1202">
        <v>1276</v>
      </c>
      <c r="C1526" s="880">
        <v>0.98912024183500269</v>
      </c>
      <c r="D1526" s="880">
        <v>1.0410125183875567</v>
      </c>
      <c r="E1526" s="880">
        <v>0.97787841993693847</v>
      </c>
      <c r="F1526" s="880">
        <v>0.96431674529217737</v>
      </c>
      <c r="G1526" s="880">
        <v>0.96400081512661184</v>
      </c>
      <c r="H1526" s="880">
        <v>0.99389540651979558</v>
      </c>
      <c r="I1526" s="880">
        <v>1.008548120345802</v>
      </c>
      <c r="K1526">
        <v>1.0717646209719962</v>
      </c>
      <c r="L1526">
        <v>0</v>
      </c>
      <c r="M1526">
        <v>7.110868305936584E-4</v>
      </c>
      <c r="N1526">
        <v>6.6130022282452641E-2</v>
      </c>
      <c r="O1526">
        <v>8.6961553609308101E-3</v>
      </c>
      <c r="P1526">
        <v>1.2474401290624553E-2</v>
      </c>
      <c r="Q1526">
        <v>2.8674088134280811E-3</v>
      </c>
      <c r="R1526">
        <v>6.9896395308555333E-4</v>
      </c>
      <c r="S1526">
        <v>8.5213255341606856E-2</v>
      </c>
      <c r="T1526">
        <v>0.81763105394633695</v>
      </c>
      <c r="U1526">
        <v>1.7096636132509044E-2</v>
      </c>
      <c r="V1526">
        <v>1.041420409263406E-2</v>
      </c>
      <c r="W1526">
        <v>4.0136499790731181E-2</v>
      </c>
      <c r="X1526">
        <v>9.2147573313552753E-3</v>
      </c>
      <c r="Y1526">
        <v>1.9023494668936665E-3</v>
      </c>
    </row>
    <row r="1527" spans="1:25">
      <c r="A1527" s="876"/>
      <c r="B1527" s="1202">
        <v>1277</v>
      </c>
      <c r="C1527" s="880">
        <v>0.98143105254094432</v>
      </c>
      <c r="D1527" s="880">
        <v>0.99067704893213093</v>
      </c>
      <c r="E1527" s="880">
        <v>1.016532033700938</v>
      </c>
      <c r="F1527" s="880">
        <v>1.0071433558262557</v>
      </c>
      <c r="G1527" s="880">
        <v>1.0155118072260358</v>
      </c>
      <c r="H1527" s="880">
        <v>0.9647000017276679</v>
      </c>
      <c r="I1527" s="880">
        <v>0.98625622695152981</v>
      </c>
      <c r="K1527">
        <v>1.0736819083455122</v>
      </c>
      <c r="L1527">
        <v>0</v>
      </c>
      <c r="M1527">
        <v>6.5835637459971358E-4</v>
      </c>
      <c r="N1527">
        <v>6.9019897022310706E-2</v>
      </c>
      <c r="O1527">
        <v>8.9986578569101697E-3</v>
      </c>
      <c r="P1527">
        <v>1.2796835857477292E-2</v>
      </c>
      <c r="Q1527">
        <v>3.0735743000475406E-3</v>
      </c>
      <c r="R1527">
        <v>6.4683451480644194E-4</v>
      </c>
      <c r="S1527">
        <v>8.5023388028081917E-2</v>
      </c>
      <c r="T1527">
        <v>0.81450668697114825</v>
      </c>
      <c r="U1527">
        <v>1.7230582649866683E-2</v>
      </c>
      <c r="V1527">
        <v>1.0414974108849782E-2</v>
      </c>
      <c r="W1527">
        <v>4.0794894253463922E-2</v>
      </c>
      <c r="X1527">
        <v>1.0073468836785639E-2</v>
      </c>
      <c r="Y1527">
        <v>1.7604703203626356E-3</v>
      </c>
    </row>
    <row r="1528" spans="1:25">
      <c r="A1528" s="876"/>
      <c r="B1528" s="1202">
        <v>1278</v>
      </c>
      <c r="C1528" s="880">
        <v>0.9982428455404031</v>
      </c>
      <c r="D1528" s="880">
        <v>1.0160297569150536</v>
      </c>
      <c r="E1528" s="880">
        <v>1.0100251464655499</v>
      </c>
      <c r="F1528" s="880">
        <v>0.97097039641342409</v>
      </c>
      <c r="G1528" s="880">
        <v>0.95807429966160096</v>
      </c>
      <c r="H1528" s="880">
        <v>1.0180946663827803</v>
      </c>
      <c r="I1528" s="880">
        <v>1.0199045005767882</v>
      </c>
      <c r="K1528">
        <v>1.0778878124225941</v>
      </c>
      <c r="L1528">
        <v>0</v>
      </c>
      <c r="M1528">
        <v>6.8329336479703239E-4</v>
      </c>
      <c r="N1528">
        <v>7.0263429722063217E-2</v>
      </c>
      <c r="O1528">
        <v>8.7287267518941086E-3</v>
      </c>
      <c r="P1528">
        <v>1.2769964414993432E-2</v>
      </c>
      <c r="Q1528">
        <v>2.9676700588456006E-3</v>
      </c>
      <c r="R1528">
        <v>6.7194122968757008E-4</v>
      </c>
      <c r="S1528">
        <v>8.7297722467535407E-2</v>
      </c>
      <c r="T1528">
        <v>0.81502908357248538</v>
      </c>
      <c r="U1528">
        <v>1.69403957579057E-2</v>
      </c>
      <c r="V1528">
        <v>1.0413305916075451E-2</v>
      </c>
      <c r="W1528">
        <v>4.1713500818405302E-2</v>
      </c>
      <c r="X1528">
        <v>9.9465625556571131E-3</v>
      </c>
      <c r="Y1528">
        <v>1.8288025218427301E-3</v>
      </c>
    </row>
    <row r="1529" spans="1:25">
      <c r="A1529" s="876"/>
      <c r="B1529" s="1202">
        <v>1279</v>
      </c>
      <c r="C1529" s="880">
        <v>0.97646384191578361</v>
      </c>
      <c r="D1529" s="880">
        <v>1.0206396945391547</v>
      </c>
      <c r="E1529" s="880">
        <v>0.99784192831533081</v>
      </c>
      <c r="F1529" s="880">
        <v>1.0014262251080965</v>
      </c>
      <c r="G1529" s="880">
        <v>1.003344888477355</v>
      </c>
      <c r="H1529" s="880">
        <v>0.99834657682473626</v>
      </c>
      <c r="I1529" s="880">
        <v>1.0427511781591967</v>
      </c>
      <c r="K1529">
        <v>1.0812041458158517</v>
      </c>
      <c r="L1529">
        <v>0</v>
      </c>
      <c r="M1529">
        <v>7.0110930322785342E-4</v>
      </c>
      <c r="N1529">
        <v>6.9391108076984995E-2</v>
      </c>
      <c r="O1529">
        <v>8.9019332277266629E-3</v>
      </c>
      <c r="P1529">
        <v>1.2714062635356713E-2</v>
      </c>
      <c r="Q1529">
        <v>2.9908028024179657E-3</v>
      </c>
      <c r="R1529">
        <v>6.8922684941010771E-4</v>
      </c>
      <c r="S1529">
        <v>9.0292896537570819E-2</v>
      </c>
      <c r="T1529">
        <v>0.81601107075512747</v>
      </c>
      <c r="U1529">
        <v>1.7318233548489007E-2</v>
      </c>
      <c r="V1529">
        <v>1.0415477986177776E-2</v>
      </c>
      <c r="W1529">
        <v>4.1539531889904745E-2</v>
      </c>
      <c r="X1529">
        <v>9.7650625293880904E-3</v>
      </c>
      <c r="Y1529">
        <v>1.875848280524467E-3</v>
      </c>
    </row>
    <row r="1530" spans="1:25">
      <c r="A1530" s="876"/>
      <c r="B1530" s="1202">
        <v>1280</v>
      </c>
      <c r="C1530" s="880">
        <v>1.0232045781164454</v>
      </c>
      <c r="D1530" s="880">
        <v>1.006689911351117</v>
      </c>
      <c r="E1530" s="880">
        <v>0.99757427125910181</v>
      </c>
      <c r="F1530" s="880">
        <v>1.0165924971189999</v>
      </c>
      <c r="G1530" s="880">
        <v>1.0296203779559578</v>
      </c>
      <c r="H1530" s="880">
        <v>0.99696124422929577</v>
      </c>
      <c r="I1530" s="880">
        <v>0.99782558154148027</v>
      </c>
      <c r="K1530">
        <v>1.0677452793999518</v>
      </c>
      <c r="L1530">
        <v>0</v>
      </c>
      <c r="M1530">
        <v>6.7343651177124899E-4</v>
      </c>
      <c r="N1530">
        <v>6.659631099738747E-2</v>
      </c>
      <c r="O1530">
        <v>8.5577799099866344E-3</v>
      </c>
      <c r="P1530">
        <v>1.2601263351741729E-2</v>
      </c>
      <c r="Q1530">
        <v>2.8714666200771398E-3</v>
      </c>
      <c r="R1530">
        <v>6.6201867496580439E-4</v>
      </c>
      <c r="S1530">
        <v>8.2973944851053416E-2</v>
      </c>
      <c r="T1530">
        <v>0.81603270098320169</v>
      </c>
      <c r="U1530">
        <v>1.652712392773115E-2</v>
      </c>
      <c r="V1530">
        <v>1.0410930146872834E-2</v>
      </c>
      <c r="W1530">
        <v>3.9873798810978078E-2</v>
      </c>
      <c r="X1530">
        <v>9.5095810388674974E-3</v>
      </c>
      <c r="Y1530">
        <v>1.801796598859369E-3</v>
      </c>
    </row>
    <row r="1531" spans="1:25">
      <c r="A1531" s="876"/>
      <c r="B1531" s="1202">
        <v>1281</v>
      </c>
      <c r="C1531" s="880">
        <v>0.99339821648081716</v>
      </c>
      <c r="D1531" s="880">
        <v>0.98734938109898973</v>
      </c>
      <c r="E1531" s="880">
        <v>0.96392978421472952</v>
      </c>
      <c r="F1531" s="880">
        <v>1.0025502116309288</v>
      </c>
      <c r="G1531" s="880">
        <v>1.032973919057858</v>
      </c>
      <c r="H1531" s="880">
        <v>1.0121294800637626</v>
      </c>
      <c r="I1531" s="880">
        <v>0.96378714435851764</v>
      </c>
      <c r="K1531">
        <v>1.0750370660378286</v>
      </c>
      <c r="L1531">
        <v>0</v>
      </c>
      <c r="M1531">
        <v>7.6358059245379992E-4</v>
      </c>
      <c r="N1531">
        <v>6.8015494382255307E-2</v>
      </c>
      <c r="O1531">
        <v>8.9062363083731687E-3</v>
      </c>
      <c r="P1531">
        <v>1.2338112119425608E-2</v>
      </c>
      <c r="Q1531">
        <v>2.8837756370737322E-3</v>
      </c>
      <c r="R1531">
        <v>7.5084659333952031E-4</v>
      </c>
      <c r="S1531">
        <v>8.3879617857327796E-2</v>
      </c>
      <c r="T1531">
        <v>0.81877094837918152</v>
      </c>
      <c r="U1531">
        <v>1.7023011100079762E-2</v>
      </c>
      <c r="V1531">
        <v>1.041378084558014E-2</v>
      </c>
      <c r="W1531">
        <v>4.1684935407059948E-2</v>
      </c>
      <c r="X1531">
        <v>9.0903310900273624E-3</v>
      </c>
      <c r="Y1531">
        <v>2.0435569105572019E-3</v>
      </c>
    </row>
    <row r="1532" spans="1:25">
      <c r="A1532" s="876"/>
      <c r="B1532" s="1202">
        <v>1282</v>
      </c>
      <c r="C1532" s="880">
        <v>1.0132925340523624</v>
      </c>
      <c r="D1532" s="880">
        <v>1.020229341285076</v>
      </c>
      <c r="E1532" s="880">
        <v>1.0109658273104687</v>
      </c>
      <c r="F1532" s="880">
        <v>0.9931277634064446</v>
      </c>
      <c r="G1532" s="880">
        <v>0.98083161431843957</v>
      </c>
      <c r="H1532" s="880">
        <v>0.99487216431158365</v>
      </c>
      <c r="I1532" s="880">
        <v>0.96451387633249053</v>
      </c>
      <c r="K1532">
        <v>1.0657213923676094</v>
      </c>
      <c r="L1532">
        <v>0</v>
      </c>
      <c r="M1532">
        <v>6.5505014708452068E-4</v>
      </c>
      <c r="N1532">
        <v>6.7529437876822765E-2</v>
      </c>
      <c r="O1532">
        <v>8.5802236699958553E-3</v>
      </c>
      <c r="P1532">
        <v>1.2679175649213018E-2</v>
      </c>
      <c r="Q1532">
        <v>2.9208170932593929E-3</v>
      </c>
      <c r="R1532">
        <v>6.4390986224696699E-4</v>
      </c>
      <c r="S1532">
        <v>8.0381822363607899E-2</v>
      </c>
      <c r="T1532">
        <v>0.81495347313873234</v>
      </c>
      <c r="U1532">
        <v>1.6688792523046961E-2</v>
      </c>
      <c r="V1532">
        <v>1.0411859528557572E-2</v>
      </c>
      <c r="W1532">
        <v>4.0064795729617464E-2</v>
      </c>
      <c r="X1532">
        <v>9.7696246993861559E-3</v>
      </c>
      <c r="Y1532">
        <v>1.7525103802072011E-3</v>
      </c>
    </row>
    <row r="1533" spans="1:25">
      <c r="A1533" s="876"/>
      <c r="B1533" s="1202">
        <v>1283</v>
      </c>
      <c r="C1533" s="880">
        <v>0.97403442758605163</v>
      </c>
      <c r="D1533" s="880">
        <v>1.0197763641741804</v>
      </c>
      <c r="E1533" s="880">
        <v>1.0208110856750963</v>
      </c>
      <c r="F1533" s="880">
        <v>0.9953225442822472</v>
      </c>
      <c r="G1533" s="880">
        <v>1.0132817637924505</v>
      </c>
      <c r="H1533" s="880">
        <v>1.0107630104314635</v>
      </c>
      <c r="I1533" s="880">
        <v>0.99250778799606387</v>
      </c>
      <c r="K1533">
        <v>1.0801269446987314</v>
      </c>
      <c r="L1533">
        <v>0</v>
      </c>
      <c r="M1533">
        <v>6.7825536184058744E-4</v>
      </c>
      <c r="N1533">
        <v>7.2113544537583993E-2</v>
      </c>
      <c r="O1533">
        <v>8.9281566322674515E-3</v>
      </c>
      <c r="P1533">
        <v>1.2856609464668867E-2</v>
      </c>
      <c r="Q1533">
        <v>3.0691182195958485E-3</v>
      </c>
      <c r="R1533">
        <v>6.6690214634597931E-4</v>
      </c>
      <c r="S1533">
        <v>8.6640540362725074E-2</v>
      </c>
      <c r="T1533">
        <v>0.81416393533636122</v>
      </c>
      <c r="U1533">
        <v>1.7361428289410667E-2</v>
      </c>
      <c r="V1533">
        <v>1.0415726299098496E-2</v>
      </c>
      <c r="W1533">
        <v>4.2500418119184438E-2</v>
      </c>
      <c r="X1533">
        <v>1.0273732855208582E-2</v>
      </c>
      <c r="Y1533">
        <v>1.8150877981202972E-3</v>
      </c>
    </row>
    <row r="1534" spans="1:25">
      <c r="A1534" s="876"/>
      <c r="B1534" s="1202">
        <v>1284</v>
      </c>
      <c r="C1534" s="880">
        <v>1.0477167940946499</v>
      </c>
      <c r="D1534" s="880">
        <v>1.0119769356686839</v>
      </c>
      <c r="E1534" s="880">
        <v>0.98415862072196569</v>
      </c>
      <c r="F1534" s="880">
        <v>0.97236879390947251</v>
      </c>
      <c r="G1534" s="880">
        <v>1.0121681880209954</v>
      </c>
      <c r="H1534" s="880">
        <v>1.0075114886668568</v>
      </c>
      <c r="I1534" s="880">
        <v>0.96554343564133804</v>
      </c>
      <c r="K1534">
        <v>1.0604318611200225</v>
      </c>
      <c r="L1534">
        <v>0</v>
      </c>
      <c r="M1534">
        <v>6.8175790524527963E-4</v>
      </c>
      <c r="N1534">
        <v>6.4672643200011565E-2</v>
      </c>
      <c r="O1534">
        <v>8.3342711622165933E-3</v>
      </c>
      <c r="P1534">
        <v>1.2424376936242302E-2</v>
      </c>
      <c r="Q1534">
        <v>2.7598994581440653E-3</v>
      </c>
      <c r="R1534">
        <v>6.7031564044026689E-4</v>
      </c>
      <c r="S1534">
        <v>7.8552436304269321E-2</v>
      </c>
      <c r="T1534">
        <v>0.8171199772435388</v>
      </c>
      <c r="U1534">
        <v>1.6140457957023745E-2</v>
      </c>
      <c r="V1534">
        <v>1.0408707326351746E-2</v>
      </c>
      <c r="W1534">
        <v>3.9081410817141116E-2</v>
      </c>
      <c r="X1534">
        <v>9.1247447761001535E-3</v>
      </c>
      <c r="Y1534">
        <v>1.8243782037869222E-3</v>
      </c>
    </row>
    <row r="1535" spans="1:25">
      <c r="A1535" s="876"/>
      <c r="B1535" s="1202">
        <v>1285</v>
      </c>
      <c r="C1535" s="880">
        <v>0.99382848273575819</v>
      </c>
      <c r="D1535" s="880">
        <v>1.0079923374750905</v>
      </c>
      <c r="E1535" s="880">
        <v>1.0040545313461136</v>
      </c>
      <c r="F1535" s="880">
        <v>0.99624381283305974</v>
      </c>
      <c r="G1535" s="880">
        <v>0.96634630978781899</v>
      </c>
      <c r="H1535" s="880">
        <v>1.0103436990939396</v>
      </c>
      <c r="I1535" s="880">
        <v>1.0180280428521564</v>
      </c>
      <c r="K1535">
        <v>1.0783014438306968</v>
      </c>
      <c r="L1535">
        <v>0</v>
      </c>
      <c r="M1535">
        <v>6.9264783067434941E-4</v>
      </c>
      <c r="N1535">
        <v>6.9906843649159986E-2</v>
      </c>
      <c r="O1535">
        <v>8.8046666862964633E-3</v>
      </c>
      <c r="P1535">
        <v>1.2725089910666241E-2</v>
      </c>
      <c r="Q1535">
        <v>2.9738908922425649E-3</v>
      </c>
      <c r="R1535">
        <v>6.8105872588142865E-4</v>
      </c>
      <c r="S1535">
        <v>8.7588116604759819E-2</v>
      </c>
      <c r="T1535">
        <v>0.81550969423363184</v>
      </c>
      <c r="U1535">
        <v>1.7015641189314357E-2</v>
      </c>
      <c r="V1535">
        <v>1.0413738478291225E-2</v>
      </c>
      <c r="W1535">
        <v>4.1670867261103264E-2</v>
      </c>
      <c r="X1535">
        <v>9.8508666891236624E-3</v>
      </c>
      <c r="Y1535">
        <v>1.8536173409006008E-3</v>
      </c>
    </row>
    <row r="1536" spans="1:25">
      <c r="A1536" s="876"/>
      <c r="B1536" s="1202">
        <v>1286</v>
      </c>
      <c r="C1536" s="880">
        <v>0.99565844294277872</v>
      </c>
      <c r="D1536" s="880">
        <v>1.0176706367029864</v>
      </c>
      <c r="E1536" s="880">
        <v>1.0087624491331544</v>
      </c>
      <c r="F1536" s="880">
        <v>0.99899905300725822</v>
      </c>
      <c r="G1536" s="880">
        <v>0.98727738142411003</v>
      </c>
      <c r="H1536" s="880">
        <v>1.0018896862952129</v>
      </c>
      <c r="I1536" s="880">
        <v>0.98953247097934094</v>
      </c>
      <c r="K1536">
        <v>1.0731554762902167</v>
      </c>
      <c r="L1536">
        <v>0</v>
      </c>
      <c r="M1536">
        <v>6.753813254432821E-4</v>
      </c>
      <c r="N1536">
        <v>6.9158685240763823E-2</v>
      </c>
      <c r="O1536">
        <v>8.7438680577060415E-3</v>
      </c>
      <c r="P1536">
        <v>1.2718565317836432E-2</v>
      </c>
      <c r="Q1536">
        <v>2.9694219287310373E-3</v>
      </c>
      <c r="R1536">
        <v>6.6397781039089681E-4</v>
      </c>
      <c r="S1536">
        <v>8.4279276932976196E-2</v>
      </c>
      <c r="T1536">
        <v>0.81513062453070328</v>
      </c>
      <c r="U1536">
        <v>1.6984367466388494E-2</v>
      </c>
      <c r="V1536">
        <v>1.041355869553722E-2</v>
      </c>
      <c r="W1536">
        <v>4.1092900729639448E-2</v>
      </c>
      <c r="X1536">
        <v>9.8684821853297945E-3</v>
      </c>
      <c r="Y1536">
        <v>1.807128719657651E-3</v>
      </c>
    </row>
    <row r="1537" spans="1:25">
      <c r="A1537" s="876"/>
      <c r="B1537" s="1202">
        <v>1287</v>
      </c>
      <c r="C1537" s="880">
        <v>0.9871783425912477</v>
      </c>
      <c r="D1537" s="880">
        <v>1.00104911068512</v>
      </c>
      <c r="E1537" s="880">
        <v>0.99246266337269806</v>
      </c>
      <c r="F1537" s="880">
        <v>1.0124771989524404</v>
      </c>
      <c r="G1537" s="880">
        <v>1.0003502268225382</v>
      </c>
      <c r="H1537" s="880">
        <v>0.98652522065878578</v>
      </c>
      <c r="I1537" s="880">
        <v>1.0038105202656404</v>
      </c>
      <c r="K1537">
        <v>1.075400566254288</v>
      </c>
      <c r="L1537">
        <v>0</v>
      </c>
      <c r="M1537">
        <v>7.0026538542233905E-4</v>
      </c>
      <c r="N1537">
        <v>6.8144531231535257E-2</v>
      </c>
      <c r="O1537">
        <v>8.8966978165911266E-3</v>
      </c>
      <c r="P1537">
        <v>1.2613111416734131E-2</v>
      </c>
      <c r="Q1537">
        <v>2.9686016638116783E-3</v>
      </c>
      <c r="R1537">
        <v>6.8827202114093099E-4</v>
      </c>
      <c r="S1537">
        <v>8.6381010145080636E-2</v>
      </c>
      <c r="T1537">
        <v>0.81644625322716635</v>
      </c>
      <c r="U1537">
        <v>1.7130267284393243E-2</v>
      </c>
      <c r="V1537">
        <v>1.0414397427502445E-2</v>
      </c>
      <c r="W1537">
        <v>4.0944231341590261E-2</v>
      </c>
      <c r="X1537">
        <v>9.6002085114284038E-3</v>
      </c>
      <c r="Y1537">
        <v>1.8732495527348228E-3</v>
      </c>
    </row>
    <row r="1538" spans="1:25">
      <c r="A1538" s="876"/>
      <c r="B1538" s="1202">
        <v>1288</v>
      </c>
      <c r="C1538" s="880">
        <v>0.96649781121394518</v>
      </c>
      <c r="D1538" s="880">
        <v>0.97475671192267943</v>
      </c>
      <c r="E1538" s="880">
        <v>0.99758158504937644</v>
      </c>
      <c r="F1538" s="880">
        <v>1.0072188150927601</v>
      </c>
      <c r="G1538" s="880">
        <v>0.99066491294539627</v>
      </c>
      <c r="H1538" s="880">
        <v>1.0439992737271726</v>
      </c>
      <c r="I1538" s="880">
        <v>1.0365352253210565</v>
      </c>
      <c r="K1538">
        <v>1.0958760867431463</v>
      </c>
      <c r="L1538">
        <v>0</v>
      </c>
      <c r="M1538">
        <v>7.5950034411319224E-4</v>
      </c>
      <c r="N1538">
        <v>7.517019673707806E-2</v>
      </c>
      <c r="O1538">
        <v>9.2171131897495207E-3</v>
      </c>
      <c r="P1538">
        <v>1.2772408309381682E-2</v>
      </c>
      <c r="Q1538">
        <v>3.0852535779725206E-3</v>
      </c>
      <c r="R1538">
        <v>7.4723270362529195E-4</v>
      </c>
      <c r="S1538">
        <v>9.4556865135412907E-2</v>
      </c>
      <c r="T1538">
        <v>0.81603210989994068</v>
      </c>
      <c r="U1538">
        <v>1.7496810308046343E-2</v>
      </c>
      <c r="V1538">
        <v>1.0416504567557596E-2</v>
      </c>
      <c r="W1538">
        <v>4.5007091702933585E-2</v>
      </c>
      <c r="X1538">
        <v>1.0100279861487088E-2</v>
      </c>
      <c r="Y1538">
        <v>2.0337210940734956E-3</v>
      </c>
    </row>
    <row r="1539" spans="1:25">
      <c r="A1539" s="876"/>
      <c r="B1539" s="1202">
        <v>1289</v>
      </c>
      <c r="C1539" s="880">
        <v>0.98779316119050997</v>
      </c>
      <c r="D1539" s="880">
        <v>1.0189499036982148</v>
      </c>
      <c r="E1539" s="880">
        <v>0.96757765145868124</v>
      </c>
      <c r="F1539" s="880">
        <v>0.97333425446939614</v>
      </c>
      <c r="G1539" s="880">
        <v>0.96120761697537493</v>
      </c>
      <c r="H1539" s="880">
        <v>1.0018887697697645</v>
      </c>
      <c r="I1539" s="880">
        <v>0.98432978592079989</v>
      </c>
      <c r="K1539">
        <v>1.073240910644617</v>
      </c>
      <c r="L1539">
        <v>0</v>
      </c>
      <c r="M1539">
        <v>7.4182356452570392E-4</v>
      </c>
      <c r="N1539">
        <v>6.6819374528371278E-2</v>
      </c>
      <c r="O1539">
        <v>8.8075987052010987E-3</v>
      </c>
      <c r="P1539">
        <v>1.2377765134365898E-2</v>
      </c>
      <c r="Q1539">
        <v>2.8692502172614643E-3</v>
      </c>
      <c r="R1539">
        <v>7.2929704379057908E-4</v>
      </c>
      <c r="S1539">
        <v>8.4450914770618668E-2</v>
      </c>
      <c r="T1539">
        <v>0.81847220748556626</v>
      </c>
      <c r="U1539">
        <v>1.711960512621016E-2</v>
      </c>
      <c r="V1539">
        <v>1.0414336134123136E-2</v>
      </c>
      <c r="W1539">
        <v>4.084729598360512E-2</v>
      </c>
      <c r="X1539">
        <v>9.0901829395355696E-3</v>
      </c>
      <c r="Y1539">
        <v>1.9849061404920839E-3</v>
      </c>
    </row>
    <row r="1540" spans="1:25">
      <c r="A1540" s="876"/>
      <c r="B1540" s="1202">
        <v>1290</v>
      </c>
      <c r="C1540" s="880">
        <v>0.98356501642276262</v>
      </c>
      <c r="D1540" s="880">
        <v>1.0026317892154561</v>
      </c>
      <c r="E1540" s="880">
        <v>0.98353643196397711</v>
      </c>
      <c r="F1540" s="880">
        <v>1.0071644239270108</v>
      </c>
      <c r="G1540" s="880">
        <v>0.98670656144955426</v>
      </c>
      <c r="H1540" s="880">
        <v>1.015016745604606</v>
      </c>
      <c r="I1540" s="880">
        <v>0.99519422017672465</v>
      </c>
      <c r="K1540">
        <v>1.0794441148835849</v>
      </c>
      <c r="L1540">
        <v>0</v>
      </c>
      <c r="M1540">
        <v>7.3621367550513912E-4</v>
      </c>
      <c r="N1540">
        <v>6.9712787159982609E-2</v>
      </c>
      <c r="O1540">
        <v>8.9218636586169131E-3</v>
      </c>
      <c r="P1540">
        <v>1.2546215786999604E-2</v>
      </c>
      <c r="Q1540">
        <v>2.9505784497307103E-3</v>
      </c>
      <c r="R1540">
        <v>7.2395714446677926E-4</v>
      </c>
      <c r="S1540">
        <v>8.6915890588046399E-2</v>
      </c>
      <c r="T1540">
        <v>0.81717055078838297</v>
      </c>
      <c r="U1540">
        <v>1.7193198805968667E-2</v>
      </c>
      <c r="V1540">
        <v>1.0414759200940446E-2</v>
      </c>
      <c r="W1540">
        <v>4.2145291418139899E-2</v>
      </c>
      <c r="X1540">
        <v>9.5148628629839142E-3</v>
      </c>
      <c r="Y1540">
        <v>1.9703726948300387E-3</v>
      </c>
    </row>
    <row r="1541" spans="1:25">
      <c r="A1541" s="876"/>
      <c r="B1541" s="1202">
        <v>1291</v>
      </c>
      <c r="C1541" s="880">
        <v>0.96056782967544085</v>
      </c>
      <c r="D1541" s="880">
        <v>1.0060064583595048</v>
      </c>
      <c r="E1541" s="880">
        <v>1.0102696690850728</v>
      </c>
      <c r="F1541" s="880">
        <v>1.0171035756344298</v>
      </c>
      <c r="G1541" s="880">
        <v>1.0295350864533837</v>
      </c>
      <c r="H1541" s="880">
        <v>0.9945448180557781</v>
      </c>
      <c r="I1541" s="880">
        <v>1.0243462108649839</v>
      </c>
      <c r="K1541">
        <v>1.0850005054497642</v>
      </c>
      <c r="L1541">
        <v>0</v>
      </c>
      <c r="M1541">
        <v>6.9697282145655807E-4</v>
      </c>
      <c r="N1541">
        <v>7.1696802848773722E-2</v>
      </c>
      <c r="O1541">
        <v>9.1191160189332699E-3</v>
      </c>
      <c r="P1541">
        <v>1.2827605776129375E-2</v>
      </c>
      <c r="Q1541">
        <v>3.0988712578145093E-3</v>
      </c>
      <c r="R1541">
        <v>6.8512781411052856E-4</v>
      </c>
      <c r="S1541">
        <v>9.0672468125765154E-2</v>
      </c>
      <c r="T1541">
        <v>0.81500942633498408</v>
      </c>
      <c r="U1541">
        <v>1.7604825337182259E-2</v>
      </c>
      <c r="V1541">
        <v>1.0417125511839055E-2</v>
      </c>
      <c r="W1541">
        <v>4.2557384973723716E-2</v>
      </c>
      <c r="X1541">
        <v>1.0144032214279413E-2</v>
      </c>
      <c r="Y1541">
        <v>1.8646920576856369E-3</v>
      </c>
    </row>
    <row r="1542" spans="1:25">
      <c r="A1542" s="876"/>
      <c r="B1542" s="1202">
        <v>1292</v>
      </c>
      <c r="C1542" s="880">
        <v>0.99960831827139474</v>
      </c>
      <c r="D1542" s="880">
        <v>0.99970938083740724</v>
      </c>
      <c r="E1542" s="880">
        <v>0.98156670644801913</v>
      </c>
      <c r="F1542" s="880">
        <v>0.99581942742302398</v>
      </c>
      <c r="G1542" s="880">
        <v>1.0183777242277805</v>
      </c>
      <c r="H1542" s="880">
        <v>1.0026679199199402</v>
      </c>
      <c r="I1542" s="880">
        <v>0.9739576127752424</v>
      </c>
      <c r="K1542">
        <v>1.0721943111155106</v>
      </c>
      <c r="L1542">
        <v>0</v>
      </c>
      <c r="M1542">
        <v>7.1966757513654083E-4</v>
      </c>
      <c r="N1542">
        <v>6.7715286015032572E-2</v>
      </c>
      <c r="O1542">
        <v>8.7923454507106823E-3</v>
      </c>
      <c r="P1542">
        <v>1.2478406549994778E-2</v>
      </c>
      <c r="Q1542">
        <v>2.9013054540198784E-3</v>
      </c>
      <c r="R1542">
        <v>7.0754154415124187E-4</v>
      </c>
      <c r="S1542">
        <v>8.338753990614145E-2</v>
      </c>
      <c r="T1542">
        <v>0.81733074297191877</v>
      </c>
      <c r="U1542">
        <v>1.6917255045651908E-2</v>
      </c>
      <c r="V1542">
        <v>1.0413172887430662E-2</v>
      </c>
      <c r="W1542">
        <v>4.0993580451527269E-2</v>
      </c>
      <c r="X1542">
        <v>9.3511075718956931E-3</v>
      </c>
      <c r="Y1542">
        <v>1.9256948421723359E-3</v>
      </c>
    </row>
    <row r="1543" spans="1:25">
      <c r="A1543" s="876"/>
      <c r="B1543" s="1202">
        <v>1293</v>
      </c>
      <c r="C1543" s="880">
        <v>1.0087043216489513</v>
      </c>
      <c r="D1543" s="880">
        <v>1.0415314182396127</v>
      </c>
      <c r="E1543" s="880">
        <v>0.98697219326015129</v>
      </c>
      <c r="F1543" s="880">
        <v>0.98561813802451259</v>
      </c>
      <c r="G1543" s="880">
        <v>1.016226696626167</v>
      </c>
      <c r="H1543" s="880">
        <v>1.0205281463293823</v>
      </c>
      <c r="I1543" s="880">
        <v>1.0230252762501353</v>
      </c>
      <c r="K1543">
        <v>1.0726466598670477</v>
      </c>
      <c r="L1543">
        <v>0</v>
      </c>
      <c r="M1543">
        <v>7.0223620501646145E-4</v>
      </c>
      <c r="N1543">
        <v>6.7213804582224868E-2</v>
      </c>
      <c r="O1543">
        <v>8.5250616748129074E-3</v>
      </c>
      <c r="P1543">
        <v>1.2552618896512133E-2</v>
      </c>
      <c r="Q1543">
        <v>2.837164196831791E-3</v>
      </c>
      <c r="R1543">
        <v>6.9057623029575462E-4</v>
      </c>
      <c r="S1543">
        <v>8.5682446810934704E-2</v>
      </c>
      <c r="T1543">
        <v>0.81689144454303464</v>
      </c>
      <c r="U1543">
        <v>1.6764703494387925E-2</v>
      </c>
      <c r="V1543">
        <v>1.0412295916752183E-2</v>
      </c>
      <c r="W1543">
        <v>4.0538112836265537E-2</v>
      </c>
      <c r="X1543">
        <v>9.3611460395391158E-3</v>
      </c>
      <c r="Y1543">
        <v>1.879520850471909E-3</v>
      </c>
    </row>
    <row r="1544" spans="1:25">
      <c r="A1544" s="876"/>
      <c r="B1544" s="1202">
        <v>1294</v>
      </c>
      <c r="C1544" s="880">
        <v>1.0287492292745486</v>
      </c>
      <c r="D1544" s="880">
        <v>1.0131249289764257</v>
      </c>
      <c r="E1544" s="880">
        <v>0.96688522057139992</v>
      </c>
      <c r="F1544" s="880">
        <v>0.98547085176807081</v>
      </c>
      <c r="G1544" s="880">
        <v>0.99548954501842291</v>
      </c>
      <c r="H1544" s="880">
        <v>1.0023901437516609</v>
      </c>
      <c r="I1544" s="880">
        <v>0.97837305023619392</v>
      </c>
      <c r="K1544">
        <v>1.0642594695400693</v>
      </c>
      <c r="L1544">
        <v>0</v>
      </c>
      <c r="M1544">
        <v>7.1585822816807546E-4</v>
      </c>
      <c r="N1544">
        <v>6.4342481061429979E-2</v>
      </c>
      <c r="O1544">
        <v>8.4828101380337358E-3</v>
      </c>
      <c r="P1544">
        <v>1.2314807552588429E-2</v>
      </c>
      <c r="Q1544">
        <v>2.7603117088460722E-3</v>
      </c>
      <c r="R1544">
        <v>7.0378125747360657E-4</v>
      </c>
      <c r="S1544">
        <v>8.0845101029068236E-2</v>
      </c>
      <c r="T1544">
        <v>0.81852887938694285</v>
      </c>
      <c r="U1544">
        <v>1.6438047664810756E-2</v>
      </c>
      <c r="V1544">
        <v>1.0410418075575738E-2</v>
      </c>
      <c r="W1544">
        <v>3.9352221853426891E-2</v>
      </c>
      <c r="X1544">
        <v>8.8810074586278057E-3</v>
      </c>
      <c r="Y1544">
        <v>1.9154605814139822E-3</v>
      </c>
    </row>
    <row r="1545" spans="1:25">
      <c r="A1545" s="876"/>
      <c r="B1545" s="1202">
        <v>1295</v>
      </c>
      <c r="C1545" s="880">
        <v>0.98640854861533467</v>
      </c>
      <c r="D1545" s="880">
        <v>0.99864337703627293</v>
      </c>
      <c r="E1545" s="880">
        <v>1.0433116063215127</v>
      </c>
      <c r="F1545" s="880">
        <v>1.0178999133791842</v>
      </c>
      <c r="G1545" s="880">
        <v>1.0039684336988455</v>
      </c>
      <c r="H1545" s="880">
        <v>1.0006406793000913</v>
      </c>
      <c r="I1545" s="880">
        <v>1.0396756753612997</v>
      </c>
      <c r="K1545">
        <v>1.0828412198849282</v>
      </c>
      <c r="L1545">
        <v>0</v>
      </c>
      <c r="M1545">
        <v>6.3928563299796379E-4</v>
      </c>
      <c r="N1545">
        <v>7.2875992224072109E-2</v>
      </c>
      <c r="O1545">
        <v>8.915072542243236E-3</v>
      </c>
      <c r="P1545">
        <v>1.3089829556595258E-2</v>
      </c>
      <c r="Q1545">
        <v>3.1286043447299201E-3</v>
      </c>
      <c r="R1545">
        <v>6.2849301978031415E-4</v>
      </c>
      <c r="S1545">
        <v>9.0176800098265938E-2</v>
      </c>
      <c r="T1545">
        <v>0.81237192702597516</v>
      </c>
      <c r="U1545">
        <v>1.714363575791248E-2</v>
      </c>
      <c r="V1545">
        <v>1.041447427863372E-2</v>
      </c>
      <c r="W1545">
        <v>4.2307933531112556E-2</v>
      </c>
      <c r="X1545">
        <v>1.071719232143007E-2</v>
      </c>
      <c r="Y1545">
        <v>1.7105508171737262E-3</v>
      </c>
    </row>
    <row r="1546" spans="1:25">
      <c r="A1546" s="876"/>
      <c r="B1546" s="1202">
        <v>1296</v>
      </c>
      <c r="C1546" s="880">
        <v>0.96618083159928159</v>
      </c>
      <c r="D1546" s="880">
        <v>0.99910744463408951</v>
      </c>
      <c r="E1546" s="880">
        <v>0.9810920303526629</v>
      </c>
      <c r="F1546" s="880">
        <v>0.99785800065658969</v>
      </c>
      <c r="G1546" s="880">
        <v>1.0044170295386694</v>
      </c>
      <c r="H1546" s="880">
        <v>1.0007549929933233</v>
      </c>
      <c r="I1546" s="880">
        <v>1.0087927882928525</v>
      </c>
      <c r="K1546">
        <v>1.0830330332707852</v>
      </c>
      <c r="L1546">
        <v>0</v>
      </c>
      <c r="M1546">
        <v>7.4412527838744959E-4</v>
      </c>
      <c r="N1546">
        <v>6.9910868989474115E-2</v>
      </c>
      <c r="O1546">
        <v>9.0994613222888012E-3</v>
      </c>
      <c r="P1546">
        <v>1.2562085414657687E-2</v>
      </c>
      <c r="Q1546">
        <v>3.0010655254775471E-3</v>
      </c>
      <c r="R1546">
        <v>7.3156373685830339E-4</v>
      </c>
      <c r="S1546">
        <v>8.9313592551529847E-2</v>
      </c>
      <c r="T1546">
        <v>0.81736936666878635</v>
      </c>
      <c r="U1546">
        <v>1.7502550571160541E-2</v>
      </c>
      <c r="V1546">
        <v>1.0416537566516936E-2</v>
      </c>
      <c r="W1546">
        <v>4.2336674998717225E-2</v>
      </c>
      <c r="X1546">
        <v>9.5423158718974249E-3</v>
      </c>
      <c r="Y1546">
        <v>1.9910753318072589E-3</v>
      </c>
    </row>
    <row r="1547" spans="1:25">
      <c r="A1547" s="876"/>
      <c r="B1547" s="1202">
        <v>1297</v>
      </c>
      <c r="C1547" s="880">
        <v>1.0153915114054988</v>
      </c>
      <c r="D1547" s="880">
        <v>0.97474868538868931</v>
      </c>
      <c r="E1547" s="880">
        <v>1.0003133890535603</v>
      </c>
      <c r="F1547" s="880">
        <v>0.99863994004791312</v>
      </c>
      <c r="G1547" s="880">
        <v>1.0201537932299249</v>
      </c>
      <c r="H1547" s="880">
        <v>1.01728023450812</v>
      </c>
      <c r="I1547" s="880">
        <v>0.9985049106859869</v>
      </c>
      <c r="K1547">
        <v>1.0762778671931026</v>
      </c>
      <c r="L1547">
        <v>0</v>
      </c>
      <c r="M1547">
        <v>7.0038938041869778E-4</v>
      </c>
      <c r="N1547">
        <v>6.9881350748436016E-2</v>
      </c>
      <c r="O1547">
        <v>8.7733242174011256E-3</v>
      </c>
      <c r="P1547">
        <v>1.2663710787929671E-2</v>
      </c>
      <c r="Q1547">
        <v>2.9447816616868451E-3</v>
      </c>
      <c r="R1547">
        <v>6.8877938783261296E-4</v>
      </c>
      <c r="S1547">
        <v>8.5749529035460015E-2</v>
      </c>
      <c r="T1547">
        <v>0.81581145903395014</v>
      </c>
      <c r="U1547">
        <v>1.6654294108234949E-2</v>
      </c>
      <c r="V1547">
        <v>1.0411661208068574E-2</v>
      </c>
      <c r="W1547">
        <v>4.1762276917451678E-2</v>
      </c>
      <c r="X1547">
        <v>9.7624590294531927E-3</v>
      </c>
      <c r="Y1547">
        <v>1.8746304376161963E-3</v>
      </c>
    </row>
    <row r="1548" spans="1:25">
      <c r="A1548" s="876"/>
      <c r="B1548" s="1202">
        <v>1298</v>
      </c>
      <c r="C1548" s="880">
        <v>0.97468519869382153</v>
      </c>
      <c r="D1548" s="880">
        <v>0.99443857673781633</v>
      </c>
      <c r="E1548" s="880">
        <v>0.97343978315633906</v>
      </c>
      <c r="F1548" s="880">
        <v>0.97960497336190766</v>
      </c>
      <c r="G1548" s="880">
        <v>0.95602594358264648</v>
      </c>
      <c r="H1548" s="880">
        <v>1.0046723029181974</v>
      </c>
      <c r="I1548" s="880">
        <v>1.00247146905956</v>
      </c>
      <c r="K1548">
        <v>1.0812821272889643</v>
      </c>
      <c r="L1548">
        <v>0</v>
      </c>
      <c r="M1548">
        <v>7.5438498462817097E-4</v>
      </c>
      <c r="N1548">
        <v>6.9209645553721999E-2</v>
      </c>
      <c r="O1548">
        <v>9.0426319243769818E-3</v>
      </c>
      <c r="P1548">
        <v>1.2482131994872815E-2</v>
      </c>
      <c r="Q1548">
        <v>2.9581454563438808E-3</v>
      </c>
      <c r="R1548">
        <v>7.417042716803266E-4</v>
      </c>
      <c r="S1548">
        <v>8.8329605942965919E-2</v>
      </c>
      <c r="T1548">
        <v>0.81799307049642178</v>
      </c>
      <c r="U1548">
        <v>1.734983653041448E-2</v>
      </c>
      <c r="V1548">
        <v>1.0415659661737743E-2</v>
      </c>
      <c r="W1548">
        <v>4.2135595231251939E-2</v>
      </c>
      <c r="X1548">
        <v>9.3598106850384059E-3</v>
      </c>
      <c r="Y1548">
        <v>2.0186745247664007E-3</v>
      </c>
    </row>
    <row r="1549" spans="1:25">
      <c r="A1549" s="876"/>
      <c r="B1549" s="1202">
        <v>1299</v>
      </c>
      <c r="C1549" s="880">
        <v>0.99184311333276665</v>
      </c>
      <c r="D1549" s="880">
        <v>0.97794261221038403</v>
      </c>
      <c r="E1549" s="880">
        <v>1.0209197345130629</v>
      </c>
      <c r="F1549" s="880">
        <v>0.99731137503134681</v>
      </c>
      <c r="G1549" s="880">
        <v>0.9846920618270244</v>
      </c>
      <c r="H1549" s="880">
        <v>0.98101365941937546</v>
      </c>
      <c r="I1549" s="880">
        <v>1.023071020167738</v>
      </c>
      <c r="K1549">
        <v>1.0786082028994015</v>
      </c>
      <c r="L1549">
        <v>0</v>
      </c>
      <c r="M1549">
        <v>6.6089104551198007E-4</v>
      </c>
      <c r="N1549">
        <v>7.025855359143944E-2</v>
      </c>
      <c r="O1549">
        <v>8.9659305697661115E-3</v>
      </c>
      <c r="P1549">
        <v>1.2878174763607525E-2</v>
      </c>
      <c r="Q1549">
        <v>3.0728016445459539E-3</v>
      </c>
      <c r="R1549">
        <v>6.4952803999897865E-4</v>
      </c>
      <c r="S1549">
        <v>8.8444767954347123E-2</v>
      </c>
      <c r="T1549">
        <v>0.81415524070093648</v>
      </c>
      <c r="U1549">
        <v>1.7049701347554555E-2</v>
      </c>
      <c r="V1549">
        <v>1.0413934279381643E-2</v>
      </c>
      <c r="W1549">
        <v>4.1404137686349395E-2</v>
      </c>
      <c r="X1549">
        <v>1.0208522158969825E-2</v>
      </c>
      <c r="Y1549">
        <v>1.7678012080163798E-3</v>
      </c>
    </row>
    <row r="1550" spans="1:25">
      <c r="A1550" s="876"/>
      <c r="B1550" s="1202">
        <v>1300</v>
      </c>
      <c r="C1550" s="880">
        <v>1.0331123123615127</v>
      </c>
      <c r="D1550" s="880">
        <v>0.97872432770884887</v>
      </c>
      <c r="E1550" s="880">
        <v>1.0163093831575143</v>
      </c>
      <c r="F1550" s="880">
        <v>0.9815399063924759</v>
      </c>
      <c r="G1550" s="880">
        <v>0.9670491846506406</v>
      </c>
      <c r="H1550" s="880">
        <v>0.97745450840557402</v>
      </c>
      <c r="I1550" s="880">
        <v>0.96553611079752566</v>
      </c>
      <c r="K1550">
        <v>1.0634625553790547</v>
      </c>
      <c r="L1550">
        <v>0</v>
      </c>
      <c r="M1550">
        <v>6.3810245556547378E-4</v>
      </c>
      <c r="N1550">
        <v>6.6866869315745661E-2</v>
      </c>
      <c r="O1550">
        <v>8.604098586493544E-3</v>
      </c>
      <c r="P1550">
        <v>1.271340183202394E-2</v>
      </c>
      <c r="Q1550">
        <v>2.9354768071552821E-3</v>
      </c>
      <c r="R1550">
        <v>6.2709066381597188E-4</v>
      </c>
      <c r="S1550">
        <v>7.9984240937294795E-2</v>
      </c>
      <c r="T1550">
        <v>0.81452453833760308</v>
      </c>
      <c r="U1550">
        <v>1.6368625815036154E-2</v>
      </c>
      <c r="V1550">
        <v>1.041001899129115E-2</v>
      </c>
      <c r="W1550">
        <v>3.9528278941543822E-2</v>
      </c>
      <c r="X1550">
        <v>9.8312835400918841E-3</v>
      </c>
      <c r="Y1550">
        <v>1.7067340665253056E-3</v>
      </c>
    </row>
    <row r="1551" spans="1:25">
      <c r="A1551" s="876"/>
      <c r="B1551" s="1202">
        <v>1301</v>
      </c>
      <c r="C1551" s="880">
        <v>1.0107828493821218</v>
      </c>
      <c r="D1551" s="880">
        <v>0.98621261311492603</v>
      </c>
      <c r="E1551" s="880">
        <v>0.95986627993957319</v>
      </c>
      <c r="F1551" s="880">
        <v>1.0313767849601936</v>
      </c>
      <c r="G1551" s="880">
        <v>0.97782109286874697</v>
      </c>
      <c r="H1551" s="880">
        <v>1.0193873924039802</v>
      </c>
      <c r="I1551" s="880">
        <v>1.0227596285280498</v>
      </c>
      <c r="K1551">
        <v>1.0773013343002253</v>
      </c>
      <c r="L1551">
        <v>0</v>
      </c>
      <c r="M1551">
        <v>7.6275326691697498E-4</v>
      </c>
      <c r="N1551">
        <v>6.7094082362488192E-2</v>
      </c>
      <c r="O1551">
        <v>8.7584420609041549E-3</v>
      </c>
      <c r="P1551">
        <v>1.2351764034978537E-2</v>
      </c>
      <c r="Q1551">
        <v>2.8238695760345084E-3</v>
      </c>
      <c r="R1551">
        <v>7.5012470559077419E-4</v>
      </c>
      <c r="S1551">
        <v>8.7795964016811792E-2</v>
      </c>
      <c r="T1551">
        <v>0.81910425565788425</v>
      </c>
      <c r="U1551">
        <v>1.6730229323033762E-2</v>
      </c>
      <c r="V1551">
        <v>1.0412097735631181E-2</v>
      </c>
      <c r="W1551">
        <v>4.1237824059924134E-2</v>
      </c>
      <c r="X1551">
        <v>8.9638418637842318E-3</v>
      </c>
      <c r="Y1551">
        <v>2.0415921700753462E-3</v>
      </c>
    </row>
    <row r="1552" spans="1:25">
      <c r="A1552" s="876"/>
      <c r="B1552" s="1202">
        <v>1302</v>
      </c>
      <c r="C1552" s="880">
        <v>0.97829704016841845</v>
      </c>
      <c r="D1552" s="880">
        <v>1.0387544112453422</v>
      </c>
      <c r="E1552" s="880">
        <v>1.0036577769638046</v>
      </c>
      <c r="F1552" s="880">
        <v>1.0090201502886569</v>
      </c>
      <c r="G1552" s="880">
        <v>1.0089320077848043</v>
      </c>
      <c r="H1552" s="880">
        <v>0.99430309860409094</v>
      </c>
      <c r="I1552" s="880">
        <v>1.0236677901423905</v>
      </c>
      <c r="K1552">
        <v>1.0766340188882715</v>
      </c>
      <c r="L1552">
        <v>0</v>
      </c>
      <c r="M1552">
        <v>6.8208000855593119E-4</v>
      </c>
      <c r="N1552">
        <v>6.8733893885595018E-2</v>
      </c>
      <c r="O1552">
        <v>8.8025131473181747E-3</v>
      </c>
      <c r="P1552">
        <v>1.2725059138418381E-2</v>
      </c>
      <c r="Q1552">
        <v>2.9785948622566252E-3</v>
      </c>
      <c r="R1552">
        <v>6.7045824027282916E-4</v>
      </c>
      <c r="S1552">
        <v>8.755675461214453E-2</v>
      </c>
      <c r="T1552">
        <v>0.8155416743407703</v>
      </c>
      <c r="U1552">
        <v>1.7285781487227196E-2</v>
      </c>
      <c r="V1552">
        <v>1.0415291429528923E-2</v>
      </c>
      <c r="W1552">
        <v>4.0982776432719026E-2</v>
      </c>
      <c r="X1552">
        <v>9.7985350070522656E-3</v>
      </c>
      <c r="Y1552">
        <v>1.8247663135231343E-3</v>
      </c>
    </row>
    <row r="1553" spans="1:25">
      <c r="A1553" s="876"/>
      <c r="B1553" s="1202">
        <v>1303</v>
      </c>
      <c r="C1553" s="880">
        <v>0.98973575653005685</v>
      </c>
      <c r="D1553" s="880">
        <v>1.0450465267585203</v>
      </c>
      <c r="E1553" s="880">
        <v>1.0117186035270007</v>
      </c>
      <c r="F1553" s="880">
        <v>0.99025028640453305</v>
      </c>
      <c r="G1553" s="880">
        <v>0.99953769434794382</v>
      </c>
      <c r="H1553" s="880">
        <v>1.0374844241264005</v>
      </c>
      <c r="I1553" s="880">
        <v>0.96531884771451348</v>
      </c>
      <c r="K1553">
        <v>1.0749680199022904</v>
      </c>
      <c r="L1553">
        <v>0</v>
      </c>
      <c r="M1553">
        <v>6.8941156385782503E-4</v>
      </c>
      <c r="N1553">
        <v>7.1286839134588845E-2</v>
      </c>
      <c r="O1553">
        <v>8.6729128731172084E-3</v>
      </c>
      <c r="P1553">
        <v>1.2724727649236144E-2</v>
      </c>
      <c r="Q1553">
        <v>2.9598258415134021E-3</v>
      </c>
      <c r="R1553">
        <v>6.7814888138855378E-4</v>
      </c>
      <c r="S1553">
        <v>8.2838846657569812E-2</v>
      </c>
      <c r="T1553">
        <v>0.81489298788014941</v>
      </c>
      <c r="U1553">
        <v>1.7086003768561262E-2</v>
      </c>
      <c r="V1553">
        <v>1.0414142970532381E-2</v>
      </c>
      <c r="W1553">
        <v>4.2272430813173098E-2</v>
      </c>
      <c r="X1553">
        <v>9.984867292897508E-3</v>
      </c>
      <c r="Y1553">
        <v>1.8456977034209748E-3</v>
      </c>
    </row>
    <row r="1554" spans="1:25">
      <c r="A1554" s="876"/>
      <c r="B1554" s="1202">
        <v>1304</v>
      </c>
      <c r="C1554" s="880">
        <v>1.0098790360101637</v>
      </c>
      <c r="D1554" s="880">
        <v>0.99192427984904419</v>
      </c>
      <c r="E1554" s="880">
        <v>1.011222643574019</v>
      </c>
      <c r="F1554" s="880">
        <v>1.0216498099264553</v>
      </c>
      <c r="G1554" s="880">
        <v>0.99425323814545241</v>
      </c>
      <c r="H1554" s="880">
        <v>1.0034090636638768</v>
      </c>
      <c r="I1554" s="880">
        <v>0.98374392417166379</v>
      </c>
      <c r="K1554">
        <v>1.072516330643843</v>
      </c>
      <c r="L1554">
        <v>0</v>
      </c>
      <c r="M1554">
        <v>6.7253138590706149E-4</v>
      </c>
      <c r="N1554">
        <v>6.9399622307372177E-2</v>
      </c>
      <c r="O1554">
        <v>8.7392979746522288E-3</v>
      </c>
      <c r="P1554">
        <v>1.272802350978223E-2</v>
      </c>
      <c r="Q1554">
        <v>2.9695005393069181E-3</v>
      </c>
      <c r="R1554">
        <v>6.6121445582650233E-4</v>
      </c>
      <c r="S1554">
        <v>8.372021530142712E-2</v>
      </c>
      <c r="T1554">
        <v>0.8149328358896355</v>
      </c>
      <c r="U1554">
        <v>1.6745202408362671E-2</v>
      </c>
      <c r="V1554">
        <v>1.0412183811168844E-2</v>
      </c>
      <c r="W1554">
        <v>4.1167185567472515E-2</v>
      </c>
      <c r="X1554">
        <v>9.9139724852701974E-3</v>
      </c>
      <c r="Y1554">
        <v>1.799607779472957E-3</v>
      </c>
    </row>
    <row r="1555" spans="1:25">
      <c r="A1555" s="876"/>
      <c r="B1555" s="1202">
        <v>1305</v>
      </c>
      <c r="C1555" s="880">
        <v>1.0178260179343606</v>
      </c>
      <c r="D1555" s="880">
        <v>1.0048091953325429</v>
      </c>
      <c r="E1555" s="880">
        <v>0.99760139161694972</v>
      </c>
      <c r="F1555" s="880">
        <v>1.0155359049628352</v>
      </c>
      <c r="G1555" s="880">
        <v>0.98981216377829473</v>
      </c>
      <c r="H1555" s="880">
        <v>1.0261619059772442</v>
      </c>
      <c r="I1555" s="880">
        <v>1.0159047184453336</v>
      </c>
      <c r="K1555">
        <v>1.0750704122987573</v>
      </c>
      <c r="L1555">
        <v>0</v>
      </c>
      <c r="M1555">
        <v>6.9747752584034962E-4</v>
      </c>
      <c r="N1555">
        <v>6.9013566371745091E-2</v>
      </c>
      <c r="O1555">
        <v>8.6115807358571328E-3</v>
      </c>
      <c r="P1555">
        <v>1.2644486666289782E-2</v>
      </c>
      <c r="Q1555">
        <v>2.8891952000926818E-3</v>
      </c>
      <c r="R1555">
        <v>6.8599016418739516E-4</v>
      </c>
      <c r="S1555">
        <v>8.604222113414238E-2</v>
      </c>
      <c r="T1555">
        <v>0.81603050918903175</v>
      </c>
      <c r="U1555">
        <v>1.6614459217963229E-2</v>
      </c>
      <c r="V1555">
        <v>1.0411432209867896E-2</v>
      </c>
      <c r="W1555">
        <v>4.1320335443629355E-2</v>
      </c>
      <c r="X1555">
        <v>9.6370744014708347E-3</v>
      </c>
      <c r="Y1555">
        <v>1.8670390903212407E-3</v>
      </c>
    </row>
    <row r="1556" spans="1:25">
      <c r="A1556" s="876"/>
      <c r="B1556" s="1202">
        <v>1306</v>
      </c>
      <c r="C1556" s="880">
        <v>0.96753099479775673</v>
      </c>
      <c r="D1556" s="880">
        <v>0.98548390283813869</v>
      </c>
      <c r="E1556" s="880">
        <v>0.97168739251642999</v>
      </c>
      <c r="F1556" s="880">
        <v>0.99685322504500751</v>
      </c>
      <c r="G1556" s="880">
        <v>1.0029753844870768</v>
      </c>
      <c r="H1556" s="880">
        <v>0.99880277310049348</v>
      </c>
      <c r="I1556" s="880">
        <v>1.0069036231672284</v>
      </c>
      <c r="K1556">
        <v>1.0835130687043231</v>
      </c>
      <c r="L1556">
        <v>0</v>
      </c>
      <c r="M1556">
        <v>7.6196597283254746E-4</v>
      </c>
      <c r="N1556">
        <v>6.9518111926832687E-2</v>
      </c>
      <c r="O1556">
        <v>9.1535858813752979E-3</v>
      </c>
      <c r="P1556">
        <v>1.2485469170428991E-2</v>
      </c>
      <c r="Q1556">
        <v>2.9870637312353512E-3</v>
      </c>
      <c r="R1556">
        <v>7.4909115243929102E-4</v>
      </c>
      <c r="S1556">
        <v>8.9560177088934032E-2</v>
      </c>
      <c r="T1556">
        <v>0.81813617928485993</v>
      </c>
      <c r="U1556">
        <v>1.7478126237689361E-2</v>
      </c>
      <c r="V1556">
        <v>1.041639715873924E-2</v>
      </c>
      <c r="W1556">
        <v>4.2375158114754244E-2</v>
      </c>
      <c r="X1556">
        <v>9.3768957507595931E-3</v>
      </c>
      <c r="Y1556">
        <v>2.038779179107714E-3</v>
      </c>
    </row>
    <row r="1557" spans="1:25">
      <c r="A1557" s="876"/>
      <c r="B1557" s="1202">
        <v>1307</v>
      </c>
      <c r="C1557" s="880">
        <v>0.99175728853051393</v>
      </c>
      <c r="D1557" s="880">
        <v>0.99199177240488634</v>
      </c>
      <c r="E1557" s="880">
        <v>0.99347483921569379</v>
      </c>
      <c r="F1557" s="880">
        <v>0.99519139294015591</v>
      </c>
      <c r="G1557" s="880">
        <v>0.97401676470287957</v>
      </c>
      <c r="H1557" s="880">
        <v>0.9927232246236869</v>
      </c>
      <c r="I1557" s="880">
        <v>0.98803233191274753</v>
      </c>
      <c r="K1557">
        <v>1.0749354556115518</v>
      </c>
      <c r="L1557">
        <v>0</v>
      </c>
      <c r="M1557">
        <v>7.0331331088947921E-4</v>
      </c>
      <c r="N1557">
        <v>6.8665369066986295E-2</v>
      </c>
      <c r="O1557">
        <v>8.8986624564939675E-3</v>
      </c>
      <c r="P1557">
        <v>1.260497277316287E-2</v>
      </c>
      <c r="Q1557">
        <v>2.9702713846538834E-3</v>
      </c>
      <c r="R1557">
        <v>6.9135094925520165E-4</v>
      </c>
      <c r="S1557">
        <v>8.5236443362390987E-2</v>
      </c>
      <c r="T1557">
        <v>0.81636429319900417</v>
      </c>
      <c r="U1557">
        <v>1.7051176796501165E-2</v>
      </c>
      <c r="V1557">
        <v>1.0413942761271578E-2</v>
      </c>
      <c r="W1557">
        <v>4.1228469271699632E-2</v>
      </c>
      <c r="X1557">
        <v>9.6321875209258011E-3</v>
      </c>
      <c r="Y1557">
        <v>1.8816293800934876E-3</v>
      </c>
    </row>
    <row r="1558" spans="1:25">
      <c r="A1558" s="876"/>
      <c r="B1558" s="1202">
        <v>1308</v>
      </c>
      <c r="C1558" s="880">
        <v>0.98490418675762537</v>
      </c>
      <c r="D1558" s="880">
        <v>0.99188065484820309</v>
      </c>
      <c r="E1558" s="880">
        <v>0.98526735760437634</v>
      </c>
      <c r="F1558" s="880">
        <v>0.97888652743355509</v>
      </c>
      <c r="G1558" s="880">
        <v>1.0233172247981062</v>
      </c>
      <c r="H1558" s="880">
        <v>0.99595376041113315</v>
      </c>
      <c r="I1558" s="880">
        <v>0.97794157484587185</v>
      </c>
      <c r="K1558">
        <v>1.075933185288487</v>
      </c>
      <c r="L1558">
        <v>0</v>
      </c>
      <c r="M1558">
        <v>7.2292165088865543E-4</v>
      </c>
      <c r="N1558">
        <v>6.8802846710311547E-2</v>
      </c>
      <c r="O1558">
        <v>8.9611163091578069E-3</v>
      </c>
      <c r="P1558">
        <v>1.2535584296675509E-2</v>
      </c>
      <c r="Q1558">
        <v>2.9663730444638111E-3</v>
      </c>
      <c r="R1558">
        <v>7.1066576400740007E-4</v>
      </c>
      <c r="S1558">
        <v>8.5072886272636025E-2</v>
      </c>
      <c r="T1558">
        <v>0.81702988796747222</v>
      </c>
      <c r="U1558">
        <v>1.7169821281421679E-2</v>
      </c>
      <c r="V1558">
        <v>1.0414624810936586E-2</v>
      </c>
      <c r="W1558">
        <v>4.1545406406412355E-2</v>
      </c>
      <c r="X1558">
        <v>9.5126961371577706E-3</v>
      </c>
      <c r="Y1558">
        <v>1.9341979387219991E-3</v>
      </c>
    </row>
    <row r="1559" spans="1:25">
      <c r="A1559" s="876"/>
      <c r="B1559" s="1202">
        <v>1309</v>
      </c>
      <c r="C1559" s="880">
        <v>1.0369716878572355</v>
      </c>
      <c r="D1559" s="880">
        <v>0.96617564295203806</v>
      </c>
      <c r="E1559" s="880">
        <v>1.01196350962379</v>
      </c>
      <c r="F1559" s="880">
        <v>0.98213300037356865</v>
      </c>
      <c r="G1559" s="880">
        <v>0.98667407525122675</v>
      </c>
      <c r="H1559" s="880">
        <v>0.97935761993893444</v>
      </c>
      <c r="I1559" s="880">
        <v>0.98964860799441801</v>
      </c>
      <c r="K1559">
        <v>1.0662277117026777</v>
      </c>
      <c r="L1559">
        <v>0</v>
      </c>
      <c r="M1559">
        <v>6.4727461328829307E-4</v>
      </c>
      <c r="N1559">
        <v>6.6921478822227015E-2</v>
      </c>
      <c r="O1559">
        <v>8.6314269547872868E-3</v>
      </c>
      <c r="P1559">
        <v>1.2708159543299435E-2</v>
      </c>
      <c r="Q1559">
        <v>2.9292052059992513E-3</v>
      </c>
      <c r="R1559">
        <v>6.3613692990413756E-4</v>
      </c>
      <c r="S1559">
        <v>8.2270761231217196E-2</v>
      </c>
      <c r="T1559">
        <v>0.81487331393579254</v>
      </c>
      <c r="U1559">
        <v>1.6307705469660379E-2</v>
      </c>
      <c r="V1559">
        <v>1.0409668779469829E-2</v>
      </c>
      <c r="W1559">
        <v>3.9677218065569855E-2</v>
      </c>
      <c r="X1559">
        <v>9.7785563573210207E-3</v>
      </c>
      <c r="Y1559">
        <v>1.7313550207164782E-3</v>
      </c>
    </row>
    <row r="1560" spans="1:25">
      <c r="A1560" s="876"/>
      <c r="B1560" s="1202">
        <v>1310</v>
      </c>
      <c r="C1560" s="880">
        <v>1.0132260014886569</v>
      </c>
      <c r="D1560" s="880">
        <v>0.99482199359818302</v>
      </c>
      <c r="E1560" s="880">
        <v>0.99273484070047502</v>
      </c>
      <c r="F1560" s="880">
        <v>0.96357620868031579</v>
      </c>
      <c r="G1560" s="880">
        <v>0.98661276074616344</v>
      </c>
      <c r="H1560" s="880">
        <v>0.97555975293928143</v>
      </c>
      <c r="I1560" s="880">
        <v>0.9963793479420362</v>
      </c>
      <c r="K1560">
        <v>1.0677981263377498</v>
      </c>
      <c r="L1560">
        <v>0</v>
      </c>
      <c r="M1560">
        <v>6.7653615404510148E-4</v>
      </c>
      <c r="N1560">
        <v>6.5878810456057521E-2</v>
      </c>
      <c r="O1560">
        <v>8.6968819613308743E-3</v>
      </c>
      <c r="P1560">
        <v>1.2569063169333221E-2</v>
      </c>
      <c r="Q1560">
        <v>2.9013717302255682E-3</v>
      </c>
      <c r="R1560">
        <v>6.6482433044318286E-4</v>
      </c>
      <c r="S1560">
        <v>8.3410731301692159E-2</v>
      </c>
      <c r="T1560">
        <v>0.81642421049608127</v>
      </c>
      <c r="U1560">
        <v>1.6689888377426996E-2</v>
      </c>
      <c r="V1560">
        <v>1.0411865828278223E-2</v>
      </c>
      <c r="W1560">
        <v>3.9575477398984843E-2</v>
      </c>
      <c r="X1560">
        <v>9.442104773756739E-3</v>
      </c>
      <c r="Y1560">
        <v>1.8094326681847134E-3</v>
      </c>
    </row>
    <row r="1561" spans="1:25">
      <c r="A1561" s="876"/>
      <c r="B1561" s="1202">
        <v>1311</v>
      </c>
      <c r="C1561" s="880">
        <v>0.98534967871991164</v>
      </c>
      <c r="D1561" s="880">
        <v>0.98199389491544664</v>
      </c>
      <c r="E1561" s="880">
        <v>0.98497132082888261</v>
      </c>
      <c r="F1561" s="880">
        <v>1.008294610042646</v>
      </c>
      <c r="G1561" s="880">
        <v>0.99512169990508215</v>
      </c>
      <c r="H1561" s="880">
        <v>1.0065358685340837</v>
      </c>
      <c r="I1561" s="880">
        <v>1.0303065047824551</v>
      </c>
      <c r="K1561">
        <v>1.083256346198525</v>
      </c>
      <c r="L1561">
        <v>0</v>
      </c>
      <c r="M1561">
        <v>7.346364804531085E-4</v>
      </c>
      <c r="N1561">
        <v>6.986689659534312E-2</v>
      </c>
      <c r="O1561">
        <v>9.0051030046959055E-3</v>
      </c>
      <c r="P1561">
        <v>1.260536824678265E-2</v>
      </c>
      <c r="Q1561">
        <v>2.9777979651348079E-3</v>
      </c>
      <c r="R1561">
        <v>7.2232204137089723E-4</v>
      </c>
      <c r="S1561">
        <v>9.0435924411399804E-2</v>
      </c>
      <c r="T1561">
        <v>0.81705393805703075</v>
      </c>
      <c r="U1561">
        <v>1.7162058537352289E-2</v>
      </c>
      <c r="V1561">
        <v>1.0414580185373125E-2</v>
      </c>
      <c r="W1561">
        <v>4.2196550414916739E-2</v>
      </c>
      <c r="X1561">
        <v>9.5845207363618803E-3</v>
      </c>
      <c r="Y1561">
        <v>1.9659224832146386E-3</v>
      </c>
    </row>
    <row r="1562" spans="1:25">
      <c r="A1562" s="876"/>
      <c r="B1562" s="1202">
        <v>1312</v>
      </c>
      <c r="C1562" s="880">
        <v>1.0139566088535652</v>
      </c>
      <c r="D1562" s="880">
        <v>1.0129858531904534</v>
      </c>
      <c r="E1562" s="880">
        <v>0.99578002915476527</v>
      </c>
      <c r="F1562" s="880">
        <v>0.97352616296339323</v>
      </c>
      <c r="G1562" s="880">
        <v>0.99557603063969036</v>
      </c>
      <c r="H1562" s="880">
        <v>1.0119313704315738</v>
      </c>
      <c r="I1562" s="880">
        <v>1.0065160468791798</v>
      </c>
      <c r="K1562">
        <v>1.0720608619851879</v>
      </c>
      <c r="L1562">
        <v>0</v>
      </c>
      <c r="M1562">
        <v>6.9010241450347403E-4</v>
      </c>
      <c r="N1562">
        <v>6.7881217761304749E-2</v>
      </c>
      <c r="O1562">
        <v>8.6071952388339368E-3</v>
      </c>
      <c r="P1562">
        <v>1.2612210425298909E-2</v>
      </c>
      <c r="Q1562">
        <v>2.884170879295201E-3</v>
      </c>
      <c r="R1562">
        <v>6.785698494500104E-4</v>
      </c>
      <c r="S1562">
        <v>8.4726078261750243E-2</v>
      </c>
      <c r="T1562">
        <v>0.8161777622760229</v>
      </c>
      <c r="U1562">
        <v>1.6677862463042158E-2</v>
      </c>
      <c r="V1562">
        <v>1.0411796695095336E-2</v>
      </c>
      <c r="W1562">
        <v>4.0693166474634723E-2</v>
      </c>
      <c r="X1562">
        <v>9.5540906352503865E-3</v>
      </c>
      <c r="Y1562">
        <v>1.846843439712175E-3</v>
      </c>
    </row>
    <row r="1563" spans="1:25">
      <c r="A1563" s="876"/>
      <c r="B1563" s="1202">
        <v>1313</v>
      </c>
      <c r="C1563" s="880">
        <v>1.0224379624628024</v>
      </c>
      <c r="D1563" s="880">
        <v>1.0004993079818358</v>
      </c>
      <c r="E1563" s="880">
        <v>1.0195983455706326</v>
      </c>
      <c r="F1563" s="880">
        <v>0.99160595297706378</v>
      </c>
      <c r="G1563" s="880">
        <v>0.99419745516513403</v>
      </c>
      <c r="H1563" s="880">
        <v>1.0004985442653473</v>
      </c>
      <c r="I1563" s="880">
        <v>1.0179136215998235</v>
      </c>
      <c r="K1563">
        <v>1.0714323705473956</v>
      </c>
      <c r="L1563">
        <v>0</v>
      </c>
      <c r="M1563">
        <v>6.4776195774598241E-4</v>
      </c>
      <c r="N1563">
        <v>6.8602109895131907E-2</v>
      </c>
      <c r="O1563">
        <v>8.5924045439960128E-3</v>
      </c>
      <c r="P1563">
        <v>1.281366332627819E-2</v>
      </c>
      <c r="Q1563">
        <v>2.9459585191913781E-3</v>
      </c>
      <c r="R1563">
        <v>6.3682319954862221E-4</v>
      </c>
      <c r="S1563">
        <v>8.5094251066202498E-2</v>
      </c>
      <c r="T1563">
        <v>0.81426101231769232</v>
      </c>
      <c r="U1563">
        <v>1.6539515830592599E-2</v>
      </c>
      <c r="V1563">
        <v>1.0411001384007884E-2</v>
      </c>
      <c r="W1563">
        <v>4.0464034181804345E-2</v>
      </c>
      <c r="X1563">
        <v>9.9861354202359139E-3</v>
      </c>
      <c r="Y1563">
        <v>1.733222820460038E-3</v>
      </c>
    </row>
    <row r="1564" spans="1:25">
      <c r="A1564" s="876"/>
      <c r="B1564" s="1202">
        <v>1314</v>
      </c>
      <c r="C1564" s="880">
        <v>1.0237257826825266</v>
      </c>
      <c r="D1564" s="880">
        <v>0.98115162915964216</v>
      </c>
      <c r="E1564" s="880">
        <v>0.97059767992488999</v>
      </c>
      <c r="F1564" s="880">
        <v>0.98592409010977267</v>
      </c>
      <c r="G1564" s="880">
        <v>1.0403366042777864</v>
      </c>
      <c r="H1564" s="880">
        <v>1.0185137786843266</v>
      </c>
      <c r="I1564" s="880">
        <v>1.0080506679778358</v>
      </c>
      <c r="K1564">
        <v>1.0738054629405656</v>
      </c>
      <c r="L1564">
        <v>0</v>
      </c>
      <c r="M1564">
        <v>7.3776096057302017E-4</v>
      </c>
      <c r="N1564">
        <v>6.7104148512174999E-2</v>
      </c>
      <c r="O1564">
        <v>8.6715054777306705E-3</v>
      </c>
      <c r="P1564">
        <v>1.2410862168039669E-2</v>
      </c>
      <c r="Q1564">
        <v>2.8256630942564373E-3</v>
      </c>
      <c r="R1564">
        <v>7.255403592423429E-4</v>
      </c>
      <c r="S1564">
        <v>8.5627979240251187E-2</v>
      </c>
      <c r="T1564">
        <v>0.81822522283296351</v>
      </c>
      <c r="U1564">
        <v>1.6518709552904399E-2</v>
      </c>
      <c r="V1564">
        <v>1.0410881775289997E-2</v>
      </c>
      <c r="W1564">
        <v>4.0934847063315627E-2</v>
      </c>
      <c r="X1564">
        <v>9.1131821414264253E-3</v>
      </c>
      <c r="Y1564">
        <v>1.9746816835425124E-3</v>
      </c>
    </row>
    <row r="1565" spans="1:25">
      <c r="A1565" s="876"/>
      <c r="B1565" s="1202">
        <v>1315</v>
      </c>
      <c r="C1565" s="880">
        <v>1.0216018363615025</v>
      </c>
      <c r="D1565" s="880">
        <v>0.99008402586207789</v>
      </c>
      <c r="E1565" s="880">
        <v>1.0125595835176835</v>
      </c>
      <c r="F1565" s="880">
        <v>1.0059035437150152</v>
      </c>
      <c r="G1565" s="880">
        <v>0.98097573234089808</v>
      </c>
      <c r="H1565" s="880">
        <v>0.98946442078168273</v>
      </c>
      <c r="I1565" s="880">
        <v>1.036610485190508</v>
      </c>
      <c r="K1565">
        <v>1.0724989005732848</v>
      </c>
      <c r="L1565">
        <v>0</v>
      </c>
      <c r="M1565">
        <v>6.5437520285440245E-4</v>
      </c>
      <c r="N1565">
        <v>6.7791063704594645E-2</v>
      </c>
      <c r="O1565">
        <v>8.6475816796491717E-3</v>
      </c>
      <c r="P1565">
        <v>1.2778603292682903E-2</v>
      </c>
      <c r="Q1565">
        <v>2.9418523601837158E-3</v>
      </c>
      <c r="R1565">
        <v>6.4321013680789245E-4</v>
      </c>
      <c r="S1565">
        <v>8.6779241113801711E-2</v>
      </c>
      <c r="T1565">
        <v>0.81482543830250975</v>
      </c>
      <c r="U1565">
        <v>1.6553052533833181E-2</v>
      </c>
      <c r="V1565">
        <v>1.0411079202238712E-2</v>
      </c>
      <c r="W1565">
        <v>4.0176537941378931E-2</v>
      </c>
      <c r="X1565">
        <v>9.8550095502304563E-3</v>
      </c>
      <c r="Y1565">
        <v>1.7506059582264701E-3</v>
      </c>
    </row>
    <row r="1566" spans="1:25">
      <c r="A1566" s="876"/>
      <c r="B1566" s="1202">
        <v>1316</v>
      </c>
      <c r="C1566" s="880">
        <v>1.0165213375975102</v>
      </c>
      <c r="D1566" s="880">
        <v>1.0150337188372276</v>
      </c>
      <c r="E1566" s="880">
        <v>1.0194234535899065</v>
      </c>
      <c r="F1566" s="880">
        <v>1.0041681848379145</v>
      </c>
      <c r="G1566" s="880">
        <v>0.99316212886135169</v>
      </c>
      <c r="H1566" s="880">
        <v>0.96965926502172584</v>
      </c>
      <c r="I1566" s="880">
        <v>1.0243521022688897</v>
      </c>
      <c r="K1566">
        <v>1.0670339771872852</v>
      </c>
      <c r="L1566">
        <v>0</v>
      </c>
      <c r="M1566">
        <v>6.2685796575450586E-4</v>
      </c>
      <c r="N1566">
        <v>6.6314693406266667E-2</v>
      </c>
      <c r="O1566">
        <v>8.5762497889696546E-3</v>
      </c>
      <c r="P1566">
        <v>1.280411433232637E-2</v>
      </c>
      <c r="Q1566">
        <v>2.9430665430027407E-3</v>
      </c>
      <c r="R1566">
        <v>6.1592400681195173E-4</v>
      </c>
      <c r="S1566">
        <v>8.4412530450322681E-2</v>
      </c>
      <c r="T1566">
        <v>0.81427501614460562</v>
      </c>
      <c r="U1566">
        <v>1.6635783471028436E-2</v>
      </c>
      <c r="V1566">
        <v>1.0411554796262625E-2</v>
      </c>
      <c r="W1566">
        <v>3.9119450163546392E-2</v>
      </c>
      <c r="X1566">
        <v>9.8761099426482434E-3</v>
      </c>
      <c r="Y1566">
        <v>1.6763421072478551E-3</v>
      </c>
    </row>
    <row r="1567" spans="1:25">
      <c r="A1567" s="876"/>
      <c r="B1567" s="1202">
        <v>1317</v>
      </c>
      <c r="C1567" s="880">
        <v>0.97983041898028667</v>
      </c>
      <c r="D1567" s="880">
        <v>1.0042745471487984</v>
      </c>
      <c r="E1567" s="880">
        <v>0.99049270873565587</v>
      </c>
      <c r="F1567" s="880">
        <v>0.98669061996996554</v>
      </c>
      <c r="G1567" s="880">
        <v>1.0113677971192028</v>
      </c>
      <c r="H1567" s="880">
        <v>1.0010350268169115</v>
      </c>
      <c r="I1567" s="880">
        <v>1.0037358016303801</v>
      </c>
      <c r="K1567">
        <v>1.0789739828988822</v>
      </c>
      <c r="L1567">
        <v>0</v>
      </c>
      <c r="M1567">
        <v>7.1763679765321443E-4</v>
      </c>
      <c r="N1567">
        <v>6.9425274443625604E-2</v>
      </c>
      <c r="O1567">
        <v>8.9480564767673108E-3</v>
      </c>
      <c r="P1567">
        <v>1.2612326357677896E-2</v>
      </c>
      <c r="Q1567">
        <v>2.9805196493095576E-3</v>
      </c>
      <c r="R1567">
        <v>7.055212109361188E-4</v>
      </c>
      <c r="S1567">
        <v>8.7413323486643865E-2</v>
      </c>
      <c r="T1567">
        <v>0.81660586817752234</v>
      </c>
      <c r="U1567">
        <v>1.7258730223492485E-2</v>
      </c>
      <c r="V1567">
        <v>1.0415135920358967E-2</v>
      </c>
      <c r="W1567">
        <v>4.1770359510408972E-2</v>
      </c>
      <c r="X1567">
        <v>9.6363080786283587E-3</v>
      </c>
      <c r="Y1567">
        <v>1.9201961611634364E-3</v>
      </c>
    </row>
    <row r="1568" spans="1:25">
      <c r="A1568" s="876"/>
      <c r="B1568" s="1202">
        <v>1318</v>
      </c>
      <c r="C1568" s="880">
        <v>0.95600157498878857</v>
      </c>
      <c r="D1568" s="880">
        <v>1.0165905389191172</v>
      </c>
      <c r="E1568" s="880">
        <v>0.98267266888347482</v>
      </c>
      <c r="F1568" s="880">
        <v>1.0380026320344398</v>
      </c>
      <c r="G1568" s="880">
        <v>1.014984093082957</v>
      </c>
      <c r="H1568" s="880">
        <v>0.96825659115545792</v>
      </c>
      <c r="I1568" s="880">
        <v>1.0139680566345888</v>
      </c>
      <c r="K1568">
        <v>1.07898837090651</v>
      </c>
      <c r="L1568">
        <v>0</v>
      </c>
      <c r="M1568">
        <v>7.1855813827005144E-4</v>
      </c>
      <c r="N1568">
        <v>6.7801441249798533E-2</v>
      </c>
      <c r="O1568">
        <v>9.1117312870183202E-3</v>
      </c>
      <c r="P1568">
        <v>1.2570047729870958E-2</v>
      </c>
      <c r="Q1568">
        <v>3.0138282846446677E-3</v>
      </c>
      <c r="R1568">
        <v>7.0600514102455033E-4</v>
      </c>
      <c r="S1568">
        <v>8.8726048572412328E-2</v>
      </c>
      <c r="T1568">
        <v>0.81724078201722294</v>
      </c>
      <c r="U1568">
        <v>1.7688913186310086E-2</v>
      </c>
      <c r="V1568">
        <v>1.0417608906321077E-2</v>
      </c>
      <c r="W1568">
        <v>4.1014296933238721E-2</v>
      </c>
      <c r="X1568">
        <v>9.494712477579605E-3</v>
      </c>
      <c r="Y1568">
        <v>1.9215132593366356E-3</v>
      </c>
    </row>
    <row r="1569" spans="1:25">
      <c r="A1569" s="876"/>
      <c r="B1569" s="1202">
        <v>1319</v>
      </c>
      <c r="C1569" s="880">
        <v>0.99234256951772681</v>
      </c>
      <c r="D1569" s="880">
        <v>0.96816532277945666</v>
      </c>
      <c r="E1569" s="880">
        <v>1.0082717535142522</v>
      </c>
      <c r="F1569" s="880">
        <v>1.0474989204397545</v>
      </c>
      <c r="G1569" s="880">
        <v>0.97136046272311716</v>
      </c>
      <c r="H1569" s="880">
        <v>0.98396922048701496</v>
      </c>
      <c r="I1569" s="880">
        <v>1.0015223607364125</v>
      </c>
      <c r="K1569">
        <v>1.0778111984868806</v>
      </c>
      <c r="L1569">
        <v>0</v>
      </c>
      <c r="M1569">
        <v>6.8413048950080472E-4</v>
      </c>
      <c r="N1569">
        <v>6.993040428488706E-2</v>
      </c>
      <c r="O1569">
        <v>9.0096913326510146E-3</v>
      </c>
      <c r="P1569">
        <v>1.2753754889872291E-2</v>
      </c>
      <c r="Q1569">
        <v>3.0467876270302814E-3</v>
      </c>
      <c r="R1569">
        <v>6.7241200117573925E-4</v>
      </c>
      <c r="S1569">
        <v>8.7082146940251501E-2</v>
      </c>
      <c r="T1569">
        <v>0.81517009890722969</v>
      </c>
      <c r="U1569">
        <v>1.704112005813764E-2</v>
      </c>
      <c r="V1569">
        <v>1.0413884948259539E-2</v>
      </c>
      <c r="W1569">
        <v>4.1565313661316293E-2</v>
      </c>
      <c r="X1569">
        <v>9.9796305189263357E-3</v>
      </c>
      <c r="Y1569">
        <v>1.8300838066437474E-3</v>
      </c>
    </row>
    <row r="1570" spans="1:25">
      <c r="A1570" s="876"/>
      <c r="B1570" s="1202">
        <v>1320</v>
      </c>
      <c r="C1570" s="880">
        <v>0.97768459205139691</v>
      </c>
      <c r="D1570" s="880">
        <v>1.0299353430131106</v>
      </c>
      <c r="E1570" s="880">
        <v>1.0151272998208383</v>
      </c>
      <c r="F1570" s="880">
        <v>1.0063721894806139</v>
      </c>
      <c r="G1570" s="880">
        <v>0.98394587194767968</v>
      </c>
      <c r="H1570" s="880">
        <v>1.0013105369709701</v>
      </c>
      <c r="I1570" s="880">
        <v>1.0172907471706256</v>
      </c>
      <c r="K1570">
        <v>1.0786227302859179</v>
      </c>
      <c r="L1570">
        <v>0</v>
      </c>
      <c r="M1570">
        <v>6.7393168744051403E-4</v>
      </c>
      <c r="N1570">
        <v>7.0387401679688225E-2</v>
      </c>
      <c r="O1570">
        <v>8.8480377456216491E-3</v>
      </c>
      <c r="P1570">
        <v>1.2822900366894268E-2</v>
      </c>
      <c r="Q1570">
        <v>3.0266360366341311E-3</v>
      </c>
      <c r="R1570">
        <v>6.6253614938987517E-4</v>
      </c>
      <c r="S1570">
        <v>8.7691532837579592E-2</v>
      </c>
      <c r="T1570">
        <v>0.81461934206416364</v>
      </c>
      <c r="U1570">
        <v>1.7296609769077129E-2</v>
      </c>
      <c r="V1570">
        <v>1.0415353677900713E-2</v>
      </c>
      <c r="W1570">
        <v>4.1642739636078577E-2</v>
      </c>
      <c r="X1570">
        <v>1.0080367016673383E-2</v>
      </c>
      <c r="Y1570">
        <v>1.8032049936562915E-3</v>
      </c>
    </row>
    <row r="1571" spans="1:25">
      <c r="A1571" s="876"/>
      <c r="B1571" s="1202">
        <v>1321</v>
      </c>
      <c r="C1571" s="880">
        <v>1.0000984012852774</v>
      </c>
      <c r="D1571" s="880">
        <v>1.0019225986290372</v>
      </c>
      <c r="E1571" s="880">
        <v>0.99615800881499583</v>
      </c>
      <c r="F1571" s="880">
        <v>1.0118369196017045</v>
      </c>
      <c r="G1571" s="880">
        <v>0.95719929015078087</v>
      </c>
      <c r="H1571" s="880">
        <v>0.9849025605439905</v>
      </c>
      <c r="I1571" s="880">
        <v>1.002849887580658</v>
      </c>
      <c r="K1571">
        <v>1.072057238499877</v>
      </c>
      <c r="L1571">
        <v>0</v>
      </c>
      <c r="M1571">
        <v>6.8441949950989148E-4</v>
      </c>
      <c r="N1571">
        <v>6.7370969662933239E-2</v>
      </c>
      <c r="O1571">
        <v>8.7776802966943387E-3</v>
      </c>
      <c r="P1571">
        <v>1.2623462128130928E-2</v>
      </c>
      <c r="Q1571">
        <v>2.9400139542162212E-3</v>
      </c>
      <c r="R1571">
        <v>6.7267746204191623E-4</v>
      </c>
      <c r="S1571">
        <v>8.5088378043346971E-2</v>
      </c>
      <c r="T1571">
        <v>0.81614719420256654</v>
      </c>
      <c r="U1571">
        <v>1.6908965002063476E-2</v>
      </c>
      <c r="V1571">
        <v>1.0413125230588837E-2</v>
      </c>
      <c r="W1571">
        <v>4.0376811514445957E-2</v>
      </c>
      <c r="X1571">
        <v>9.5915741987455411E-3</v>
      </c>
      <c r="Y1571">
        <v>1.8308063036123296E-3</v>
      </c>
    </row>
    <row r="1572" spans="1:25">
      <c r="A1572" s="876"/>
      <c r="B1572" s="1202">
        <v>1322</v>
      </c>
      <c r="C1572" s="880">
        <v>1.0113505039834343</v>
      </c>
      <c r="D1572" s="880">
        <v>0.96919241365757991</v>
      </c>
      <c r="E1572" s="880">
        <v>0.97536982419369644</v>
      </c>
      <c r="F1572" s="880">
        <v>1.020601873626841</v>
      </c>
      <c r="G1572" s="880">
        <v>0.98892394833220376</v>
      </c>
      <c r="H1572" s="880">
        <v>0.98881364969131247</v>
      </c>
      <c r="I1572" s="880">
        <v>0.97929844771490093</v>
      </c>
      <c r="K1572">
        <v>1.0711377430662983</v>
      </c>
      <c r="L1572">
        <v>0</v>
      </c>
      <c r="M1572">
        <v>7.2250266574701977E-4</v>
      </c>
      <c r="N1572">
        <v>6.6668548456819549E-2</v>
      </c>
      <c r="O1572">
        <v>8.835345380218464E-3</v>
      </c>
      <c r="P1572">
        <v>1.2427628522560293E-2</v>
      </c>
      <c r="Q1572">
        <v>2.890426972632555E-3</v>
      </c>
      <c r="R1572">
        <v>7.1018655907621384E-4</v>
      </c>
      <c r="S1572">
        <v>8.3675710427010594E-2</v>
      </c>
      <c r="T1572">
        <v>0.81783557395061768</v>
      </c>
      <c r="U1572">
        <v>1.6720838917216173E-2</v>
      </c>
      <c r="V1572">
        <v>1.0412043753154488E-2</v>
      </c>
      <c r="W1572">
        <v>4.0534012171287957E-2</v>
      </c>
      <c r="X1572">
        <v>9.2170369205806166E-3</v>
      </c>
      <c r="Y1572">
        <v>1.9328937008691734E-3</v>
      </c>
    </row>
    <row r="1573" spans="1:25">
      <c r="A1573" s="876"/>
      <c r="B1573" s="1202">
        <v>1323</v>
      </c>
      <c r="C1573" s="880">
        <v>1.0017084581149314</v>
      </c>
      <c r="D1573" s="880">
        <v>0.98997270531904258</v>
      </c>
      <c r="E1573" s="880">
        <v>0.97381224042061965</v>
      </c>
      <c r="F1573" s="880">
        <v>1.0070808043027843</v>
      </c>
      <c r="G1573" s="880">
        <v>1.0013347930530629</v>
      </c>
      <c r="H1573" s="880">
        <v>1.0195812839906411</v>
      </c>
      <c r="I1573" s="880">
        <v>0.97151474418499661</v>
      </c>
      <c r="K1573">
        <v>1.0748970755324576</v>
      </c>
      <c r="L1573">
        <v>0</v>
      </c>
      <c r="M1573">
        <v>7.4613079184710288E-4</v>
      </c>
      <c r="N1573">
        <v>6.8549416770962671E-2</v>
      </c>
      <c r="O1573">
        <v>8.8198472303391839E-3</v>
      </c>
      <c r="P1573">
        <v>1.2421042528314351E-2</v>
      </c>
      <c r="Q1573">
        <v>2.8853880726511195E-3</v>
      </c>
      <c r="R1573">
        <v>7.3377632090301608E-4</v>
      </c>
      <c r="S1573">
        <v>8.3999568305633238E-2</v>
      </c>
      <c r="T1573">
        <v>0.81796266718042732</v>
      </c>
      <c r="U1573">
        <v>1.6881787039889552E-2</v>
      </c>
      <c r="V1573">
        <v>1.0412968993069588E-2</v>
      </c>
      <c r="W1573">
        <v>4.1722807827451684E-2</v>
      </c>
      <c r="X1573">
        <v>9.2568387984625251E-3</v>
      </c>
      <c r="Y1573">
        <v>1.9970972561988336E-3</v>
      </c>
    </row>
    <row r="1574" spans="1:25">
      <c r="A1574" s="876"/>
      <c r="B1574" s="1202">
        <v>1324</v>
      </c>
      <c r="C1574" s="880">
        <v>1.0120285640192994</v>
      </c>
      <c r="D1574" s="880">
        <v>1.0003770395185223</v>
      </c>
      <c r="E1574" s="880">
        <v>1.0045652119870911</v>
      </c>
      <c r="F1574" s="880">
        <v>0.99501293370915334</v>
      </c>
      <c r="G1574" s="880">
        <v>0.9996611987980597</v>
      </c>
      <c r="H1574" s="880">
        <v>1.033640802133704</v>
      </c>
      <c r="I1574" s="880">
        <v>1.0233435144141454</v>
      </c>
      <c r="K1574">
        <v>1.0789055108423304</v>
      </c>
      <c r="L1574">
        <v>0</v>
      </c>
      <c r="M1574">
        <v>6.9793624818020167E-4</v>
      </c>
      <c r="N1574">
        <v>7.0580266660610833E-2</v>
      </c>
      <c r="O1574">
        <v>8.6813489870902275E-3</v>
      </c>
      <c r="P1574">
        <v>1.2725739551324814E-2</v>
      </c>
      <c r="Q1574">
        <v>2.9320824529585785E-3</v>
      </c>
      <c r="R1574">
        <v>6.8652820232970046E-4</v>
      </c>
      <c r="S1574">
        <v>8.7631338468747877E-2</v>
      </c>
      <c r="T1574">
        <v>0.8154685390594385</v>
      </c>
      <c r="U1574">
        <v>1.6709635940305227E-2</v>
      </c>
      <c r="V1574">
        <v>1.041197935077914E-2</v>
      </c>
      <c r="W1574">
        <v>4.2057634357086593E-2</v>
      </c>
      <c r="X1574">
        <v>9.8498506070580812E-3</v>
      </c>
      <c r="Y1574">
        <v>1.8685034527803701E-3</v>
      </c>
    </row>
    <row r="1575" spans="1:25">
      <c r="A1575" s="876"/>
      <c r="B1575" s="1202">
        <v>1325</v>
      </c>
      <c r="C1575" s="880">
        <v>1.0427373796430299</v>
      </c>
      <c r="D1575" s="880">
        <v>0.95845891158444974</v>
      </c>
      <c r="E1575" s="880">
        <v>1.024618493309013</v>
      </c>
      <c r="F1575" s="880">
        <v>1.0286124443592113</v>
      </c>
      <c r="G1575" s="880">
        <v>1.02374643956421</v>
      </c>
      <c r="H1575" s="880">
        <v>0.99950391345468781</v>
      </c>
      <c r="I1575" s="880">
        <v>1.0084436485781605</v>
      </c>
      <c r="K1575">
        <v>1.0708504436512061</v>
      </c>
      <c r="L1575">
        <v>0</v>
      </c>
      <c r="M1575">
        <v>6.4235737700854708E-4</v>
      </c>
      <c r="N1575">
        <v>6.9101403108682624E-2</v>
      </c>
      <c r="O1575">
        <v>8.6206207622503018E-3</v>
      </c>
      <c r="P1575">
        <v>1.2841368760264744E-2</v>
      </c>
      <c r="Q1575">
        <v>2.9608079620876719E-3</v>
      </c>
      <c r="R1575">
        <v>6.3153357572400058E-4</v>
      </c>
      <c r="S1575">
        <v>8.4417171262419488E-2</v>
      </c>
      <c r="T1575">
        <v>0.8138594872479965</v>
      </c>
      <c r="U1575">
        <v>1.6217533960220708E-2</v>
      </c>
      <c r="V1575">
        <v>1.0409150411946465E-2</v>
      </c>
      <c r="W1575">
        <v>4.0620901347409547E-2</v>
      </c>
      <c r="X1575">
        <v>1.009399642107868E-2</v>
      </c>
      <c r="Y1575">
        <v>1.7188262081334429E-3</v>
      </c>
    </row>
    <row r="1576" spans="1:25">
      <c r="A1576" s="876"/>
      <c r="B1576" s="1202">
        <v>1326</v>
      </c>
      <c r="C1576" s="880">
        <v>0.9914601552434148</v>
      </c>
      <c r="D1576" s="880">
        <v>0.97391024972308871</v>
      </c>
      <c r="E1576" s="880">
        <v>0.99256708546627181</v>
      </c>
      <c r="F1576" s="880">
        <v>0.98351072128606909</v>
      </c>
      <c r="G1576" s="880">
        <v>0.99721598965416425</v>
      </c>
      <c r="H1576" s="880">
        <v>1.029043866019018</v>
      </c>
      <c r="I1576" s="880">
        <v>0.98492891082726775</v>
      </c>
      <c r="K1576">
        <v>1.0824039912375152</v>
      </c>
      <c r="L1576">
        <v>0</v>
      </c>
      <c r="M1576">
        <v>7.378553368078244E-4</v>
      </c>
      <c r="N1576">
        <v>7.1879990456626075E-2</v>
      </c>
      <c r="O1576">
        <v>8.989224590608828E-3</v>
      </c>
      <c r="P1576">
        <v>1.2622549727628293E-2</v>
      </c>
      <c r="Q1576">
        <v>2.9936060424968426E-3</v>
      </c>
      <c r="R1576">
        <v>7.2576488366573732E-4</v>
      </c>
      <c r="S1576">
        <v>8.7086308321811245E-2</v>
      </c>
      <c r="T1576">
        <v>0.81643779613404066</v>
      </c>
      <c r="U1576">
        <v>1.7056286908272811E-2</v>
      </c>
      <c r="V1576">
        <v>1.041397213768989E-2</v>
      </c>
      <c r="W1576">
        <v>4.3185557628508751E-2</v>
      </c>
      <c r="X1576">
        <v>9.7754969779646501E-3</v>
      </c>
      <c r="Y1576">
        <v>1.9752927650085357E-3</v>
      </c>
    </row>
    <row r="1577" spans="1:25">
      <c r="A1577" s="876"/>
      <c r="B1577" s="1202">
        <v>1327</v>
      </c>
      <c r="C1577" s="880">
        <v>1.0134198910096599</v>
      </c>
      <c r="D1577" s="880">
        <v>0.96556657510864552</v>
      </c>
      <c r="E1577" s="880">
        <v>0.97605235477876473</v>
      </c>
      <c r="F1577" s="880">
        <v>0.97447213770946206</v>
      </c>
      <c r="G1577" s="880">
        <v>0.96151760580549195</v>
      </c>
      <c r="H1577" s="880">
        <v>1.0414248321787258</v>
      </c>
      <c r="I1577" s="880">
        <v>0.99314640175343549</v>
      </c>
      <c r="K1577">
        <v>1.0802567531502116</v>
      </c>
      <c r="L1577">
        <v>0</v>
      </c>
      <c r="M1577">
        <v>7.5982235413677465E-4</v>
      </c>
      <c r="N1577">
        <v>7.0323386864669796E-2</v>
      </c>
      <c r="O1577">
        <v>8.8350009677038138E-3</v>
      </c>
      <c r="P1577">
        <v>1.2473741331253294E-2</v>
      </c>
      <c r="Q1577">
        <v>2.8915036139968717E-3</v>
      </c>
      <c r="R1577">
        <v>7.475278413092369E-4</v>
      </c>
      <c r="S1577">
        <v>8.6722650347854827E-2</v>
      </c>
      <c r="T1577">
        <v>0.81777990774571585</v>
      </c>
      <c r="U1577">
        <v>1.6686695234592725E-2</v>
      </c>
      <c r="V1577">
        <v>1.0411847471908771E-2</v>
      </c>
      <c r="W1577">
        <v>4.2735822774917116E-2</v>
      </c>
      <c r="X1577">
        <v>9.373966948868058E-3</v>
      </c>
      <c r="Y1577">
        <v>2.0345243615570831E-3</v>
      </c>
    </row>
    <row r="1578" spans="1:25">
      <c r="A1578" s="876"/>
      <c r="B1578" s="1202">
        <v>1328</v>
      </c>
      <c r="C1578" s="880">
        <v>0.97834852393369964</v>
      </c>
      <c r="D1578" s="880">
        <v>0.98201702623285414</v>
      </c>
      <c r="E1578" s="880">
        <v>0.98842354877438698</v>
      </c>
      <c r="F1578" s="880">
        <v>1.0305609220374896</v>
      </c>
      <c r="G1578" s="880">
        <v>1.0023364759020645</v>
      </c>
      <c r="H1578" s="880">
        <v>1.011387546561699</v>
      </c>
      <c r="I1578" s="880">
        <v>1.0116080364459399</v>
      </c>
      <c r="K1578">
        <v>1.0841657545445638</v>
      </c>
      <c r="L1578">
        <v>0</v>
      </c>
      <c r="M1578">
        <v>7.3807643097649044E-4</v>
      </c>
      <c r="N1578">
        <v>7.0958567764907235E-2</v>
      </c>
      <c r="O1578">
        <v>9.0694302540927519E-3</v>
      </c>
      <c r="P1578">
        <v>1.2625012508673162E-2</v>
      </c>
      <c r="Q1578">
        <v>3.0095774559417156E-3</v>
      </c>
      <c r="R1578">
        <v>7.2576365742134375E-4</v>
      </c>
      <c r="S1578">
        <v>8.9610130252732373E-2</v>
      </c>
      <c r="T1578">
        <v>0.81677366291923348</v>
      </c>
      <c r="U1578">
        <v>1.7284871855235064E-2</v>
      </c>
      <c r="V1578">
        <v>1.0415286200341923E-2</v>
      </c>
      <c r="W1578">
        <v>4.275381506698591E-2</v>
      </c>
      <c r="X1578">
        <v>9.7024236123999189E-3</v>
      </c>
      <c r="Y1578">
        <v>1.9752894275755274E-3</v>
      </c>
    </row>
    <row r="1579" spans="1:25">
      <c r="A1579" s="876"/>
      <c r="B1579" s="1202">
        <v>1329</v>
      </c>
      <c r="C1579" s="880">
        <v>1.0019711953719483</v>
      </c>
      <c r="D1579" s="880">
        <v>0.99937191466905262</v>
      </c>
      <c r="E1579" s="880">
        <v>1.0048776004080013</v>
      </c>
      <c r="F1579" s="880">
        <v>0.97924002908099628</v>
      </c>
      <c r="G1579" s="880">
        <v>0.99405890493797866</v>
      </c>
      <c r="H1579" s="880">
        <v>1.0405283683163151</v>
      </c>
      <c r="I1579" s="880">
        <v>1.0082583815994015</v>
      </c>
      <c r="K1579">
        <v>1.0811468942270397</v>
      </c>
      <c r="L1579">
        <v>0</v>
      </c>
      <c r="M1579">
        <v>7.0955148799253874E-4</v>
      </c>
      <c r="N1579">
        <v>7.1832616137196631E-2</v>
      </c>
      <c r="O1579">
        <v>8.7731905635975212E-3</v>
      </c>
      <c r="P1579">
        <v>1.2728833437470562E-2</v>
      </c>
      <c r="Q1579">
        <v>2.9638070893035834E-3</v>
      </c>
      <c r="R1579">
        <v>6.9803120681353927E-4</v>
      </c>
      <c r="S1579">
        <v>8.7497810402007034E-2</v>
      </c>
      <c r="T1579">
        <v>0.81544336840227649</v>
      </c>
      <c r="U1579">
        <v>1.6877360291455146E-2</v>
      </c>
      <c r="V1579">
        <v>1.0412943545091199E-2</v>
      </c>
      <c r="W1579">
        <v>4.2794770844751133E-2</v>
      </c>
      <c r="X1579">
        <v>9.9339029560483495E-3</v>
      </c>
      <c r="Y1579">
        <v>1.8998108390209697E-3</v>
      </c>
    </row>
    <row r="1580" spans="1:25">
      <c r="A1580" s="876"/>
      <c r="B1580" s="1202">
        <v>1330</v>
      </c>
      <c r="C1580" s="880">
        <v>1.0106775930665832</v>
      </c>
      <c r="D1580" s="880">
        <v>0.99771319585543972</v>
      </c>
      <c r="E1580" s="880">
        <v>0.96354240949192571</v>
      </c>
      <c r="F1580" s="880">
        <v>1.0417416899549419</v>
      </c>
      <c r="G1580" s="880">
        <v>1.0128493695440903</v>
      </c>
      <c r="H1580" s="880">
        <v>1.0018852688768722</v>
      </c>
      <c r="I1580" s="880">
        <v>1.0031781234746457</v>
      </c>
      <c r="K1580">
        <v>1.0718359401985149</v>
      </c>
      <c r="L1580">
        <v>0</v>
      </c>
      <c r="M1580">
        <v>7.3941031479555824E-4</v>
      </c>
      <c r="N1580">
        <v>6.5770725305856093E-2</v>
      </c>
      <c r="O1580">
        <v>8.70532375627661E-3</v>
      </c>
      <c r="P1580">
        <v>1.2345905254725339E-2</v>
      </c>
      <c r="Q1580">
        <v>2.8198073787695857E-3</v>
      </c>
      <c r="R1580">
        <v>7.269437271085978E-4</v>
      </c>
      <c r="S1580">
        <v>8.5005458125851849E-2</v>
      </c>
      <c r="T1580">
        <v>0.81880269864952748</v>
      </c>
      <c r="U1580">
        <v>1.6731971681139584E-2</v>
      </c>
      <c r="V1580">
        <v>1.0412107751897529E-2</v>
      </c>
      <c r="W1580">
        <v>4.0320135690195817E-2</v>
      </c>
      <c r="X1580">
        <v>8.9557720037068411E-3</v>
      </c>
      <c r="Y1580">
        <v>1.9785011882543658E-3</v>
      </c>
    </row>
    <row r="1581" spans="1:25">
      <c r="A1581" s="876"/>
      <c r="B1581" s="1202">
        <v>1331</v>
      </c>
      <c r="C1581" s="880">
        <v>0.98308893293701027</v>
      </c>
      <c r="D1581" s="880">
        <v>0.99955147538731104</v>
      </c>
      <c r="E1581" s="880">
        <v>0.97089895676093563</v>
      </c>
      <c r="F1581" s="880">
        <v>1.0108184529920117</v>
      </c>
      <c r="G1581" s="880">
        <v>1.0061102635800654</v>
      </c>
      <c r="H1581" s="880">
        <v>0.99394744324489637</v>
      </c>
      <c r="I1581" s="880">
        <v>0.98917655124503068</v>
      </c>
      <c r="K1581">
        <v>1.0757818963454682</v>
      </c>
      <c r="L1581">
        <v>0</v>
      </c>
      <c r="M1581">
        <v>7.4187716738525165E-4</v>
      </c>
      <c r="N1581">
        <v>6.7512243331887503E-2</v>
      </c>
      <c r="O1581">
        <v>8.9408412226878922E-3</v>
      </c>
      <c r="P1581">
        <v>1.2424955742474382E-2</v>
      </c>
      <c r="Q1581">
        <v>2.9183888497792618E-3</v>
      </c>
      <c r="R1581">
        <v>7.2926739045720414E-4</v>
      </c>
      <c r="S1581">
        <v>8.5806622339702279E-2</v>
      </c>
      <c r="T1581">
        <v>0.81820060062710354</v>
      </c>
      <c r="U1581">
        <v>1.7201525008964682E-2</v>
      </c>
      <c r="V1581">
        <v>1.0414807065651293E-2</v>
      </c>
      <c r="W1581">
        <v>4.1175128044708929E-2</v>
      </c>
      <c r="X1581">
        <v>9.2145684555419109E-3</v>
      </c>
      <c r="Y1581">
        <v>1.9848254338938553E-3</v>
      </c>
    </row>
    <row r="1582" spans="1:25">
      <c r="A1582" s="876"/>
      <c r="B1582" s="1202">
        <v>1332</v>
      </c>
      <c r="C1582" s="880">
        <v>0.98760225861758666</v>
      </c>
      <c r="D1582" s="880">
        <v>1.0227672362112241</v>
      </c>
      <c r="E1582" s="880">
        <v>1.0027782171181208</v>
      </c>
      <c r="F1582" s="880">
        <v>0.96672012717225919</v>
      </c>
      <c r="G1582" s="880">
        <v>0.98720050433514273</v>
      </c>
      <c r="H1582" s="880">
        <v>0.98625727777673089</v>
      </c>
      <c r="I1582" s="880">
        <v>1.0013395327813288</v>
      </c>
      <c r="K1582">
        <v>1.0729481348125518</v>
      </c>
      <c r="L1582">
        <v>0</v>
      </c>
      <c r="M1582">
        <v>6.7697658270786485E-4</v>
      </c>
      <c r="N1582">
        <v>6.8024954326571685E-2</v>
      </c>
      <c r="O1582">
        <v>8.7917867860800164E-3</v>
      </c>
      <c r="P1582">
        <v>1.2683325973267328E-2</v>
      </c>
      <c r="Q1582">
        <v>2.9689443174114659E-3</v>
      </c>
      <c r="R1582">
        <v>6.653607338514961E-4</v>
      </c>
      <c r="S1582">
        <v>8.5207417917362444E-2</v>
      </c>
      <c r="T1582">
        <v>0.81561258972547013</v>
      </c>
      <c r="U1582">
        <v>1.7122914329523009E-2</v>
      </c>
      <c r="V1582">
        <v>1.0414355157687613E-2</v>
      </c>
      <c r="W1582">
        <v>4.0584432090748822E-2</v>
      </c>
      <c r="X1582">
        <v>9.7381374558490053E-3</v>
      </c>
      <c r="Y1582">
        <v>1.8108925814368057E-3</v>
      </c>
    </row>
    <row r="1583" spans="1:25">
      <c r="A1583" s="876"/>
      <c r="B1583" s="1202">
        <v>1333</v>
      </c>
      <c r="C1583" s="880">
        <v>1.015022190876532</v>
      </c>
      <c r="D1583" s="880">
        <v>0.95993301029340528</v>
      </c>
      <c r="E1583" s="880">
        <v>1.0085865146460722</v>
      </c>
      <c r="F1583" s="880">
        <v>1.0446493573620186</v>
      </c>
      <c r="G1583" s="880">
        <v>1.0063320697187315</v>
      </c>
      <c r="H1583" s="880">
        <v>0.99076192916893002</v>
      </c>
      <c r="I1583" s="880">
        <v>0.95317028029015605</v>
      </c>
      <c r="K1583">
        <v>1.0703131322047033</v>
      </c>
      <c r="L1583">
        <v>0</v>
      </c>
      <c r="M1583">
        <v>6.7608989319568782E-4</v>
      </c>
      <c r="N1583">
        <v>6.9185204959278934E-2</v>
      </c>
      <c r="O1583">
        <v>8.8487231476486392E-3</v>
      </c>
      <c r="P1583">
        <v>1.2675905985818714E-2</v>
      </c>
      <c r="Q1583">
        <v>2.9913569434594097E-3</v>
      </c>
      <c r="R1583">
        <v>6.6459585525857569E-4</v>
      </c>
      <c r="S1583">
        <v>8.1605886334511907E-2</v>
      </c>
      <c r="T1583">
        <v>0.81514477677002606</v>
      </c>
      <c r="U1583">
        <v>1.6660353850341984E-2</v>
      </c>
      <c r="V1583">
        <v>1.0411696043611737E-2</v>
      </c>
      <c r="W1583">
        <v>4.1113577461743947E-2</v>
      </c>
      <c r="X1583">
        <v>9.8783339121495083E-3</v>
      </c>
      <c r="Y1583">
        <v>1.8088108340490374E-3</v>
      </c>
    </row>
    <row r="1584" spans="1:25">
      <c r="A1584" s="876"/>
      <c r="B1584" s="1202">
        <v>1334</v>
      </c>
      <c r="C1584" s="880">
        <v>1.0132983856009392</v>
      </c>
      <c r="D1584" s="880">
        <v>0.9867120979677575</v>
      </c>
      <c r="E1584" s="880">
        <v>0.98064390030412063</v>
      </c>
      <c r="F1584" s="880">
        <v>1.0120032390331757</v>
      </c>
      <c r="G1584" s="880">
        <v>1.0002488771473839</v>
      </c>
      <c r="H1584" s="880">
        <v>0.99219868307176318</v>
      </c>
      <c r="I1584" s="880">
        <v>0.99118701334606085</v>
      </c>
      <c r="K1584">
        <v>1.0704156365315916</v>
      </c>
      <c r="L1584">
        <v>0</v>
      </c>
      <c r="M1584">
        <v>7.0881513392268317E-4</v>
      </c>
      <c r="N1584">
        <v>6.6491767941995128E-2</v>
      </c>
      <c r="O1584">
        <v>8.7343372444998388E-3</v>
      </c>
      <c r="P1584">
        <v>1.2474408799623285E-2</v>
      </c>
      <c r="Q1584">
        <v>2.8766420963701159E-3</v>
      </c>
      <c r="R1584">
        <v>6.9675756821949326E-4</v>
      </c>
      <c r="S1584">
        <v>8.3895330343451952E-2</v>
      </c>
      <c r="T1584">
        <v>0.81740583735027095</v>
      </c>
      <c r="U1584">
        <v>1.6688696149381E-2</v>
      </c>
      <c r="V1584">
        <v>1.0411858974535816E-2</v>
      </c>
      <c r="W1584">
        <v>4.027864849003026E-2</v>
      </c>
      <c r="X1584">
        <v>9.2738222925132889E-3</v>
      </c>
      <c r="Y1584">
        <v>1.8963444146228264E-3</v>
      </c>
    </row>
    <row r="1585" spans="1:25">
      <c r="A1585" s="876"/>
      <c r="B1585" s="1202">
        <v>1335</v>
      </c>
      <c r="C1585" s="880">
        <v>0.96586123081030895</v>
      </c>
      <c r="D1585" s="880">
        <v>1.0146195691150266</v>
      </c>
      <c r="E1585" s="880">
        <v>1.0107377407645672</v>
      </c>
      <c r="F1585" s="880">
        <v>0.97647053641861048</v>
      </c>
      <c r="G1585" s="880">
        <v>1.0059686062245317</v>
      </c>
      <c r="H1585" s="880">
        <v>0.96626832562461762</v>
      </c>
      <c r="I1585" s="880">
        <v>1.0448016578356714</v>
      </c>
      <c r="K1585">
        <v>1.0799938680793393</v>
      </c>
      <c r="L1585">
        <v>0</v>
      </c>
      <c r="M1585">
        <v>6.6973951415023457E-4</v>
      </c>
      <c r="N1585">
        <v>6.8959992938732395E-2</v>
      </c>
      <c r="O1585">
        <v>9.0280419446530976E-3</v>
      </c>
      <c r="P1585">
        <v>1.2827848919485078E-2</v>
      </c>
      <c r="Q1585">
        <v>3.0713041505014351E-3</v>
      </c>
      <c r="R1585">
        <v>6.580169480790289E-4</v>
      </c>
      <c r="S1585">
        <v>9.050181041951369E-2</v>
      </c>
      <c r="T1585">
        <v>0.81497180360693833</v>
      </c>
      <c r="U1585">
        <v>1.7508342116356847E-2</v>
      </c>
      <c r="V1585">
        <v>1.0416570860280786E-2</v>
      </c>
      <c r="W1585">
        <v>4.0919872737059007E-2</v>
      </c>
      <c r="X1585">
        <v>1.0009097734445326E-2</v>
      </c>
      <c r="Y1585">
        <v>1.7909052174424798E-3</v>
      </c>
    </row>
    <row r="1586" spans="1:25">
      <c r="A1586" s="876"/>
      <c r="B1586" s="1202">
        <v>1336</v>
      </c>
      <c r="C1586" s="880">
        <v>1.004876133273072</v>
      </c>
      <c r="D1586" s="880">
        <v>1.0073189701285001</v>
      </c>
      <c r="E1586" s="880">
        <v>0.98155969919806374</v>
      </c>
      <c r="F1586" s="880">
        <v>0.9931709121742901</v>
      </c>
      <c r="G1586" s="880">
        <v>1.0383456016062078</v>
      </c>
      <c r="H1586" s="880">
        <v>1.0149745888956418</v>
      </c>
      <c r="I1586" s="880">
        <v>1.0005707091006273</v>
      </c>
      <c r="K1586">
        <v>1.0743063157273174</v>
      </c>
      <c r="L1586">
        <v>0</v>
      </c>
      <c r="M1586">
        <v>7.2177570831993647E-4</v>
      </c>
      <c r="N1586">
        <v>6.7925635830425157E-2</v>
      </c>
      <c r="O1586">
        <v>8.7109692143305471E-3</v>
      </c>
      <c r="P1586">
        <v>1.2503323433666814E-2</v>
      </c>
      <c r="Q1586">
        <v>2.8760584068092776E-3</v>
      </c>
      <c r="R1586">
        <v>7.0975493517223983E-4</v>
      </c>
      <c r="S1586">
        <v>8.533225952946194E-2</v>
      </c>
      <c r="T1586">
        <v>0.81733131308610463</v>
      </c>
      <c r="U1586">
        <v>1.6828570513334095E-2</v>
      </c>
      <c r="V1586">
        <v>1.0412663068069069E-2</v>
      </c>
      <c r="W1586">
        <v>4.112112205721466E-2</v>
      </c>
      <c r="X1586">
        <v>9.3447023981599424E-3</v>
      </c>
      <c r="Y1586">
        <v>1.9317189628873382E-3</v>
      </c>
    </row>
    <row r="1587" spans="1:25">
      <c r="A1587" s="876"/>
      <c r="B1587" s="1202">
        <v>1337</v>
      </c>
      <c r="C1587" s="880">
        <v>0.9777615601190498</v>
      </c>
      <c r="D1587" s="880">
        <v>0.98354066308118637</v>
      </c>
      <c r="E1587" s="880">
        <v>0.98261431099021546</v>
      </c>
      <c r="F1587" s="880">
        <v>1.0002816248516746</v>
      </c>
      <c r="G1587" s="880">
        <v>1.0266801461541291</v>
      </c>
      <c r="H1587" s="880">
        <v>1.0019862064977834</v>
      </c>
      <c r="I1587" s="880">
        <v>0.99481120189209904</v>
      </c>
      <c r="K1587">
        <v>1.0809648015800621</v>
      </c>
      <c r="L1587">
        <v>0</v>
      </c>
      <c r="M1587">
        <v>7.4002842168235331E-4</v>
      </c>
      <c r="N1587">
        <v>6.9859327557456649E-2</v>
      </c>
      <c r="O1587">
        <v>9.0673628239416743E-3</v>
      </c>
      <c r="P1587">
        <v>1.2551233388474786E-2</v>
      </c>
      <c r="Q1587">
        <v>2.9915808635947879E-3</v>
      </c>
      <c r="R1587">
        <v>7.2756582252615765E-4</v>
      </c>
      <c r="S1587">
        <v>8.7761878993492429E-2</v>
      </c>
      <c r="T1587">
        <v>0.8172455279174563</v>
      </c>
      <c r="U1587">
        <v>1.7295248203348663E-2</v>
      </c>
      <c r="V1587">
        <v>1.0415345850689445E-2</v>
      </c>
      <c r="W1587">
        <v>4.2260857041578587E-2</v>
      </c>
      <c r="X1587">
        <v>9.548707212277208E-3</v>
      </c>
      <c r="Y1587">
        <v>1.9801943269072645E-3</v>
      </c>
    </row>
    <row r="1588" spans="1:25">
      <c r="A1588" s="876"/>
      <c r="B1588" s="1202">
        <v>1338</v>
      </c>
      <c r="C1588" s="880">
        <v>0.97448554141806087</v>
      </c>
      <c r="D1588" s="880">
        <v>0.99903950883895642</v>
      </c>
      <c r="E1588" s="880">
        <v>0.9756972362547105</v>
      </c>
      <c r="F1588" s="880">
        <v>1.0131191845150362</v>
      </c>
      <c r="G1588" s="880">
        <v>1.0086121411643558</v>
      </c>
      <c r="H1588" s="880">
        <v>0.9799082163164905</v>
      </c>
      <c r="I1588" s="880">
        <v>1.0063856793078099</v>
      </c>
      <c r="K1588">
        <v>1.0773887104956585</v>
      </c>
      <c r="L1588">
        <v>0</v>
      </c>
      <c r="M1588">
        <v>7.3066741605206135E-4</v>
      </c>
      <c r="N1588">
        <v>6.7477494503189947E-2</v>
      </c>
      <c r="O1588">
        <v>9.0222415512711939E-3</v>
      </c>
      <c r="P1588">
        <v>1.2491141729680581E-2</v>
      </c>
      <c r="Q1588">
        <v>2.9592970407311295E-3</v>
      </c>
      <c r="R1588">
        <v>7.1807071513435117E-4</v>
      </c>
      <c r="S1588">
        <v>8.757399058050494E-2</v>
      </c>
      <c r="T1588">
        <v>0.81780886873275127</v>
      </c>
      <c r="U1588">
        <v>1.7353391248211059E-2</v>
      </c>
      <c r="V1588">
        <v>1.0415680096687465E-2</v>
      </c>
      <c r="W1588">
        <v>4.1016496912783425E-2</v>
      </c>
      <c r="X1588">
        <v>9.3283530261162959E-3</v>
      </c>
      <c r="Y1588">
        <v>1.9543517746480779E-3</v>
      </c>
    </row>
    <row r="1589" spans="1:25">
      <c r="A1589" s="876"/>
      <c r="B1589" s="1202">
        <v>1339</v>
      </c>
      <c r="C1589" s="880">
        <v>1.0038227790579703</v>
      </c>
      <c r="D1589" s="880">
        <v>0.99297472304737511</v>
      </c>
      <c r="E1589" s="880">
        <v>0.98242193318418181</v>
      </c>
      <c r="F1589" s="880">
        <v>0.99930426502898051</v>
      </c>
      <c r="G1589" s="880">
        <v>0.97507099686259469</v>
      </c>
      <c r="H1589" s="880">
        <v>1.0083132219819122</v>
      </c>
      <c r="I1589" s="880">
        <v>1.0260202904256652</v>
      </c>
      <c r="K1589">
        <v>1.0773888917894956</v>
      </c>
      <c r="L1589">
        <v>0</v>
      </c>
      <c r="M1589">
        <v>7.219803816932368E-4</v>
      </c>
      <c r="N1589">
        <v>6.8121248494356357E-2</v>
      </c>
      <c r="O1589">
        <v>8.7870591906195599E-3</v>
      </c>
      <c r="P1589">
        <v>1.2546446410293425E-2</v>
      </c>
      <c r="Q1589">
        <v>2.900612724533555E-3</v>
      </c>
      <c r="R1589">
        <v>7.0988950216011146E-4</v>
      </c>
      <c r="S1589">
        <v>8.7978445461993807E-2</v>
      </c>
      <c r="T1589">
        <v>0.81726117367626594</v>
      </c>
      <c r="U1589">
        <v>1.6846229452794497E-2</v>
      </c>
      <c r="V1589">
        <v>1.0412764583733726E-2</v>
      </c>
      <c r="W1589">
        <v>4.1214911286013359E-2</v>
      </c>
      <c r="X1589">
        <v>9.4000061785538339E-3</v>
      </c>
      <c r="Y1589">
        <v>1.9320852098683294E-3</v>
      </c>
    </row>
    <row r="1590" spans="1:25">
      <c r="A1590" s="876"/>
      <c r="B1590" s="1202">
        <v>1340</v>
      </c>
      <c r="C1590" s="880">
        <v>1.0051866092227046</v>
      </c>
      <c r="D1590" s="880">
        <v>1.0248363748414757</v>
      </c>
      <c r="E1590" s="880">
        <v>1.0079621822827267</v>
      </c>
      <c r="F1590" s="880">
        <v>1.0055209484115941</v>
      </c>
      <c r="G1590" s="880">
        <v>1.028004353775763</v>
      </c>
      <c r="H1590" s="880">
        <v>0.99836834630794113</v>
      </c>
      <c r="I1590" s="880">
        <v>0.95837493855548328</v>
      </c>
      <c r="K1590">
        <v>1.066964615232763</v>
      </c>
      <c r="L1590">
        <v>0</v>
      </c>
      <c r="M1590">
        <v>6.6527091979155578E-4</v>
      </c>
      <c r="N1590">
        <v>6.7949378236480271E-2</v>
      </c>
      <c r="O1590">
        <v>8.6287028330476433E-3</v>
      </c>
      <c r="P1590">
        <v>1.265713774003252E-2</v>
      </c>
      <c r="Q1590">
        <v>2.9294873585009105E-3</v>
      </c>
      <c r="R1590">
        <v>6.5399273882413593E-4</v>
      </c>
      <c r="S1590">
        <v>8.0451918333831626E-2</v>
      </c>
      <c r="T1590">
        <v>0.81519500681189805</v>
      </c>
      <c r="U1590">
        <v>1.6823372606434843E-2</v>
      </c>
      <c r="V1590">
        <v>1.0412633186944261E-2</v>
      </c>
      <c r="W1590">
        <v>4.0396336736719066E-2</v>
      </c>
      <c r="X1590">
        <v>9.7519669234100263E-3</v>
      </c>
      <c r="Y1590">
        <v>1.7799526464308854E-3</v>
      </c>
    </row>
    <row r="1591" spans="1:25">
      <c r="A1591" s="876"/>
      <c r="B1591" s="1202">
        <v>1341</v>
      </c>
      <c r="C1591" s="880">
        <v>1.0049352199097314</v>
      </c>
      <c r="D1591" s="880">
        <v>0.9934280064647576</v>
      </c>
      <c r="E1591" s="880">
        <v>0.98754065052517914</v>
      </c>
      <c r="F1591" s="880">
        <v>0.96071484658970363</v>
      </c>
      <c r="G1591" s="880">
        <v>1.0145525589965165</v>
      </c>
      <c r="H1591" s="880">
        <v>1.024037355957345</v>
      </c>
      <c r="I1591" s="880">
        <v>1.0366855694253316</v>
      </c>
      <c r="K1591">
        <v>1.0805555886622089</v>
      </c>
      <c r="L1591">
        <v>0</v>
      </c>
      <c r="M1591">
        <v>7.2441700325072899E-4</v>
      </c>
      <c r="N1591">
        <v>6.9467705810035266E-2</v>
      </c>
      <c r="O1591">
        <v>8.7751947911381412E-3</v>
      </c>
      <c r="P1591">
        <v>1.2607917948480226E-2</v>
      </c>
      <c r="Q1591">
        <v>2.9118637130548905E-3</v>
      </c>
      <c r="R1591">
        <v>7.1247119904202039E-4</v>
      </c>
      <c r="S1591">
        <v>8.9356362819620117E-2</v>
      </c>
      <c r="T1591">
        <v>0.816845304115837</v>
      </c>
      <c r="U1591">
        <v>1.682758105290744E-2</v>
      </c>
      <c r="V1591">
        <v>1.0412657379973636E-2</v>
      </c>
      <c r="W1591">
        <v>4.1881050659255459E-2</v>
      </c>
      <c r="X1591">
        <v>9.5427844383905482E-3</v>
      </c>
      <c r="Y1591">
        <v>1.9391117377247369E-3</v>
      </c>
    </row>
    <row r="1592" spans="1:25">
      <c r="A1592" s="876"/>
      <c r="B1592" s="1202">
        <v>1342</v>
      </c>
      <c r="C1592" s="880">
        <v>1.0247730826532944</v>
      </c>
      <c r="D1592" s="880">
        <v>1.0158838122580462</v>
      </c>
      <c r="E1592" s="880">
        <v>1.0295598067737444</v>
      </c>
      <c r="F1592" s="880">
        <v>0.99998549564099903</v>
      </c>
      <c r="G1592" s="880">
        <v>0.9991376505634606</v>
      </c>
      <c r="H1592" s="880">
        <v>1.0081736581122047</v>
      </c>
      <c r="I1592" s="880">
        <v>0.96538438638372936</v>
      </c>
      <c r="K1592">
        <v>1.0662191205611411</v>
      </c>
      <c r="L1592">
        <v>0</v>
      </c>
      <c r="M1592">
        <v>6.325221945568698E-4</v>
      </c>
      <c r="N1592">
        <v>6.910049746920216E-2</v>
      </c>
      <c r="O1592">
        <v>8.5034001073297401E-3</v>
      </c>
      <c r="P1592">
        <v>1.2826915215043427E-2</v>
      </c>
      <c r="Q1592">
        <v>2.9477309512786361E-3</v>
      </c>
      <c r="R1592">
        <v>6.2191026438338393E-4</v>
      </c>
      <c r="S1592">
        <v>8.0166278076104935E-2</v>
      </c>
      <c r="T1592">
        <v>0.81346510718360976</v>
      </c>
      <c r="U1592">
        <v>1.6501827723819758E-2</v>
      </c>
      <c r="V1592">
        <v>1.04107847269874E-2</v>
      </c>
      <c r="W1592">
        <v>4.0485816496901479E-2</v>
      </c>
      <c r="X1592">
        <v>1.0128739814049385E-2</v>
      </c>
      <c r="Y1592">
        <v>1.6926347269880153E-3</v>
      </c>
    </row>
    <row r="1593" spans="1:25">
      <c r="A1593" s="876"/>
      <c r="B1593" s="1202">
        <v>1343</v>
      </c>
      <c r="C1593" s="880">
        <v>0.97497369956884083</v>
      </c>
      <c r="D1593" s="880">
        <v>0.98723395464884811</v>
      </c>
      <c r="E1593" s="880">
        <v>0.98303174025077533</v>
      </c>
      <c r="F1593" s="880">
        <v>1.0084693953842927</v>
      </c>
      <c r="G1593" s="880">
        <v>0.96636829741635588</v>
      </c>
      <c r="H1593" s="880">
        <v>0.98148450521380048</v>
      </c>
      <c r="I1593" s="880">
        <v>0.98450475517459546</v>
      </c>
      <c r="K1593">
        <v>1.0771126543535476</v>
      </c>
      <c r="L1593">
        <v>0</v>
      </c>
      <c r="M1593">
        <v>7.2487349768682828E-4</v>
      </c>
      <c r="N1593">
        <v>6.8492879136996879E-2</v>
      </c>
      <c r="O1593">
        <v>9.075107930428393E-3</v>
      </c>
      <c r="P1593">
        <v>1.2534280235524759E-2</v>
      </c>
      <c r="Q1593">
        <v>2.9962488218625251E-3</v>
      </c>
      <c r="R1593">
        <v>7.1240767247271973E-4</v>
      </c>
      <c r="S1593">
        <v>8.6192984325998534E-2</v>
      </c>
      <c r="T1593">
        <v>0.8172115834165784</v>
      </c>
      <c r="U1593">
        <v>1.734470260421455E-2</v>
      </c>
      <c r="V1593">
        <v>1.0415630148417792E-2</v>
      </c>
      <c r="W1593">
        <v>4.1422258749590532E-2</v>
      </c>
      <c r="X1593">
        <v>9.500505969804264E-3</v>
      </c>
      <c r="Y1593">
        <v>1.9389388393446282E-3</v>
      </c>
    </row>
    <row r="1594" spans="1:25">
      <c r="A1594" s="876"/>
      <c r="B1594" s="1202">
        <v>1344</v>
      </c>
      <c r="C1594" s="880">
        <v>0.99300372810821469</v>
      </c>
      <c r="D1594" s="880">
        <v>0.97486626983408364</v>
      </c>
      <c r="E1594" s="880">
        <v>1.009620191887036</v>
      </c>
      <c r="F1594" s="880">
        <v>1.0146607566273893</v>
      </c>
      <c r="G1594" s="880">
        <v>0.95765527855168298</v>
      </c>
      <c r="H1594" s="880">
        <v>0.99563455275114965</v>
      </c>
      <c r="I1594" s="880">
        <v>1.0164074023676153</v>
      </c>
      <c r="K1594">
        <v>1.0800612129388552</v>
      </c>
      <c r="L1594">
        <v>0</v>
      </c>
      <c r="M1594">
        <v>6.8728228824654479E-4</v>
      </c>
      <c r="N1594">
        <v>7.0561499000912992E-2</v>
      </c>
      <c r="O1594">
        <v>8.9705449032854798E-3</v>
      </c>
      <c r="P1594">
        <v>1.2783610584292613E-2</v>
      </c>
      <c r="Q1594">
        <v>3.0392287541083111E-3</v>
      </c>
      <c r="R1594">
        <v>6.7564177639032295E-4</v>
      </c>
      <c r="S1594">
        <v>8.844652823194557E-2</v>
      </c>
      <c r="T1594">
        <v>0.81506164245341461</v>
      </c>
      <c r="U1594">
        <v>1.7029773793668476E-2</v>
      </c>
      <c r="V1594">
        <v>1.0413819722169286E-2</v>
      </c>
      <c r="W1594">
        <v>4.1901986136116329E-2</v>
      </c>
      <c r="X1594">
        <v>1.0025345680714507E-2</v>
      </c>
      <c r="Y1594">
        <v>1.8388741900827307E-3</v>
      </c>
    </row>
    <row r="1595" spans="1:25">
      <c r="A1595" s="876"/>
      <c r="B1595" s="1202">
        <v>1345</v>
      </c>
      <c r="C1595" s="880">
        <v>1.0032156615504437</v>
      </c>
      <c r="D1595" s="880">
        <v>0.97838453457771557</v>
      </c>
      <c r="E1595" s="880">
        <v>1.0057129406822085</v>
      </c>
      <c r="F1595" s="880">
        <v>0.98037408957529981</v>
      </c>
      <c r="G1595" s="880">
        <v>1.0387286238826585</v>
      </c>
      <c r="H1595" s="880">
        <v>1.0236412018809227</v>
      </c>
      <c r="I1595" s="880">
        <v>1.019157598954795</v>
      </c>
      <c r="K1595">
        <v>1.0816894625744375</v>
      </c>
      <c r="L1595">
        <v>0</v>
      </c>
      <c r="M1595">
        <v>7.0385481006299136E-4</v>
      </c>
      <c r="N1595">
        <v>7.1423678323313131E-2</v>
      </c>
      <c r="O1595">
        <v>8.8621520602994736E-3</v>
      </c>
      <c r="P1595">
        <v>1.2751382617510992E-2</v>
      </c>
      <c r="Q1595">
        <v>2.9915987695535756E-3</v>
      </c>
      <c r="R1595">
        <v>6.9225667198474653E-4</v>
      </c>
      <c r="S1595">
        <v>8.8654487427338932E-2</v>
      </c>
      <c r="T1595">
        <v>0.8153760772691856</v>
      </c>
      <c r="U1595">
        <v>1.685642431041939E-2</v>
      </c>
      <c r="V1595">
        <v>1.0412823190749723E-2</v>
      </c>
      <c r="W1595">
        <v>4.2526918817488574E-2</v>
      </c>
      <c r="X1595">
        <v>9.9614234678643814E-3</v>
      </c>
      <c r="Y1595">
        <v>1.8840944587918908E-3</v>
      </c>
    </row>
    <row r="1596" spans="1:25">
      <c r="A1596" s="876"/>
      <c r="B1596" s="1202">
        <v>1346</v>
      </c>
      <c r="C1596" s="880">
        <v>1.0028112947303351</v>
      </c>
      <c r="D1596" s="880">
        <v>0.97295062980291225</v>
      </c>
      <c r="E1596" s="880">
        <v>0.99242676079534897</v>
      </c>
      <c r="F1596" s="880">
        <v>0.99993619137464451</v>
      </c>
      <c r="G1596" s="880">
        <v>0.99091464601647383</v>
      </c>
      <c r="H1596" s="880">
        <v>1.038177032908614</v>
      </c>
      <c r="I1596" s="880">
        <v>0.99891825136672674</v>
      </c>
      <c r="K1596">
        <v>1.0824411038601609</v>
      </c>
      <c r="L1596">
        <v>0</v>
      </c>
      <c r="M1596">
        <v>7.365824086319995E-4</v>
      </c>
      <c r="N1596">
        <v>7.1735246498716959E-2</v>
      </c>
      <c r="O1596">
        <v>8.8921581320765743E-3</v>
      </c>
      <c r="P1596">
        <v>1.2627019094062546E-2</v>
      </c>
      <c r="Q1596">
        <v>2.9606408595640953E-3</v>
      </c>
      <c r="R1596">
        <v>7.2461986972033961E-4</v>
      </c>
      <c r="S1596">
        <v>8.7696596323700651E-2</v>
      </c>
      <c r="T1596">
        <v>0.81644916104440557</v>
      </c>
      <c r="U1596">
        <v>1.6863221380548764E-2</v>
      </c>
      <c r="V1596">
        <v>1.0412862264958758E-2</v>
      </c>
      <c r="W1596">
        <v>4.3102755449197686E-2</v>
      </c>
      <c r="X1596">
        <v>9.7412289373375455E-3</v>
      </c>
      <c r="Y1596">
        <v>1.972176414502909E-3</v>
      </c>
    </row>
    <row r="1597" spans="1:25">
      <c r="A1597" s="876"/>
      <c r="B1597" s="1202">
        <v>1347</v>
      </c>
      <c r="C1597" s="880">
        <v>0.9926538583728276</v>
      </c>
      <c r="D1597" s="880">
        <v>1.0046797059339203</v>
      </c>
      <c r="E1597" s="880">
        <v>0.96212496001329806</v>
      </c>
      <c r="F1597" s="880">
        <v>0.97122378009800525</v>
      </c>
      <c r="G1597" s="880">
        <v>0.99236939389314793</v>
      </c>
      <c r="H1597" s="880">
        <v>1.0237982809601573</v>
      </c>
      <c r="I1597" s="880">
        <v>0.99282019200743554</v>
      </c>
      <c r="K1597">
        <v>1.0775405869855506</v>
      </c>
      <c r="L1597">
        <v>0</v>
      </c>
      <c r="M1597">
        <v>7.6873733305770394E-4</v>
      </c>
      <c r="N1597">
        <v>6.8102068321787293E-2</v>
      </c>
      <c r="O1597">
        <v>8.8305636417271103E-3</v>
      </c>
      <c r="P1597">
        <v>1.2353039389340442E-2</v>
      </c>
      <c r="Q1597">
        <v>2.8577012737738242E-3</v>
      </c>
      <c r="R1597">
        <v>7.5604722151658408E-4</v>
      </c>
      <c r="S1597">
        <v>8.6140612940586198E-2</v>
      </c>
      <c r="T1597">
        <v>0.81891891970102193</v>
      </c>
      <c r="U1597">
        <v>1.7035776089837095E-2</v>
      </c>
      <c r="V1597">
        <v>1.0413854227473884E-2</v>
      </c>
      <c r="W1597">
        <v>4.1790926518992307E-2</v>
      </c>
      <c r="X1597">
        <v>9.052103686483506E-3</v>
      </c>
      <c r="Y1597">
        <v>2.0577113060685514E-3</v>
      </c>
    </row>
    <row r="1598" spans="1:25">
      <c r="A1598" s="876"/>
      <c r="B1598" s="1202">
        <v>1348</v>
      </c>
      <c r="C1598" s="880">
        <v>1.0037718999858685</v>
      </c>
      <c r="D1598" s="880">
        <v>0.99871393839214517</v>
      </c>
      <c r="E1598" s="880">
        <v>1.0038011817626284</v>
      </c>
      <c r="F1598" s="880">
        <v>1.0208272363648296</v>
      </c>
      <c r="G1598" s="880">
        <v>0.99121944719419242</v>
      </c>
      <c r="H1598" s="880">
        <v>0.97981029073749937</v>
      </c>
      <c r="I1598" s="880">
        <v>1.0206876810371996</v>
      </c>
      <c r="K1598">
        <v>1.0725319562340809</v>
      </c>
      <c r="L1598">
        <v>0</v>
      </c>
      <c r="M1598">
        <v>6.6869722089578419E-4</v>
      </c>
      <c r="N1598">
        <v>6.7401464907337505E-2</v>
      </c>
      <c r="O1598">
        <v>8.7605285587232639E-3</v>
      </c>
      <c r="P1598">
        <v>1.2702165450112782E-2</v>
      </c>
      <c r="Q1598">
        <v>2.9561912663956542E-3</v>
      </c>
      <c r="R1598">
        <v>6.5716800957591902E-4</v>
      </c>
      <c r="S1598">
        <v>8.6237561469006754E-2</v>
      </c>
      <c r="T1598">
        <v>0.81553011468044756</v>
      </c>
      <c r="U1598">
        <v>1.6847083352493186E-2</v>
      </c>
      <c r="V1598">
        <v>1.0412769492533339E-2</v>
      </c>
      <c r="W1598">
        <v>4.0184378956212047E-2</v>
      </c>
      <c r="X1598">
        <v>9.722632625448863E-3</v>
      </c>
      <c r="Y1598">
        <v>1.7885946866895166E-3</v>
      </c>
    </row>
    <row r="1599" spans="1:25">
      <c r="A1599" s="876"/>
      <c r="B1599" s="1202">
        <v>1349</v>
      </c>
      <c r="C1599" s="880">
        <v>1.033408915498486</v>
      </c>
      <c r="D1599" s="880">
        <v>0.9747245398854657</v>
      </c>
      <c r="E1599" s="880">
        <v>1.0251105772251152</v>
      </c>
      <c r="F1599" s="880">
        <v>1.0379690484378861</v>
      </c>
      <c r="G1599" s="880">
        <v>0.9921527227165442</v>
      </c>
      <c r="H1599" s="880">
        <v>1.0154192226124357</v>
      </c>
      <c r="I1599" s="880">
        <v>0.97950741891385917</v>
      </c>
      <c r="K1599">
        <v>1.0710108742785582</v>
      </c>
      <c r="L1599">
        <v>0</v>
      </c>
      <c r="M1599">
        <v>6.5191036512832255E-4</v>
      </c>
      <c r="N1599">
        <v>7.025369074033036E-2</v>
      </c>
      <c r="O1599">
        <v>8.6204761439025897E-3</v>
      </c>
      <c r="P1599">
        <v>1.2822063791489185E-2</v>
      </c>
      <c r="Q1599">
        <v>2.9659838625825464E-3</v>
      </c>
      <c r="R1599">
        <v>6.4108419860199313E-4</v>
      </c>
      <c r="S1599">
        <v>8.2588560960605004E-2</v>
      </c>
      <c r="T1599">
        <v>0.81382017529707062</v>
      </c>
      <c r="U1599">
        <v>1.6363927785348339E-2</v>
      </c>
      <c r="V1599">
        <v>1.0409991983802554E-2</v>
      </c>
      <c r="W1599">
        <v>4.1284603137920227E-2</v>
      </c>
      <c r="X1599">
        <v>1.0147406886787712E-2</v>
      </c>
      <c r="Y1599">
        <v>1.7448198552453532E-3</v>
      </c>
    </row>
    <row r="1600" spans="1:25">
      <c r="A1600" s="876"/>
      <c r="B1600" s="1202">
        <v>1350</v>
      </c>
      <c r="C1600" s="880">
        <v>0.97081360737651246</v>
      </c>
      <c r="D1600" s="880">
        <v>0.99028480346401682</v>
      </c>
      <c r="E1600" s="880">
        <v>0.98589851887523794</v>
      </c>
      <c r="F1600" s="880">
        <v>0.9656797059538913</v>
      </c>
      <c r="G1600" s="880">
        <v>0.99121458426087217</v>
      </c>
      <c r="H1600" s="880">
        <v>1.0238598941842372</v>
      </c>
      <c r="I1600" s="880">
        <v>0.98971443685398941</v>
      </c>
      <c r="K1600">
        <v>1.0849519072420164</v>
      </c>
      <c r="L1600">
        <v>0</v>
      </c>
      <c r="M1600">
        <v>7.5361079307961938E-4</v>
      </c>
      <c r="N1600">
        <v>7.1898683328788016E-2</v>
      </c>
      <c r="O1600">
        <v>9.0989960910670079E-3</v>
      </c>
      <c r="P1600">
        <v>1.2589726317028805E-2</v>
      </c>
      <c r="Q1600">
        <v>3.0135780048754293E-3</v>
      </c>
      <c r="R1600">
        <v>7.411843247483108E-4</v>
      </c>
      <c r="S1600">
        <v>8.843929414275177E-2</v>
      </c>
      <c r="T1600">
        <v>0.81697862220579243</v>
      </c>
      <c r="U1600">
        <v>1.7419027439933579E-2</v>
      </c>
      <c r="V1600">
        <v>1.0416057418419755E-2</v>
      </c>
      <c r="W1600">
        <v>4.3395838356659271E-2</v>
      </c>
      <c r="X1600">
        <v>9.6972510044132775E-3</v>
      </c>
      <c r="Y1600">
        <v>2.0172594006179143E-3</v>
      </c>
    </row>
    <row r="1601" spans="1:25">
      <c r="A1601" s="876"/>
      <c r="B1601" s="1202">
        <v>1351</v>
      </c>
      <c r="C1601" s="880">
        <v>0.97687977252316538</v>
      </c>
      <c r="D1601" s="880">
        <v>0.98634205158405841</v>
      </c>
      <c r="E1601" s="880">
        <v>0.99467238660165325</v>
      </c>
      <c r="F1601" s="880">
        <v>1.0447988395521561</v>
      </c>
      <c r="G1601" s="880">
        <v>1.0328360635261609</v>
      </c>
      <c r="H1601" s="880">
        <v>1.0061688362943135</v>
      </c>
      <c r="I1601" s="880">
        <v>0.9747782254947901</v>
      </c>
      <c r="K1601">
        <v>1.0800868285188099</v>
      </c>
      <c r="L1601">
        <v>0</v>
      </c>
      <c r="M1601">
        <v>7.2407333261679629E-4</v>
      </c>
      <c r="N1601">
        <v>7.0973098665002871E-2</v>
      </c>
      <c r="O1601">
        <v>9.0617729022134334E-3</v>
      </c>
      <c r="P1601">
        <v>1.2630290698675013E-2</v>
      </c>
      <c r="Q1601">
        <v>3.0270732279342287E-3</v>
      </c>
      <c r="R1601">
        <v>7.1192756520133452E-4</v>
      </c>
      <c r="S1601">
        <v>8.6100448763002657E-2</v>
      </c>
      <c r="T1601">
        <v>0.81626736777553488</v>
      </c>
      <c r="U1601">
        <v>1.731085988429695E-2</v>
      </c>
      <c r="V1601">
        <v>1.0415435597311626E-2</v>
      </c>
      <c r="W1601">
        <v>4.2579041053794606E-2</v>
      </c>
      <c r="X1601">
        <v>9.7959535728382313E-3</v>
      </c>
      <c r="Y1601">
        <v>1.9376321456192373E-3</v>
      </c>
    </row>
    <row r="1602" spans="1:25">
      <c r="A1602" s="876"/>
      <c r="B1602" s="1202">
        <v>1352</v>
      </c>
      <c r="C1602" s="880">
        <v>1.0122281775698205</v>
      </c>
      <c r="D1602" s="880">
        <v>0.99763364577242886</v>
      </c>
      <c r="E1602" s="880">
        <v>0.99945495155553876</v>
      </c>
      <c r="F1602" s="880">
        <v>1.0007576329963095</v>
      </c>
      <c r="G1602" s="880">
        <v>0.99836873520850267</v>
      </c>
      <c r="H1602" s="880">
        <v>0.97087038297917583</v>
      </c>
      <c r="I1602" s="880">
        <v>0.9696221187408266</v>
      </c>
      <c r="K1602">
        <v>1.0649019928593018</v>
      </c>
      <c r="L1602">
        <v>0</v>
      </c>
      <c r="M1602">
        <v>6.6348563205905636E-4</v>
      </c>
      <c r="N1602">
        <v>6.5967516914335778E-2</v>
      </c>
      <c r="O1602">
        <v>8.6923581589396642E-3</v>
      </c>
      <c r="P1602">
        <v>1.2592128545036397E-2</v>
      </c>
      <c r="Q1602">
        <v>2.920176398226232E-3</v>
      </c>
      <c r="R1602">
        <v>6.5194185829488293E-4</v>
      </c>
      <c r="S1602">
        <v>8.0975873289331993E-2</v>
      </c>
      <c r="T1602">
        <v>0.81588076867533366</v>
      </c>
      <c r="U1602">
        <v>1.6706340764541614E-2</v>
      </c>
      <c r="V1602">
        <v>1.0411960407854576E-2</v>
      </c>
      <c r="W1602">
        <v>3.9446468695651424E-2</v>
      </c>
      <c r="X1602">
        <v>9.5455739581118814E-3</v>
      </c>
      <c r="Y1602">
        <v>1.7743708257028437E-3</v>
      </c>
    </row>
    <row r="1603" spans="1:25">
      <c r="A1603" s="876"/>
      <c r="B1603" s="1202">
        <v>1353</v>
      </c>
      <c r="C1603" s="880">
        <v>0.98414391448481908</v>
      </c>
      <c r="D1603" s="880">
        <v>0.9988023718559107</v>
      </c>
      <c r="E1603" s="880">
        <v>1.0179242868101099</v>
      </c>
      <c r="F1603" s="880">
        <v>1.0221466910735788</v>
      </c>
      <c r="G1603" s="880">
        <v>1.0024234948479205</v>
      </c>
      <c r="H1603" s="880">
        <v>1.0052973839646555</v>
      </c>
      <c r="I1603" s="880">
        <v>0.99479851037638445</v>
      </c>
      <c r="K1603">
        <v>1.0792884427366749</v>
      </c>
      <c r="L1603">
        <v>0</v>
      </c>
      <c r="M1603">
        <v>6.7920298061545663E-4</v>
      </c>
      <c r="N1603">
        <v>7.1564790677167339E-2</v>
      </c>
      <c r="O1603">
        <v>8.9348285536264335E-3</v>
      </c>
      <c r="P1603">
        <v>1.2830162217200874E-2</v>
      </c>
      <c r="Q1603">
        <v>3.0578754524126757E-3</v>
      </c>
      <c r="R1603">
        <v>6.6778945196143108E-4</v>
      </c>
      <c r="S1603">
        <v>8.664445488895757E-2</v>
      </c>
      <c r="T1603">
        <v>0.81439509914073871</v>
      </c>
      <c r="U1603">
        <v>1.7183085336461998E-2</v>
      </c>
      <c r="V1603">
        <v>1.0414701061799023E-2</v>
      </c>
      <c r="W1603">
        <v>4.2259282641097844E-2</v>
      </c>
      <c r="X1603">
        <v>1.0198073544359804E-2</v>
      </c>
      <c r="Y1603">
        <v>1.8175027515053394E-3</v>
      </c>
    </row>
    <row r="1604" spans="1:25">
      <c r="A1604" s="876"/>
      <c r="B1604" s="1202">
        <v>1354</v>
      </c>
      <c r="C1604" s="880">
        <v>1.0309290432778802</v>
      </c>
      <c r="D1604" s="880">
        <v>0.99523400891859959</v>
      </c>
      <c r="E1604" s="880">
        <v>1.0014295102200803</v>
      </c>
      <c r="F1604" s="880">
        <v>1.0138878924277095</v>
      </c>
      <c r="G1604" s="880">
        <v>0.97065282251247553</v>
      </c>
      <c r="H1604" s="880">
        <v>0.98782550334368902</v>
      </c>
      <c r="I1604" s="880">
        <v>1.0111027429290154</v>
      </c>
      <c r="K1604">
        <v>1.0671441035632807</v>
      </c>
      <c r="L1604">
        <v>0</v>
      </c>
      <c r="M1604">
        <v>6.6092276304462801E-4</v>
      </c>
      <c r="N1604">
        <v>6.6137907107697527E-2</v>
      </c>
      <c r="O1604">
        <v>8.5456516195919607E-3</v>
      </c>
      <c r="P1604">
        <v>1.2640269107300676E-2</v>
      </c>
      <c r="Q1604">
        <v>2.8760748895085282E-3</v>
      </c>
      <c r="R1604">
        <v>6.496229542180057E-4</v>
      </c>
      <c r="S1604">
        <v>8.3603853301434911E-2</v>
      </c>
      <c r="T1604">
        <v>0.81572138163695318</v>
      </c>
      <c r="U1604">
        <v>1.6403290775652554E-2</v>
      </c>
      <c r="V1604">
        <v>1.0410218269199368E-2</v>
      </c>
      <c r="W1604">
        <v>3.9494976385803286E-2</v>
      </c>
      <c r="X1604">
        <v>9.5537207457335981E-3</v>
      </c>
      <c r="Y1604">
        <v>1.7680595332321069E-3</v>
      </c>
    </row>
    <row r="1605" spans="1:25">
      <c r="A1605" s="876"/>
      <c r="B1605" s="1202">
        <v>1355</v>
      </c>
      <c r="C1605" s="880">
        <v>1.001972603461923</v>
      </c>
      <c r="D1605" s="880">
        <v>1.0272373158690615</v>
      </c>
      <c r="E1605" s="880">
        <v>1.0099673362564558</v>
      </c>
      <c r="F1605" s="880">
        <v>1.03958692631382</v>
      </c>
      <c r="G1605" s="880">
        <v>1.0208328726399634</v>
      </c>
      <c r="H1605" s="880">
        <v>1.0143588438263087</v>
      </c>
      <c r="I1605" s="880">
        <v>1.0203450579699864</v>
      </c>
      <c r="K1605">
        <v>1.0752343411501311</v>
      </c>
      <c r="L1605">
        <v>0</v>
      </c>
      <c r="M1605">
        <v>6.7439513848099441E-4</v>
      </c>
      <c r="N1605">
        <v>6.9330705122601019E-2</v>
      </c>
      <c r="O1605">
        <v>8.6456121332939961E-3</v>
      </c>
      <c r="P1605">
        <v>1.275630784414131E-2</v>
      </c>
      <c r="Q1605">
        <v>2.9416292704652711E-3</v>
      </c>
      <c r="R1605">
        <v>6.6314059388658455E-4</v>
      </c>
      <c r="S1605">
        <v>8.6402978442314177E-2</v>
      </c>
      <c r="T1605">
        <v>0.81503373124781775</v>
      </c>
      <c r="U1605">
        <v>1.687733657339965E-2</v>
      </c>
      <c r="V1605">
        <v>1.0412943408743588E-2</v>
      </c>
      <c r="W1605">
        <v>4.1161384254441449E-2</v>
      </c>
      <c r="X1605">
        <v>9.878117305185681E-3</v>
      </c>
      <c r="Y1605">
        <v>1.8048500923212589E-3</v>
      </c>
    </row>
    <row r="1606" spans="1:25">
      <c r="A1606" s="876"/>
      <c r="B1606" s="1202">
        <v>1356</v>
      </c>
      <c r="C1606" s="880">
        <v>0.99530809689596245</v>
      </c>
      <c r="D1606" s="880">
        <v>1.0064402712271752</v>
      </c>
      <c r="E1606" s="880">
        <v>1.0163900811042277</v>
      </c>
      <c r="F1606" s="880">
        <v>0.97397730304580166</v>
      </c>
      <c r="G1606" s="880">
        <v>0.97363704887087221</v>
      </c>
      <c r="H1606" s="880">
        <v>0.96757254666883408</v>
      </c>
      <c r="I1606" s="880">
        <v>0.98388743817353086</v>
      </c>
      <c r="K1606">
        <v>1.068928723134646</v>
      </c>
      <c r="L1606">
        <v>0</v>
      </c>
      <c r="M1606">
        <v>6.4585768097184164E-4</v>
      </c>
      <c r="N1606">
        <v>6.7681899957868705E-2</v>
      </c>
      <c r="O1606">
        <v>8.7988001413094839E-3</v>
      </c>
      <c r="P1606">
        <v>1.2765516418140797E-2</v>
      </c>
      <c r="Q1606">
        <v>3.0084335222599961E-3</v>
      </c>
      <c r="R1606">
        <v>6.3457503779962472E-4</v>
      </c>
      <c r="S1606">
        <v>8.308323946692471E-2</v>
      </c>
      <c r="T1606">
        <v>0.81451806805439508</v>
      </c>
      <c r="U1606">
        <v>1.6990345922725872E-2</v>
      </c>
      <c r="V1606">
        <v>1.0413593063794161E-2</v>
      </c>
      <c r="W1606">
        <v>4.0007899292202019E-2</v>
      </c>
      <c r="X1606">
        <v>9.9451058729123319E-3</v>
      </c>
      <c r="Y1606">
        <v>1.7271040652855883E-3</v>
      </c>
    </row>
    <row r="1607" spans="1:25">
      <c r="A1607" s="876"/>
      <c r="B1607" s="1202">
        <v>1357</v>
      </c>
      <c r="C1607" s="880">
        <v>1.0099311554240016</v>
      </c>
      <c r="D1607" s="880">
        <v>1.0127505297810604</v>
      </c>
      <c r="E1607" s="880">
        <v>0.9683748192011199</v>
      </c>
      <c r="F1607" s="880">
        <v>0.98947738451380518</v>
      </c>
      <c r="G1607" s="880">
        <v>1.004638725358161</v>
      </c>
      <c r="H1607" s="880">
        <v>0.99690229594669499</v>
      </c>
      <c r="I1607" s="880">
        <v>0.99997326389057162</v>
      </c>
      <c r="K1607">
        <v>1.0694881811072812</v>
      </c>
      <c r="L1607">
        <v>0</v>
      </c>
      <c r="M1607">
        <v>7.2308685707764123E-4</v>
      </c>
      <c r="N1607">
        <v>6.5288684218296478E-2</v>
      </c>
      <c r="O1607">
        <v>8.642571802920912E-3</v>
      </c>
      <c r="P1607">
        <v>1.237334283427525E-2</v>
      </c>
      <c r="Q1607">
        <v>2.8165115452661034E-3</v>
      </c>
      <c r="R1607">
        <v>7.1082111214529028E-4</v>
      </c>
      <c r="S1607">
        <v>8.3992122052453475E-2</v>
      </c>
      <c r="T1607">
        <v>0.81840698343847784</v>
      </c>
      <c r="U1607">
        <v>1.6744338240414759E-2</v>
      </c>
      <c r="V1607">
        <v>1.04121788433403E-2</v>
      </c>
      <c r="W1607">
        <v>3.9889312744796346E-2</v>
      </c>
      <c r="X1607">
        <v>8.9997803868290729E-3</v>
      </c>
      <c r="Y1607">
        <v>1.9346207451428365E-3</v>
      </c>
    </row>
    <row r="1608" spans="1:25">
      <c r="A1608" s="876"/>
      <c r="B1608" s="1202">
        <v>1358</v>
      </c>
      <c r="C1608" s="880">
        <v>0.97022710639837895</v>
      </c>
      <c r="D1608" s="880">
        <v>0.95181464650117131</v>
      </c>
      <c r="E1608" s="880">
        <v>0.98230316828578046</v>
      </c>
      <c r="F1608" s="880">
        <v>0.99676794702710858</v>
      </c>
      <c r="G1608" s="880">
        <v>1.018617849546227</v>
      </c>
      <c r="H1608" s="880">
        <v>0.99364133383156539</v>
      </c>
      <c r="I1608" s="880">
        <v>1.0120324301268135</v>
      </c>
      <c r="K1608">
        <v>1.0868719459906155</v>
      </c>
      <c r="L1608">
        <v>0</v>
      </c>
      <c r="M1608">
        <v>7.5311127490625823E-4</v>
      </c>
      <c r="N1608">
        <v>7.1018260004812997E-2</v>
      </c>
      <c r="O1608">
        <v>9.2994707335648623E-3</v>
      </c>
      <c r="P1608">
        <v>1.2595955502657524E-2</v>
      </c>
      <c r="Q1608">
        <v>3.0595812125264275E-3</v>
      </c>
      <c r="R1608">
        <v>7.4035303367469565E-4</v>
      </c>
      <c r="S1608">
        <v>9.1142199422342321E-2</v>
      </c>
      <c r="T1608">
        <v>0.81727083324833705</v>
      </c>
      <c r="U1608">
        <v>1.7429557218543449E-2</v>
      </c>
      <c r="V1608">
        <v>1.0416117950790725E-2</v>
      </c>
      <c r="W1608">
        <v>4.2971204655955927E-2</v>
      </c>
      <c r="X1608">
        <v>9.6665273819645063E-3</v>
      </c>
      <c r="Y1608">
        <v>2.014996900350563E-3</v>
      </c>
    </row>
    <row r="1609" spans="1:25">
      <c r="A1609" s="876"/>
      <c r="B1609" s="1202">
        <v>1359</v>
      </c>
      <c r="C1609" s="880">
        <v>1.0015190603312127</v>
      </c>
      <c r="D1609" s="880">
        <v>0.97198874420761283</v>
      </c>
      <c r="E1609" s="880">
        <v>0.9996585634848133</v>
      </c>
      <c r="F1609" s="880">
        <v>1.0054497902977093</v>
      </c>
      <c r="G1609" s="880">
        <v>0.99209720581102678</v>
      </c>
      <c r="H1609" s="880">
        <v>0.95333574654668352</v>
      </c>
      <c r="I1609" s="880">
        <v>0.98214679625997059</v>
      </c>
      <c r="K1609">
        <v>1.0685195822730762</v>
      </c>
      <c r="L1609">
        <v>0</v>
      </c>
      <c r="M1609">
        <v>6.6738253309529957E-4</v>
      </c>
      <c r="N1609">
        <v>6.6377695352000082E-2</v>
      </c>
      <c r="O1609">
        <v>8.9083415842761294E-3</v>
      </c>
      <c r="P1609">
        <v>1.2628775195713503E-2</v>
      </c>
      <c r="Q1609">
        <v>2.9874927950961807E-3</v>
      </c>
      <c r="R1609">
        <v>6.555801292761576E-4</v>
      </c>
      <c r="S1609">
        <v>8.3358060263334005E-2</v>
      </c>
      <c r="T1609">
        <v>0.81586432692599498</v>
      </c>
      <c r="U1609">
        <v>1.6884979563304436E-2</v>
      </c>
      <c r="V1609">
        <v>1.0412987345878205E-2</v>
      </c>
      <c r="W1609">
        <v>3.9686211139063142E-2</v>
      </c>
      <c r="X1609">
        <v>9.6382415122754622E-3</v>
      </c>
      <c r="Y1609">
        <v>1.7842729999581663E-3</v>
      </c>
    </row>
    <row r="1610" spans="1:25">
      <c r="A1610" s="876"/>
      <c r="B1610" s="1202">
        <v>1360</v>
      </c>
      <c r="C1610" s="880">
        <v>1.0066257432097581</v>
      </c>
      <c r="D1610" s="880">
        <v>0.95886322314287242</v>
      </c>
      <c r="E1610" s="880">
        <v>0.96508761590790204</v>
      </c>
      <c r="F1610" s="880">
        <v>0.99251991203262979</v>
      </c>
      <c r="G1610" s="880">
        <v>1.0067593885232382</v>
      </c>
      <c r="H1610" s="880">
        <v>0.97317767619119511</v>
      </c>
      <c r="I1610" s="880">
        <v>0.99590531098599533</v>
      </c>
      <c r="K1610">
        <v>1.0722009428802382</v>
      </c>
      <c r="L1610">
        <v>0</v>
      </c>
      <c r="M1610">
        <v>7.3416709182540002E-4</v>
      </c>
      <c r="N1610">
        <v>6.5590079588912775E-2</v>
      </c>
      <c r="O1610">
        <v>8.9278601787380688E-3</v>
      </c>
      <c r="P1610">
        <v>1.2364931872967631E-2</v>
      </c>
      <c r="Q1610">
        <v>2.8878141085739838E-3</v>
      </c>
      <c r="R1610">
        <v>7.2146123181077377E-4</v>
      </c>
      <c r="S1610">
        <v>8.5387741915906742E-2</v>
      </c>
      <c r="T1610">
        <v>0.81867607953627797</v>
      </c>
      <c r="U1610">
        <v>1.6799320879705121E-2</v>
      </c>
      <c r="V1610">
        <v>1.0412494921165036E-2</v>
      </c>
      <c r="W1610">
        <v>4.0165825030660927E-2</v>
      </c>
      <c r="X1610">
        <v>9.0379210639870613E-3</v>
      </c>
      <c r="Y1610">
        <v>1.9635796433577777E-3</v>
      </c>
    </row>
    <row r="1611" spans="1:25">
      <c r="A1611" s="876"/>
      <c r="B1611" s="1202">
        <v>1361</v>
      </c>
      <c r="C1611" s="880">
        <v>0.97671710774467013</v>
      </c>
      <c r="D1611" s="880">
        <v>0.97101404063926045</v>
      </c>
      <c r="E1611" s="880">
        <v>0.99214906022661731</v>
      </c>
      <c r="F1611" s="880">
        <v>1.0226329557407432</v>
      </c>
      <c r="G1611" s="880">
        <v>1.008268527922958</v>
      </c>
      <c r="H1611" s="880">
        <v>0.99791404252500882</v>
      </c>
      <c r="I1611" s="880">
        <v>1.0000005764866486</v>
      </c>
      <c r="K1611">
        <v>1.0828255480215292</v>
      </c>
      <c r="L1611">
        <v>0</v>
      </c>
      <c r="M1611">
        <v>7.2812969834197929E-4</v>
      </c>
      <c r="N1611">
        <v>7.0803757410866669E-2</v>
      </c>
      <c r="O1611">
        <v>9.1394547485166497E-3</v>
      </c>
      <c r="P1611">
        <v>1.2644853517711958E-2</v>
      </c>
      <c r="Q1611">
        <v>3.0416669838888057E-3</v>
      </c>
      <c r="R1611">
        <v>7.1582914283761605E-4</v>
      </c>
      <c r="S1611">
        <v>8.8729793808031268E-2</v>
      </c>
      <c r="T1611">
        <v>0.81647165401283028</v>
      </c>
      <c r="U1611">
        <v>1.7313742875867719E-2</v>
      </c>
      <c r="V1611">
        <v>1.0415452170719458E-2</v>
      </c>
      <c r="W1611">
        <v>4.2551190269956268E-2</v>
      </c>
      <c r="X1611">
        <v>9.7780318248524428E-3</v>
      </c>
      <c r="Y1611">
        <v>1.9482509537904736E-3</v>
      </c>
    </row>
    <row r="1612" spans="1:25">
      <c r="A1612" s="876"/>
      <c r="B1612" s="1202">
        <v>1362</v>
      </c>
      <c r="C1612" s="880">
        <v>1.0311325851054089</v>
      </c>
      <c r="D1612" s="880">
        <v>1.0087436562283949</v>
      </c>
      <c r="E1612" s="880">
        <v>0.98714247032288371</v>
      </c>
      <c r="F1612" s="880">
        <v>1.0012420851420256</v>
      </c>
      <c r="G1612" s="880">
        <v>1.0025642269022961</v>
      </c>
      <c r="H1612" s="880">
        <v>1.0119850874256662</v>
      </c>
      <c r="I1612" s="880">
        <v>1.0170860695212367</v>
      </c>
      <c r="K1612">
        <v>1.0693544412403349</v>
      </c>
      <c r="L1612">
        <v>0</v>
      </c>
      <c r="M1612">
        <v>6.9262704482124851E-4</v>
      </c>
      <c r="N1612">
        <v>6.6322403169258998E-2</v>
      </c>
      <c r="O1612">
        <v>8.482764826738683E-3</v>
      </c>
      <c r="P1612">
        <v>1.2531317266734928E-2</v>
      </c>
      <c r="Q1612">
        <v>2.8169082815896161E-3</v>
      </c>
      <c r="R1612">
        <v>6.8105645345369688E-4</v>
      </c>
      <c r="S1612">
        <v>8.4367603012903455E-2</v>
      </c>
      <c r="T1612">
        <v>0.81687762237914352</v>
      </c>
      <c r="U1612">
        <v>1.6400052825625372E-2</v>
      </c>
      <c r="V1612">
        <v>1.0410199655247504E-2</v>
      </c>
      <c r="W1612">
        <v>3.9995786597399968E-2</v>
      </c>
      <c r="X1612">
        <v>9.3077426609591476E-3</v>
      </c>
      <c r="Y1612">
        <v>1.8536111561014202E-3</v>
      </c>
    </row>
    <row r="1613" spans="1:25">
      <c r="A1613" s="876"/>
      <c r="B1613" s="1202">
        <v>1363</v>
      </c>
      <c r="C1613" s="880">
        <v>0.96462798109755732</v>
      </c>
      <c r="D1613" s="880">
        <v>1.0431857287490907</v>
      </c>
      <c r="E1613" s="880">
        <v>1.0331465735011367</v>
      </c>
      <c r="F1613" s="880">
        <v>0.97394097032984939</v>
      </c>
      <c r="G1613" s="880">
        <v>1.0320916724209082</v>
      </c>
      <c r="H1613" s="880">
        <v>1.0068034438735647</v>
      </c>
      <c r="I1613" s="880">
        <v>1.0001351425010174</v>
      </c>
      <c r="K1613">
        <v>1.0803222157825239</v>
      </c>
      <c r="L1613">
        <v>0</v>
      </c>
      <c r="M1613">
        <v>6.5666866913464072E-4</v>
      </c>
      <c r="N1613">
        <v>7.253745606342038E-2</v>
      </c>
      <c r="O1613">
        <v>8.9070818157751201E-3</v>
      </c>
      <c r="P1613">
        <v>1.2966786263229044E-2</v>
      </c>
      <c r="Q1613">
        <v>3.1046963883088374E-3</v>
      </c>
      <c r="R1613">
        <v>6.4561540140912793E-4</v>
      </c>
      <c r="S1613">
        <v>8.7026341812325991E-2</v>
      </c>
      <c r="T1613">
        <v>0.81317935937328079</v>
      </c>
      <c r="U1613">
        <v>1.7530726038769269E-2</v>
      </c>
      <c r="V1613">
        <v>1.0416699538379825E-2</v>
      </c>
      <c r="W1613">
        <v>4.2397590709706348E-2</v>
      </c>
      <c r="X1613">
        <v>1.0509378751477633E-2</v>
      </c>
      <c r="Y1613">
        <v>1.7571522955757703E-3</v>
      </c>
    </row>
    <row r="1614" spans="1:25">
      <c r="A1614" s="876"/>
      <c r="B1614" s="1202">
        <v>1364</v>
      </c>
      <c r="C1614" s="880">
        <v>0.9748226602212251</v>
      </c>
      <c r="D1614" s="880">
        <v>1.0077259957399822</v>
      </c>
      <c r="E1614" s="880">
        <v>1.0141924198900716</v>
      </c>
      <c r="F1614" s="880">
        <v>1.0032483515954567</v>
      </c>
      <c r="G1614" s="880">
        <v>0.97548690335879873</v>
      </c>
      <c r="H1614" s="880">
        <v>1.0197707818883561</v>
      </c>
      <c r="I1614" s="880">
        <v>1.0224676410200584</v>
      </c>
      <c r="K1614">
        <v>1.0851839451319183</v>
      </c>
      <c r="L1614">
        <v>0</v>
      </c>
      <c r="M1614">
        <v>6.97762585186793E-4</v>
      </c>
      <c r="N1614">
        <v>7.2689517572950932E-2</v>
      </c>
      <c r="O1614">
        <v>8.9775927331832931E-3</v>
      </c>
      <c r="P1614">
        <v>1.2848320729864401E-2</v>
      </c>
      <c r="Q1614">
        <v>3.0631399899046377E-3</v>
      </c>
      <c r="R1614">
        <v>6.861960505147916E-4</v>
      </c>
      <c r="S1614">
        <v>9.0049099832404098E-2</v>
      </c>
      <c r="T1614">
        <v>0.81469435365479881</v>
      </c>
      <c r="U1614">
        <v>1.7347389998212306E-2</v>
      </c>
      <c r="V1614">
        <v>1.0415645597396966E-2</v>
      </c>
      <c r="W1614">
        <v>4.3031960614394793E-2</v>
      </c>
      <c r="X1614">
        <v>1.0210891498444993E-2</v>
      </c>
      <c r="Y1614">
        <v>1.8675994450340046E-3</v>
      </c>
    </row>
    <row r="1615" spans="1:25">
      <c r="A1615" s="876"/>
      <c r="B1615" s="1202">
        <v>1365</v>
      </c>
      <c r="C1615" s="880">
        <v>0.996543214941633</v>
      </c>
      <c r="D1615" s="880">
        <v>1.0203995654532152</v>
      </c>
      <c r="E1615" s="880">
        <v>1.0210944105080364</v>
      </c>
      <c r="F1615" s="880">
        <v>1.0094006042162378</v>
      </c>
      <c r="G1615" s="880">
        <v>1.0280596751728908</v>
      </c>
      <c r="H1615" s="880">
        <v>1.018207675568797</v>
      </c>
      <c r="I1615" s="880">
        <v>0.96816235433492015</v>
      </c>
      <c r="K1615">
        <v>1.0736610040001509</v>
      </c>
      <c r="L1615">
        <v>0</v>
      </c>
      <c r="M1615">
        <v>6.6720238298060013E-4</v>
      </c>
      <c r="N1615">
        <v>7.1009612140947559E-2</v>
      </c>
      <c r="O1615">
        <v>8.7236604088092862E-3</v>
      </c>
      <c r="P1615">
        <v>1.280077559312506E-2</v>
      </c>
      <c r="Q1615">
        <v>2.999801214880709E-3</v>
      </c>
      <c r="R1615">
        <v>6.5611534532102717E-4</v>
      </c>
      <c r="S1615">
        <v>8.2837131848545145E-2</v>
      </c>
      <c r="T1615">
        <v>0.81414126307862511</v>
      </c>
      <c r="U1615">
        <v>1.6969288047325479E-2</v>
      </c>
      <c r="V1615">
        <v>1.0413472008720488E-2</v>
      </c>
      <c r="W1615">
        <v>4.1841816107261537E-2</v>
      </c>
      <c r="X1615">
        <v>1.014954090797209E-2</v>
      </c>
      <c r="Y1615">
        <v>1.7857296815983797E-3</v>
      </c>
    </row>
    <row r="1616" spans="1:25">
      <c r="A1616" s="876"/>
      <c r="B1616" s="1202">
        <v>1366</v>
      </c>
      <c r="C1616" s="880">
        <v>1.0182537117449144</v>
      </c>
      <c r="D1616" s="880">
        <v>1.0130468047566137</v>
      </c>
      <c r="E1616" s="880">
        <v>1.0120586882714566</v>
      </c>
      <c r="F1616" s="880">
        <v>0.97248776487136745</v>
      </c>
      <c r="G1616" s="880">
        <v>1.0166364294425005</v>
      </c>
      <c r="H1616" s="880">
        <v>0.99972777206408392</v>
      </c>
      <c r="I1616" s="880">
        <v>1.0262613078568052</v>
      </c>
      <c r="K1616">
        <v>1.0713800604552561</v>
      </c>
      <c r="L1616">
        <v>0</v>
      </c>
      <c r="M1616">
        <v>6.5598873340636714E-4</v>
      </c>
      <c r="N1616">
        <v>6.786262536407181E-2</v>
      </c>
      <c r="O1616">
        <v>8.5705976037529184E-3</v>
      </c>
      <c r="P1616">
        <v>1.2758728731669432E-2</v>
      </c>
      <c r="Q1616">
        <v>2.9191967844966241E-3</v>
      </c>
      <c r="R1616">
        <v>6.4489238824719946E-4</v>
      </c>
      <c r="S1616">
        <v>8.5584305815598394E-2</v>
      </c>
      <c r="T1616">
        <v>0.81486566853829889</v>
      </c>
      <c r="U1616">
        <v>1.6607480700437376E-2</v>
      </c>
      <c r="V1616">
        <v>1.0411392092575114E-2</v>
      </c>
      <c r="W1616">
        <v>4.02326180506902E-2</v>
      </c>
      <c r="X1616">
        <v>9.8233586267332217E-3</v>
      </c>
      <c r="Y1616">
        <v>1.7551844920902259E-3</v>
      </c>
    </row>
    <row r="1617" spans="1:25">
      <c r="A1617" s="876"/>
      <c r="B1617" s="1202">
        <v>1367</v>
      </c>
      <c r="C1617" s="880">
        <v>1.0001677306072509</v>
      </c>
      <c r="D1617" s="880">
        <v>1.0451842734945993</v>
      </c>
      <c r="E1617" s="880">
        <v>0.99501573054722281</v>
      </c>
      <c r="F1617" s="880">
        <v>1.0026468011865624</v>
      </c>
      <c r="G1617" s="880">
        <v>1.0015764330410852</v>
      </c>
      <c r="H1617" s="880">
        <v>1.0133653339300335</v>
      </c>
      <c r="I1617" s="880">
        <v>0.99019224801052985</v>
      </c>
      <c r="K1617">
        <v>1.0705670296683607</v>
      </c>
      <c r="L1617">
        <v>0</v>
      </c>
      <c r="M1617">
        <v>6.901816089473924E-4</v>
      </c>
      <c r="N1617">
        <v>6.7726734200970737E-2</v>
      </c>
      <c r="O1617">
        <v>8.5818517726464968E-3</v>
      </c>
      <c r="P1617">
        <v>1.2588864697507638E-2</v>
      </c>
      <c r="Q1617">
        <v>2.8801053447874039E-3</v>
      </c>
      <c r="R1617">
        <v>6.7863787459866731E-4</v>
      </c>
      <c r="S1617">
        <v>8.3247607642220528E-2</v>
      </c>
      <c r="T1617">
        <v>0.81623958765914795</v>
      </c>
      <c r="U1617">
        <v>1.6907792911580025E-2</v>
      </c>
      <c r="V1617">
        <v>1.0413118492610878E-2</v>
      </c>
      <c r="W1617">
        <v>4.062186389394528E-2</v>
      </c>
      <c r="X1617">
        <v>9.5240182055505423E-3</v>
      </c>
      <c r="Y1617">
        <v>1.8470285817423348E-3</v>
      </c>
    </row>
    <row r="1618" spans="1:25">
      <c r="A1618" s="876"/>
      <c r="B1618" s="1202">
        <v>1368</v>
      </c>
      <c r="C1618" s="880">
        <v>1.0280862925923939</v>
      </c>
      <c r="D1618" s="880">
        <v>1.0414945577107011</v>
      </c>
      <c r="E1618" s="880">
        <v>1.0299444341547086</v>
      </c>
      <c r="F1618" s="880">
        <v>1.0216916537391214</v>
      </c>
      <c r="G1618" s="880">
        <v>1.0158102035062158</v>
      </c>
      <c r="H1618" s="880">
        <v>0.99734527826009312</v>
      </c>
      <c r="I1618" s="880">
        <v>0.96351467927098156</v>
      </c>
      <c r="K1618">
        <v>1.0610737357958304</v>
      </c>
      <c r="L1618">
        <v>0</v>
      </c>
      <c r="M1618">
        <v>6.1502602328109652E-4</v>
      </c>
      <c r="N1618">
        <v>6.7254822448135174E-2</v>
      </c>
      <c r="O1618">
        <v>8.3645004170643522E-3</v>
      </c>
      <c r="P1618">
        <v>1.2804938999509604E-2</v>
      </c>
      <c r="Q1618">
        <v>2.9060175106967552E-3</v>
      </c>
      <c r="R1618">
        <v>6.0457674664423906E-4</v>
      </c>
      <c r="S1618">
        <v>7.8417991836114601E-2</v>
      </c>
      <c r="T1618">
        <v>0.81343444395463693</v>
      </c>
      <c r="U1618">
        <v>1.6448647343902414E-2</v>
      </c>
      <c r="V1618">
        <v>1.0410479009782484E-2</v>
      </c>
      <c r="W1618">
        <v>3.9394283183896456E-2</v>
      </c>
      <c r="X1618">
        <v>1.0002601763034262E-2</v>
      </c>
      <c r="Y1618">
        <v>1.6454586056946503E-3</v>
      </c>
    </row>
    <row r="1619" spans="1:25">
      <c r="A1619" s="876"/>
      <c r="B1619" s="1202">
        <v>1369</v>
      </c>
      <c r="C1619" s="880">
        <v>1.0181546450976562</v>
      </c>
      <c r="D1619" s="880">
        <v>0.96933738863276642</v>
      </c>
      <c r="E1619" s="880">
        <v>0.99948004433638193</v>
      </c>
      <c r="F1619" s="880">
        <v>1.0032057256763351</v>
      </c>
      <c r="G1619" s="880">
        <v>0.96149015441584418</v>
      </c>
      <c r="H1619" s="880">
        <v>1.0093644716195653</v>
      </c>
      <c r="I1619" s="880">
        <v>0.9653509300665255</v>
      </c>
      <c r="K1619">
        <v>1.0721462623724904</v>
      </c>
      <c r="L1619">
        <v>0</v>
      </c>
      <c r="M1619">
        <v>6.9633559422231119E-4</v>
      </c>
      <c r="N1619">
        <v>6.9288315173343815E-2</v>
      </c>
      <c r="O1619">
        <v>8.7755983065689238E-3</v>
      </c>
      <c r="P1619">
        <v>1.2613636876568071E-2</v>
      </c>
      <c r="Q1619">
        <v>2.9418399515883558E-3</v>
      </c>
      <c r="R1619">
        <v>6.8470708995105269E-4</v>
      </c>
      <c r="S1619">
        <v>8.2634949319181639E-2</v>
      </c>
      <c r="T1619">
        <v>0.81587874234658331</v>
      </c>
      <c r="U1619">
        <v>1.6609096611576547E-2</v>
      </c>
      <c r="V1619">
        <v>1.0411401381937803E-2</v>
      </c>
      <c r="W1619">
        <v>4.1431488388653216E-2</v>
      </c>
      <c r="X1619">
        <v>9.7092755355433422E-3</v>
      </c>
      <c r="Y1619">
        <v>1.8635469852152247E-3</v>
      </c>
    </row>
    <row r="1620" spans="1:25">
      <c r="A1620" s="876"/>
      <c r="B1620" s="1202">
        <v>1370</v>
      </c>
      <c r="C1620" s="880">
        <v>0.99734220634224058</v>
      </c>
      <c r="D1620" s="880">
        <v>1.0300954172097743</v>
      </c>
      <c r="E1620" s="880">
        <v>1.0044204094487037</v>
      </c>
      <c r="F1620" s="880">
        <v>1.0168234943037424</v>
      </c>
      <c r="G1620" s="880">
        <v>0.98257689187836206</v>
      </c>
      <c r="H1620" s="880">
        <v>1.0316236389810465</v>
      </c>
      <c r="I1620" s="880">
        <v>1.0117054095957452</v>
      </c>
      <c r="K1620">
        <v>1.0777171992262842</v>
      </c>
      <c r="L1620">
        <v>0</v>
      </c>
      <c r="M1620">
        <v>6.9613635164709163E-4</v>
      </c>
      <c r="N1620">
        <v>7.0361760820774014E-2</v>
      </c>
      <c r="O1620">
        <v>8.67292614977439E-3</v>
      </c>
      <c r="P1620">
        <v>1.2713340782134651E-2</v>
      </c>
      <c r="Q1620">
        <v>2.9351817820516273E-3</v>
      </c>
      <c r="R1620">
        <v>6.8471110286617745E-4</v>
      </c>
      <c r="S1620">
        <v>8.6566811354986214E-2</v>
      </c>
      <c r="T1620">
        <v>0.8154802076311457</v>
      </c>
      <c r="U1620">
        <v>1.6955693600867686E-2</v>
      </c>
      <c r="V1620">
        <v>1.0413393858542196E-2</v>
      </c>
      <c r="W1620">
        <v>4.193157164008917E-2</v>
      </c>
      <c r="X1620">
        <v>9.8341789476510538E-3</v>
      </c>
      <c r="Y1620">
        <v>1.8635579070473381E-3</v>
      </c>
    </row>
    <row r="1621" spans="1:25">
      <c r="A1621" s="876"/>
      <c r="B1621" s="1202">
        <v>1371</v>
      </c>
      <c r="C1621" s="880">
        <v>0.98966069974305104</v>
      </c>
      <c r="D1621" s="880">
        <v>0.99151015394069641</v>
      </c>
      <c r="E1621" s="880">
        <v>0.9966251494517735</v>
      </c>
      <c r="F1621" s="880">
        <v>0.98148810746221971</v>
      </c>
      <c r="G1621" s="880">
        <v>1.0073040761095517</v>
      </c>
      <c r="H1621" s="880">
        <v>0.98137818538585897</v>
      </c>
      <c r="I1621" s="880">
        <v>0.98200952340846925</v>
      </c>
      <c r="K1621">
        <v>1.0732969083514619</v>
      </c>
      <c r="L1621">
        <v>0</v>
      </c>
      <c r="M1621">
        <v>6.9232398702517145E-4</v>
      </c>
      <c r="N1621">
        <v>6.8244830581678351E-2</v>
      </c>
      <c r="O1621">
        <v>8.9198256790843887E-3</v>
      </c>
      <c r="P1621">
        <v>1.2621970303094391E-2</v>
      </c>
      <c r="Q1621">
        <v>2.9866957217131863E-3</v>
      </c>
      <c r="R1621">
        <v>6.8041283659380674E-4</v>
      </c>
      <c r="S1621">
        <v>8.451256058215327E-2</v>
      </c>
      <c r="T1621">
        <v>0.81610942218040328</v>
      </c>
      <c r="U1621">
        <v>1.7087299586962406E-2</v>
      </c>
      <c r="V1621">
        <v>1.0414150419783028E-2</v>
      </c>
      <c r="W1621">
        <v>4.0887430172860402E-2</v>
      </c>
      <c r="X1621">
        <v>9.6727748309837821E-3</v>
      </c>
      <c r="Y1621">
        <v>1.85185944317704E-3</v>
      </c>
    </row>
    <row r="1622" spans="1:25">
      <c r="A1622" s="876"/>
      <c r="B1622" s="1202">
        <v>1372</v>
      </c>
      <c r="C1622" s="880">
        <v>1.0022194594188936</v>
      </c>
      <c r="D1622" s="880">
        <v>0.99260861745337259</v>
      </c>
      <c r="E1622" s="880">
        <v>1.0119179259834234</v>
      </c>
      <c r="F1622" s="880">
        <v>1.0000373240363751</v>
      </c>
      <c r="G1622" s="880">
        <v>1.0047432830964589</v>
      </c>
      <c r="H1622" s="880">
        <v>0.97983507396044889</v>
      </c>
      <c r="I1622" s="880">
        <v>1.0409714858363985</v>
      </c>
      <c r="K1622">
        <v>1.0755576181872131</v>
      </c>
      <c r="L1622">
        <v>0</v>
      </c>
      <c r="M1622">
        <v>6.605376077513474E-4</v>
      </c>
      <c r="N1622">
        <v>6.8281249447653736E-2</v>
      </c>
      <c r="O1622">
        <v>8.8028485575988094E-3</v>
      </c>
      <c r="P1622">
        <v>1.2799426923714432E-2</v>
      </c>
      <c r="Q1622">
        <v>2.9933267370393E-3</v>
      </c>
      <c r="R1622">
        <v>6.4915450304167883E-4</v>
      </c>
      <c r="S1622">
        <v>8.835793872003439E-2</v>
      </c>
      <c r="T1622">
        <v>0.81487697563361594</v>
      </c>
      <c r="U1622">
        <v>1.6873179528720712E-2</v>
      </c>
      <c r="V1622">
        <v>1.0412919511206925E-2</v>
      </c>
      <c r="W1622">
        <v>4.048466760505251E-2</v>
      </c>
      <c r="X1622">
        <v>9.9196840637289577E-3</v>
      </c>
      <c r="Y1622">
        <v>1.7667845635550344E-3</v>
      </c>
    </row>
    <row r="1623" spans="1:25">
      <c r="A1623" s="876"/>
      <c r="B1623" s="1202">
        <v>1373</v>
      </c>
      <c r="C1623" s="880">
        <v>1.0185927834430295</v>
      </c>
      <c r="D1623" s="880">
        <v>1.0004155943187159</v>
      </c>
      <c r="E1623" s="880">
        <v>1.0101450495673798</v>
      </c>
      <c r="F1623" s="880">
        <v>1.0151893720162763</v>
      </c>
      <c r="G1623" s="880">
        <v>0.9944300229949441</v>
      </c>
      <c r="H1623" s="880">
        <v>1.0182263053292111</v>
      </c>
      <c r="I1623" s="880">
        <v>0.99560452701045032</v>
      </c>
      <c r="K1623">
        <v>1.0728124827704393</v>
      </c>
      <c r="L1623">
        <v>0</v>
      </c>
      <c r="M1623">
        <v>6.7509458659899073E-4</v>
      </c>
      <c r="N1623">
        <v>6.9447706650953955E-2</v>
      </c>
      <c r="O1623">
        <v>8.6252256412714928E-3</v>
      </c>
      <c r="P1623">
        <v>1.2723225202301134E-2</v>
      </c>
      <c r="Q1623">
        <v>2.9294536980869999E-3</v>
      </c>
      <c r="R1623">
        <v>6.6389281561121433E-4</v>
      </c>
      <c r="S1623">
        <v>8.4166355897924233E-2</v>
      </c>
      <c r="T1623">
        <v>0.81501944427637785</v>
      </c>
      <c r="U1623">
        <v>1.6601952360973317E-2</v>
      </c>
      <c r="V1623">
        <v>1.0411360311897887E-2</v>
      </c>
      <c r="W1623">
        <v>4.1225869345232292E-2</v>
      </c>
      <c r="X1623">
        <v>9.8661937645214814E-3</v>
      </c>
      <c r="Y1623">
        <v>1.8068973918858766E-3</v>
      </c>
    </row>
    <row r="1624" spans="1:25">
      <c r="A1624" s="876"/>
      <c r="B1624" s="1202">
        <v>1374</v>
      </c>
      <c r="C1624" s="880">
        <v>1.0105073835540521</v>
      </c>
      <c r="D1624" s="880">
        <v>0.99925416697309188</v>
      </c>
      <c r="E1624" s="880">
        <v>0.97644548457720892</v>
      </c>
      <c r="F1624" s="880">
        <v>0.99233896653509679</v>
      </c>
      <c r="G1624" s="880">
        <v>0.98161183343697211</v>
      </c>
      <c r="H1624" s="880">
        <v>0.99928320655507219</v>
      </c>
      <c r="I1624" s="880">
        <v>1.0151365997747883</v>
      </c>
      <c r="K1624">
        <v>1.0726773395352502</v>
      </c>
      <c r="L1624">
        <v>0</v>
      </c>
      <c r="M1624">
        <v>7.1734392752892319E-4</v>
      </c>
      <c r="N1624">
        <v>6.6424300432030944E-2</v>
      </c>
      <c r="O1624">
        <v>8.6996263219558164E-3</v>
      </c>
      <c r="P1624">
        <v>1.2466319485562366E-2</v>
      </c>
      <c r="Q1624">
        <v>2.8557007245437523E-3</v>
      </c>
      <c r="R1624">
        <v>7.052165145285549E-4</v>
      </c>
      <c r="S1624">
        <v>8.5873637104072531E-2</v>
      </c>
      <c r="T1624">
        <v>0.81774785179610354</v>
      </c>
      <c r="U1624">
        <v>1.6734790008635148E-2</v>
      </c>
      <c r="V1624">
        <v>1.0412123953572017E-2</v>
      </c>
      <c r="W1624">
        <v>4.0355292251389827E-2</v>
      </c>
      <c r="X1624">
        <v>9.2004579923983983E-3</v>
      </c>
      <c r="Y1624">
        <v>1.9193668779851915E-3</v>
      </c>
    </row>
    <row r="1625" spans="1:25">
      <c r="A1625" s="876"/>
      <c r="B1625" s="1202">
        <v>1375</v>
      </c>
      <c r="C1625" s="880">
        <v>1.0053838851106294</v>
      </c>
      <c r="D1625" s="880">
        <v>0.97569101923804802</v>
      </c>
      <c r="E1625" s="880">
        <v>0.99350935055847378</v>
      </c>
      <c r="F1625" s="880">
        <v>0.97954624502662135</v>
      </c>
      <c r="G1625" s="880">
        <v>0.99838597160283393</v>
      </c>
      <c r="H1625" s="880">
        <v>1.032125311585343</v>
      </c>
      <c r="I1625" s="880">
        <v>1.0345013080488761</v>
      </c>
      <c r="K1625">
        <v>1.0837681289544532</v>
      </c>
      <c r="L1625">
        <v>0</v>
      </c>
      <c r="M1625">
        <v>7.2766108511528266E-4</v>
      </c>
      <c r="N1625">
        <v>7.1098484917131902E-2</v>
      </c>
      <c r="O1625">
        <v>8.8560786582346923E-3</v>
      </c>
      <c r="P1625">
        <v>1.2669997006511688E-2</v>
      </c>
      <c r="Q1625">
        <v>2.9524783663340015E-3</v>
      </c>
      <c r="R1625">
        <v>7.1577165966350462E-4</v>
      </c>
      <c r="S1625">
        <v>9.0235181340390061E-2</v>
      </c>
      <c r="T1625">
        <v>0.81636149928691115</v>
      </c>
      <c r="U1625">
        <v>1.6820071533264699E-2</v>
      </c>
      <c r="V1625">
        <v>1.0412614210117388E-2</v>
      </c>
      <c r="W1625">
        <v>4.2688362507548698E-2</v>
      </c>
      <c r="X1625">
        <v>9.7371560499209947E-3</v>
      </c>
      <c r="Y1625">
        <v>1.9480945035398663E-3</v>
      </c>
    </row>
    <row r="1626" spans="1:25">
      <c r="A1626" s="876"/>
      <c r="B1626" s="1202">
        <v>1376</v>
      </c>
      <c r="C1626" s="880">
        <v>1.0008008360394098</v>
      </c>
      <c r="D1626" s="880">
        <v>0.96840160548930387</v>
      </c>
      <c r="E1626" s="880">
        <v>1.0190556015224645</v>
      </c>
      <c r="F1626" s="880">
        <v>1.0069185074780325</v>
      </c>
      <c r="G1626" s="880">
        <v>0.99346034203849198</v>
      </c>
      <c r="H1626" s="880">
        <v>1.0249099684822629</v>
      </c>
      <c r="I1626" s="880">
        <v>1.0148460358371763</v>
      </c>
      <c r="K1626">
        <v>1.0837382212623428</v>
      </c>
      <c r="L1626">
        <v>0</v>
      </c>
      <c r="M1626">
        <v>6.9058485649755176E-4</v>
      </c>
      <c r="N1626">
        <v>7.3046932421255581E-2</v>
      </c>
      <c r="O1626">
        <v>8.9323799174867539E-3</v>
      </c>
      <c r="P1626">
        <v>1.286811832876013E-2</v>
      </c>
      <c r="Q1626">
        <v>3.0533719734978531E-3</v>
      </c>
      <c r="R1626">
        <v>6.7922812432721479E-4</v>
      </c>
      <c r="S1626">
        <v>8.8994163264578541E-2</v>
      </c>
      <c r="T1626">
        <v>0.81430447393800609</v>
      </c>
      <c r="U1626">
        <v>1.6897097061663997E-2</v>
      </c>
      <c r="V1626">
        <v>1.0413057005548459E-2</v>
      </c>
      <c r="W1626">
        <v>4.3101542761982317E-2</v>
      </c>
      <c r="X1626">
        <v>1.0289806274805278E-2</v>
      </c>
      <c r="Y1626">
        <v>1.8486350469276702E-3</v>
      </c>
    </row>
    <row r="1627" spans="1:25">
      <c r="A1627" s="876"/>
      <c r="B1627" s="1202">
        <v>1377</v>
      </c>
      <c r="C1627" s="880">
        <v>0.98673427830039417</v>
      </c>
      <c r="D1627" s="880">
        <v>1.0138185025222155</v>
      </c>
      <c r="E1627" s="880">
        <v>1.0193068024512735</v>
      </c>
      <c r="F1627" s="880">
        <v>1.0176937724122566</v>
      </c>
      <c r="G1627" s="880">
        <v>1.0025562659653418</v>
      </c>
      <c r="H1627" s="880">
        <v>1.0078420946684967</v>
      </c>
      <c r="I1627" s="880">
        <v>1.0093018799332112</v>
      </c>
      <c r="K1627">
        <v>1.0786746939925529</v>
      </c>
      <c r="L1627">
        <v>0</v>
      </c>
      <c r="M1627">
        <v>6.7180337848582103E-4</v>
      </c>
      <c r="N1627">
        <v>7.1091560939258058E-2</v>
      </c>
      <c r="O1627">
        <v>8.8407836553045273E-3</v>
      </c>
      <c r="P1627">
        <v>1.2847626454944357E-2</v>
      </c>
      <c r="Q1627">
        <v>3.0332235773933391E-3</v>
      </c>
      <c r="R1627">
        <v>6.6053038732928236E-4</v>
      </c>
      <c r="S1627">
        <v>8.7120354428757485E-2</v>
      </c>
      <c r="T1627">
        <v>0.81428435713170577</v>
      </c>
      <c r="U1627">
        <v>1.7137976492597552E-2</v>
      </c>
      <c r="V1627">
        <v>1.0414441745305125E-2</v>
      </c>
      <c r="W1627">
        <v>4.194065666414612E-2</v>
      </c>
      <c r="X1627">
        <v>1.0177239923770159E-2</v>
      </c>
      <c r="Y1627">
        <v>1.7977459705266435E-3</v>
      </c>
    </row>
    <row r="1628" spans="1:25">
      <c r="A1628" s="876"/>
      <c r="B1628" s="1202">
        <v>1378</v>
      </c>
      <c r="C1628" s="880">
        <v>1.02823988557492</v>
      </c>
      <c r="D1628" s="880">
        <v>0.96690841276676365</v>
      </c>
      <c r="E1628" s="880">
        <v>1.0452327444023053</v>
      </c>
      <c r="F1628" s="880">
        <v>0.97447392433276847</v>
      </c>
      <c r="G1628" s="880">
        <v>1.0364412851898084</v>
      </c>
      <c r="H1628" s="880">
        <v>1.0043236675110732</v>
      </c>
      <c r="I1628" s="880">
        <v>1.0239843713645997</v>
      </c>
      <c r="K1628">
        <v>1.0758557153459065</v>
      </c>
      <c r="L1628">
        <v>0</v>
      </c>
      <c r="M1628">
        <v>6.2367443299997589E-4</v>
      </c>
      <c r="N1628">
        <v>7.1528611601380201E-2</v>
      </c>
      <c r="O1628">
        <v>8.7011949679147837E-3</v>
      </c>
      <c r="P1628">
        <v>1.3047106911407196E-2</v>
      </c>
      <c r="Q1628">
        <v>3.0518813782046297E-3</v>
      </c>
      <c r="R1628">
        <v>6.1320901980878523E-4</v>
      </c>
      <c r="S1628">
        <v>8.6720530376697927E-2</v>
      </c>
      <c r="T1628">
        <v>0.81221972338788184</v>
      </c>
      <c r="U1628">
        <v>1.6446190332810431E-2</v>
      </c>
      <c r="V1628">
        <v>1.0410464885201859E-2</v>
      </c>
      <c r="W1628">
        <v>4.147281460806939E-2</v>
      </c>
      <c r="X1628">
        <v>1.0598709501909678E-2</v>
      </c>
      <c r="Y1628">
        <v>1.6689528076204612E-3</v>
      </c>
    </row>
    <row r="1629" spans="1:25">
      <c r="A1629" s="876"/>
      <c r="B1629" s="1202">
        <v>1379</v>
      </c>
      <c r="C1629" s="880">
        <v>0.99985772097776315</v>
      </c>
      <c r="D1629" s="880">
        <v>0.99945780428125164</v>
      </c>
      <c r="E1629" s="880">
        <v>0.9779529217125329</v>
      </c>
      <c r="F1629" s="880">
        <v>1.0021266420987454</v>
      </c>
      <c r="G1629" s="880">
        <v>1.0290500267941669</v>
      </c>
      <c r="H1629" s="880">
        <v>0.99638841357021157</v>
      </c>
      <c r="I1629" s="880">
        <v>1.0272450374381186</v>
      </c>
      <c r="K1629">
        <v>1.0757560638356265</v>
      </c>
      <c r="L1629">
        <v>0</v>
      </c>
      <c r="M1629">
        <v>7.2052317277195574E-4</v>
      </c>
      <c r="N1629">
        <v>6.7029488766416456E-2</v>
      </c>
      <c r="O1629">
        <v>8.7913321865598654E-3</v>
      </c>
      <c r="P1629">
        <v>1.2506039965363189E-2</v>
      </c>
      <c r="Q1629">
        <v>2.8902794849562708E-3</v>
      </c>
      <c r="R1629">
        <v>7.0830643887164391E-4</v>
      </c>
      <c r="S1629">
        <v>8.7708212821779208E-2</v>
      </c>
      <c r="T1629">
        <v>0.81762498324229549</v>
      </c>
      <c r="U1629">
        <v>1.6913035236068821E-2</v>
      </c>
      <c r="V1629">
        <v>1.0413148629078368E-2</v>
      </c>
      <c r="W1629">
        <v>4.0680309630266746E-2</v>
      </c>
      <c r="X1629">
        <v>9.2836739732881923E-3</v>
      </c>
      <c r="Y1629">
        <v>1.9277766334537935E-3</v>
      </c>
    </row>
    <row r="1630" spans="1:25">
      <c r="A1630" s="876"/>
      <c r="B1630" s="1202">
        <v>1380</v>
      </c>
      <c r="C1630" s="880">
        <v>1.0153244073952388</v>
      </c>
      <c r="D1630" s="880">
        <v>0.99002724842745959</v>
      </c>
      <c r="E1630" s="880">
        <v>0.97502719728828913</v>
      </c>
      <c r="F1630" s="880">
        <v>0.96287309684675892</v>
      </c>
      <c r="G1630" s="880">
        <v>1.0128415939269966</v>
      </c>
      <c r="H1630" s="880">
        <v>1.0095439537583379</v>
      </c>
      <c r="I1630" s="880">
        <v>1.0198618366443166</v>
      </c>
      <c r="K1630">
        <v>1.0745126867292685</v>
      </c>
      <c r="L1630">
        <v>0</v>
      </c>
      <c r="M1630">
        <v>7.2700164370364682E-4</v>
      </c>
      <c r="N1630">
        <v>6.7034156408390916E-2</v>
      </c>
      <c r="O1630">
        <v>8.7013132864613412E-3</v>
      </c>
      <c r="P1630">
        <v>1.2463470044471582E-2</v>
      </c>
      <c r="Q1630">
        <v>2.8501501531825761E-3</v>
      </c>
      <c r="R1630">
        <v>7.148441803489315E-4</v>
      </c>
      <c r="S1630">
        <v>8.6632447324181003E-2</v>
      </c>
      <c r="T1630">
        <v>0.81786352403976137</v>
      </c>
      <c r="U1630">
        <v>1.6655394810547008E-2</v>
      </c>
      <c r="V1630">
        <v>1.041166753565847E-2</v>
      </c>
      <c r="W1630">
        <v>4.0766022781701224E-2</v>
      </c>
      <c r="X1630">
        <v>9.2011275976779348E-3</v>
      </c>
      <c r="Y1630">
        <v>1.9455702105890716E-3</v>
      </c>
    </row>
    <row r="1631" spans="1:25">
      <c r="A1631" s="876"/>
      <c r="B1631" s="1202">
        <v>1381</v>
      </c>
      <c r="C1631" s="880">
        <v>1.0062662586646705</v>
      </c>
      <c r="D1631" s="880">
        <v>0.974106483616763</v>
      </c>
      <c r="E1631" s="880">
        <v>1.0329298354461016</v>
      </c>
      <c r="F1631" s="880">
        <v>1.0026977184539985</v>
      </c>
      <c r="G1631" s="880">
        <v>0.99405407591302752</v>
      </c>
      <c r="H1631" s="880">
        <v>1.0060651099420965</v>
      </c>
      <c r="I1631" s="880">
        <v>1.0098086297665101</v>
      </c>
      <c r="K1631">
        <v>1.0787919972447484</v>
      </c>
      <c r="L1631">
        <v>0</v>
      </c>
      <c r="M1631">
        <v>6.5266727637033764E-4</v>
      </c>
      <c r="N1631">
        <v>7.2052240240695842E-2</v>
      </c>
      <c r="O1631">
        <v>8.8560041022104526E-3</v>
      </c>
      <c r="P1631">
        <v>1.2956202097343146E-2</v>
      </c>
      <c r="Q1631">
        <v>3.0705332983596706E-3</v>
      </c>
      <c r="R1631">
        <v>6.4172827963935859E-4</v>
      </c>
      <c r="S1631">
        <v>8.7127453655145029E-2</v>
      </c>
      <c r="T1631">
        <v>0.81319661382488662</v>
      </c>
      <c r="U1631">
        <v>1.6805322369044747E-2</v>
      </c>
      <c r="V1631">
        <v>1.0412529421831419E-2</v>
      </c>
      <c r="W1631">
        <v>4.2120089967393651E-2</v>
      </c>
      <c r="X1631">
        <v>1.0459374433061851E-2</v>
      </c>
      <c r="Y1631">
        <v>1.7465728315078049E-3</v>
      </c>
    </row>
    <row r="1632" spans="1:25">
      <c r="A1632" s="876"/>
      <c r="B1632" s="1202">
        <v>1382</v>
      </c>
      <c r="C1632" s="880">
        <v>1.0433952169592187</v>
      </c>
      <c r="D1632" s="880">
        <v>1.0399039385031583</v>
      </c>
      <c r="E1632" s="880">
        <v>0.96590319166265626</v>
      </c>
      <c r="F1632" s="880">
        <v>0.97601029302732867</v>
      </c>
      <c r="G1632" s="880">
        <v>0.98913710446250358</v>
      </c>
      <c r="H1632" s="880">
        <v>0.99187998272398881</v>
      </c>
      <c r="I1632" s="880">
        <v>1.0149542887045391</v>
      </c>
      <c r="K1632">
        <v>1.0599683989241411</v>
      </c>
      <c r="L1632">
        <v>0</v>
      </c>
      <c r="M1632">
        <v>6.9022475068086678E-4</v>
      </c>
      <c r="N1632">
        <v>6.1835501175658947E-2</v>
      </c>
      <c r="O1632">
        <v>8.2484693994587539E-3</v>
      </c>
      <c r="P1632">
        <v>1.2309106286737608E-2</v>
      </c>
      <c r="Q1632">
        <v>2.6865301453860252E-3</v>
      </c>
      <c r="R1632">
        <v>6.784345344216532E-4</v>
      </c>
      <c r="S1632">
        <v>8.1268069494477485E-2</v>
      </c>
      <c r="T1632">
        <v>0.81860928112073195</v>
      </c>
      <c r="U1632">
        <v>1.6207309168270158E-2</v>
      </c>
      <c r="V1632">
        <v>1.0409091632847456E-2</v>
      </c>
      <c r="W1632">
        <v>3.784496627696661E-2</v>
      </c>
      <c r="X1632">
        <v>8.7153892830534718E-3</v>
      </c>
      <c r="Y1632">
        <v>1.8464751568115741E-3</v>
      </c>
    </row>
    <row r="1633" spans="1:25">
      <c r="A1633" s="876"/>
      <c r="B1633" s="1202">
        <v>1383</v>
      </c>
      <c r="C1633" s="880">
        <v>0.96925435913589486</v>
      </c>
      <c r="D1633" s="880">
        <v>0.98655871026884567</v>
      </c>
      <c r="E1633" s="880">
        <v>0.99436106923201917</v>
      </c>
      <c r="F1633" s="880">
        <v>1.0006931079041126</v>
      </c>
      <c r="G1633" s="880">
        <v>0.99250816822362808</v>
      </c>
      <c r="H1633" s="880">
        <v>1.0066471849513638</v>
      </c>
      <c r="I1633" s="880">
        <v>1.0259524398363729</v>
      </c>
      <c r="K1633">
        <v>1.0866414359463699</v>
      </c>
      <c r="L1633">
        <v>0</v>
      </c>
      <c r="M1633">
        <v>7.3050972787909755E-4</v>
      </c>
      <c r="N1633">
        <v>7.1535203088311849E-2</v>
      </c>
      <c r="O1633">
        <v>9.1319935429556021E-3</v>
      </c>
      <c r="P1633">
        <v>1.2700775567911495E-2</v>
      </c>
      <c r="Q1633">
        <v>3.0496233081063234E-3</v>
      </c>
      <c r="R1633">
        <v>7.1826161908612133E-4</v>
      </c>
      <c r="S1633">
        <v>9.1341741816829261E-2</v>
      </c>
      <c r="T1633">
        <v>0.81629256006572914</v>
      </c>
      <c r="U1633">
        <v>1.7447049586682754E-2</v>
      </c>
      <c r="V1633">
        <v>1.0416218508889455E-2</v>
      </c>
      <c r="W1633">
        <v>4.2925443480078471E-2</v>
      </c>
      <c r="X1633">
        <v>9.858203737394761E-3</v>
      </c>
      <c r="Y1633">
        <v>1.9548713522733255E-3</v>
      </c>
    </row>
    <row r="1634" spans="1:25">
      <c r="A1634" s="876"/>
      <c r="B1634" s="1202">
        <v>1384</v>
      </c>
      <c r="C1634" s="880">
        <v>0.96396352021995046</v>
      </c>
      <c r="D1634" s="880">
        <v>0.99848144101237768</v>
      </c>
      <c r="E1634" s="880">
        <v>1.0055118854945591</v>
      </c>
      <c r="F1634" s="880">
        <v>1.0112703964092529</v>
      </c>
      <c r="G1634" s="880">
        <v>1.0258427124209446</v>
      </c>
      <c r="H1634" s="880">
        <v>1.0229001977699905</v>
      </c>
      <c r="I1634" s="880">
        <v>0.99217311200395086</v>
      </c>
      <c r="K1634">
        <v>1.086466644611116</v>
      </c>
      <c r="L1634">
        <v>0</v>
      </c>
      <c r="M1634">
        <v>7.2440809571636426E-4</v>
      </c>
      <c r="N1634">
        <v>7.3460635050513312E-2</v>
      </c>
      <c r="O1634">
        <v>9.1234410975608339E-3</v>
      </c>
      <c r="P1634">
        <v>1.2762350568851158E-2</v>
      </c>
      <c r="Q1634">
        <v>3.0838852636363647E-3</v>
      </c>
      <c r="R1634">
        <v>7.1244469413730006E-4</v>
      </c>
      <c r="S1634">
        <v>8.8887332759236798E-2</v>
      </c>
      <c r="T1634">
        <v>0.81539227117274415</v>
      </c>
      <c r="U1634">
        <v>1.7542809983197138E-2</v>
      </c>
      <c r="V1634">
        <v>1.0416769005159138E-2</v>
      </c>
      <c r="W1634">
        <v>4.3745752989553154E-2</v>
      </c>
      <c r="X1634">
        <v>1.0124320522129745E-2</v>
      </c>
      <c r="Y1634">
        <v>1.9390396001114283E-3</v>
      </c>
    </row>
    <row r="1635" spans="1:25">
      <c r="A1635" s="876"/>
      <c r="B1635" s="1202">
        <v>1385</v>
      </c>
      <c r="C1635" s="880">
        <v>1.0215608284596265</v>
      </c>
      <c r="D1635" s="880">
        <v>0.99637270674663847</v>
      </c>
      <c r="E1635" s="880">
        <v>1.0018360216339601</v>
      </c>
      <c r="F1635" s="880">
        <v>1.004512012939371</v>
      </c>
      <c r="G1635" s="880">
        <v>0.98886740339865875</v>
      </c>
      <c r="H1635" s="880">
        <v>0.98251206307149475</v>
      </c>
      <c r="I1635" s="880">
        <v>1.0007263387201952</v>
      </c>
      <c r="K1635">
        <v>1.0674226793234503</v>
      </c>
      <c r="L1635">
        <v>0</v>
      </c>
      <c r="M1635">
        <v>6.6242500221888763E-4</v>
      </c>
      <c r="N1635">
        <v>6.6365771281601649E-2</v>
      </c>
      <c r="O1635">
        <v>8.6187601027041139E-3</v>
      </c>
      <c r="P1635">
        <v>1.2641168007720723E-2</v>
      </c>
      <c r="Q1635">
        <v>2.9021125988613443E-3</v>
      </c>
      <c r="R1635">
        <v>6.5103730326712965E-4</v>
      </c>
      <c r="S1635">
        <v>8.3270672312983907E-2</v>
      </c>
      <c r="T1635">
        <v>0.81568858434572911</v>
      </c>
      <c r="U1635">
        <v>1.6553717013064486E-2</v>
      </c>
      <c r="V1635">
        <v>1.0411083022119893E-2</v>
      </c>
      <c r="W1635">
        <v>3.9620038617157016E-2</v>
      </c>
      <c r="X1635">
        <v>9.5902507953561263E-3</v>
      </c>
      <c r="Y1635">
        <v>1.7719089251037833E-3</v>
      </c>
    </row>
    <row r="1636" spans="1:25">
      <c r="A1636" s="876"/>
      <c r="B1636" s="1202">
        <v>1386</v>
      </c>
      <c r="C1636" s="880">
        <v>1.0034802457942253</v>
      </c>
      <c r="D1636" s="880">
        <v>0.99536263556018834</v>
      </c>
      <c r="E1636" s="880">
        <v>0.97597449134191017</v>
      </c>
      <c r="F1636" s="880">
        <v>0.97160406093256246</v>
      </c>
      <c r="G1636" s="880">
        <v>1.0182243127722661</v>
      </c>
      <c r="H1636" s="880">
        <v>0.97046769588929704</v>
      </c>
      <c r="I1636" s="880">
        <v>1.0080726199566907</v>
      </c>
      <c r="K1636">
        <v>1.0697487023680228</v>
      </c>
      <c r="L1636">
        <v>0</v>
      </c>
      <c r="M1636">
        <v>7.0369023886488434E-4</v>
      </c>
      <c r="N1636">
        <v>6.5031531755465152E-2</v>
      </c>
      <c r="O1636">
        <v>8.7788006614278203E-3</v>
      </c>
      <c r="P1636">
        <v>1.2452261806943888E-2</v>
      </c>
      <c r="Q1636">
        <v>2.8794677387913754E-3</v>
      </c>
      <c r="R1636">
        <v>6.9144393042286671E-4</v>
      </c>
      <c r="S1636">
        <v>8.5002805725247127E-2</v>
      </c>
      <c r="T1636">
        <v>0.81778625737906518</v>
      </c>
      <c r="U1636">
        <v>1.6851979834010704E-2</v>
      </c>
      <c r="V1636">
        <v>1.0412797640858836E-2</v>
      </c>
      <c r="W1636">
        <v>3.9522081062880424E-2</v>
      </c>
      <c r="X1636">
        <v>9.1610826275920921E-3</v>
      </c>
      <c r="Y1636">
        <v>1.8818824441806381E-3</v>
      </c>
    </row>
    <row r="1637" spans="1:25">
      <c r="A1637" s="876"/>
      <c r="B1637" s="1202">
        <v>1387</v>
      </c>
      <c r="C1637" s="880">
        <v>0.98744782793413044</v>
      </c>
      <c r="D1637" s="880">
        <v>0.96503225958723016</v>
      </c>
      <c r="E1637" s="880">
        <v>0.98606213614996019</v>
      </c>
      <c r="F1637" s="880">
        <v>0.9813555808702249</v>
      </c>
      <c r="G1637" s="880">
        <v>1.0077229580907672</v>
      </c>
      <c r="H1637" s="880">
        <v>1.0178083524400305</v>
      </c>
      <c r="I1637" s="880">
        <v>1.0303091226757282</v>
      </c>
      <c r="K1637">
        <v>1.0865788401830121</v>
      </c>
      <c r="L1637">
        <v>0</v>
      </c>
      <c r="M1637">
        <v>7.4649347567295934E-4</v>
      </c>
      <c r="N1637">
        <v>7.1251148144640453E-2</v>
      </c>
      <c r="O1637">
        <v>9.0700669650944712E-3</v>
      </c>
      <c r="P1637">
        <v>1.2627940861282197E-2</v>
      </c>
      <c r="Q1637">
        <v>2.9986466205912886E-3</v>
      </c>
      <c r="R1637">
        <v>7.3413487586429505E-4</v>
      </c>
      <c r="S1637">
        <v>9.146177304770256E-2</v>
      </c>
      <c r="T1637">
        <v>0.81696533467638743</v>
      </c>
      <c r="U1637">
        <v>1.7125592246561142E-2</v>
      </c>
      <c r="V1637">
        <v>1.0414370552186743E-2</v>
      </c>
      <c r="W1637">
        <v>4.3000144248163411E-2</v>
      </c>
      <c r="X1637">
        <v>9.6781082956043651E-3</v>
      </c>
      <c r="Y1637">
        <v>1.9980731246058234E-3</v>
      </c>
    </row>
    <row r="1638" spans="1:25">
      <c r="A1638" s="876"/>
      <c r="B1638" s="1202">
        <v>1388</v>
      </c>
      <c r="C1638" s="880">
        <v>1.0089441170468449</v>
      </c>
      <c r="D1638" s="880">
        <v>1.0061526757465231</v>
      </c>
      <c r="E1638" s="880">
        <v>1.0091684185260437</v>
      </c>
      <c r="F1638" s="880">
        <v>0.98411909225559058</v>
      </c>
      <c r="G1638" s="880">
        <v>1.0376795930746896</v>
      </c>
      <c r="H1638" s="880">
        <v>1.0160595851780831</v>
      </c>
      <c r="I1638" s="880">
        <v>1.0016375397954793</v>
      </c>
      <c r="K1638">
        <v>1.0745547092470007</v>
      </c>
      <c r="L1638">
        <v>0</v>
      </c>
      <c r="M1638">
        <v>6.7943314585269235E-4</v>
      </c>
      <c r="N1638">
        <v>6.9679124668512754E-2</v>
      </c>
      <c r="O1638">
        <v>8.6812053057457872E-3</v>
      </c>
      <c r="P1638">
        <v>1.2731040833540415E-2</v>
      </c>
      <c r="Q1638">
        <v>2.9468454092651739E-3</v>
      </c>
      <c r="R1638">
        <v>6.6813060656217241E-4</v>
      </c>
      <c r="S1638">
        <v>8.51663028621409E-2</v>
      </c>
      <c r="T1638">
        <v>0.81509797221284253</v>
      </c>
      <c r="U1638">
        <v>1.676071903313079E-2</v>
      </c>
      <c r="V1638">
        <v>1.0412273011343091E-2</v>
      </c>
      <c r="W1638">
        <v>4.1390709419528667E-2</v>
      </c>
      <c r="X1638">
        <v>9.881387768373065E-3</v>
      </c>
      <c r="Y1638">
        <v>1.8184312618669731E-3</v>
      </c>
    </row>
    <row r="1639" spans="1:25">
      <c r="A1639" s="876"/>
      <c r="B1639" s="1202">
        <v>1389</v>
      </c>
      <c r="C1639" s="880">
        <v>1.0349069799760953</v>
      </c>
      <c r="D1639" s="880">
        <v>0.99818122303691936</v>
      </c>
      <c r="E1639" s="880">
        <v>0.98585944659837266</v>
      </c>
      <c r="F1639" s="880">
        <v>0.98869791064247148</v>
      </c>
      <c r="G1639" s="880">
        <v>0.9809572548960297</v>
      </c>
      <c r="H1639" s="880">
        <v>0.96140860597067379</v>
      </c>
      <c r="I1639" s="880">
        <v>0.99182689083519793</v>
      </c>
      <c r="K1639">
        <v>1.0601032274422284</v>
      </c>
      <c r="L1639">
        <v>0</v>
      </c>
      <c r="M1639">
        <v>6.6107195762102171E-4</v>
      </c>
      <c r="N1639">
        <v>6.2992949188450872E-2</v>
      </c>
      <c r="O1639">
        <v>8.4993871456015436E-3</v>
      </c>
      <c r="P1639">
        <v>1.2469808449419303E-2</v>
      </c>
      <c r="Q1639">
        <v>2.8165512237819574E-3</v>
      </c>
      <c r="R1639">
        <v>6.4945651453182499E-4</v>
      </c>
      <c r="S1639">
        <v>8.0668468361340478E-2</v>
      </c>
      <c r="T1639">
        <v>0.81698179544027216</v>
      </c>
      <c r="U1639">
        <v>1.6340240420779639E-2</v>
      </c>
      <c r="V1639">
        <v>1.040985581262629E-2</v>
      </c>
      <c r="W1639">
        <v>3.8021637168532851E-2</v>
      </c>
      <c r="X1639">
        <v>9.1465431352390075E-3</v>
      </c>
      <c r="Y1639">
        <v>1.767606539273151E-3</v>
      </c>
    </row>
    <row r="1640" spans="1:25">
      <c r="A1640" s="876"/>
      <c r="B1640" s="1202">
        <v>1390</v>
      </c>
      <c r="C1640" s="880">
        <v>0.99689448817435344</v>
      </c>
      <c r="D1640" s="880">
        <v>1.0014262236532081</v>
      </c>
      <c r="E1640" s="880">
        <v>1.0317597604892406</v>
      </c>
      <c r="F1640" s="880">
        <v>1.0250627967872945</v>
      </c>
      <c r="G1640" s="880">
        <v>0.97871678804676976</v>
      </c>
      <c r="H1640" s="880">
        <v>1.0079837098167064</v>
      </c>
      <c r="I1640" s="880">
        <v>0.9587550925725945</v>
      </c>
      <c r="K1640">
        <v>1.0736376375958914</v>
      </c>
      <c r="L1640">
        <v>0</v>
      </c>
      <c r="M1640">
        <v>6.5201879322161391E-4</v>
      </c>
      <c r="N1640">
        <v>7.1719556711077465E-2</v>
      </c>
      <c r="O1640">
        <v>8.80821779389028E-3</v>
      </c>
      <c r="P1640">
        <v>1.2882986401712364E-2</v>
      </c>
      <c r="Q1640">
        <v>3.0567810147670042E-3</v>
      </c>
      <c r="R1640">
        <v>6.4108917069948131E-4</v>
      </c>
      <c r="S1640">
        <v>8.2421735089291348E-2</v>
      </c>
      <c r="T1640">
        <v>0.81328979085020026</v>
      </c>
      <c r="U1640">
        <v>1.696330862147848E-2</v>
      </c>
      <c r="V1640">
        <v>1.0413437634890164E-2</v>
      </c>
      <c r="W1640">
        <v>4.1958443599394719E-2</v>
      </c>
      <c r="X1640">
        <v>1.0389476114054507E-2</v>
      </c>
      <c r="Y1640">
        <v>1.7448333876556648E-3</v>
      </c>
    </row>
    <row r="1641" spans="1:25">
      <c r="A1641" s="876"/>
      <c r="B1641" s="1202">
        <v>1391</v>
      </c>
      <c r="C1641" s="880">
        <v>1.0239291661304033</v>
      </c>
      <c r="D1641" s="880">
        <v>0.97349656581370403</v>
      </c>
      <c r="E1641" s="880">
        <v>0.9946026819291538</v>
      </c>
      <c r="F1641" s="880">
        <v>1.0205125406640216</v>
      </c>
      <c r="G1641" s="880">
        <v>0.96739386524950377</v>
      </c>
      <c r="H1641" s="880">
        <v>0.99940929389958322</v>
      </c>
      <c r="I1641" s="880">
        <v>1.0101687188149968</v>
      </c>
      <c r="K1641">
        <v>1.0726022238167983</v>
      </c>
      <c r="L1641">
        <v>0</v>
      </c>
      <c r="M1641">
        <v>6.9107405852599803E-4</v>
      </c>
      <c r="N1641">
        <v>6.7717156266772785E-2</v>
      </c>
      <c r="O1641">
        <v>8.7061516593895626E-3</v>
      </c>
      <c r="P1641">
        <v>1.2609904720028106E-2</v>
      </c>
      <c r="Q1641">
        <v>2.9052030640484318E-3</v>
      </c>
      <c r="R1641">
        <v>6.7941475133615956E-4</v>
      </c>
      <c r="S1641">
        <v>8.5443680607753744E-2</v>
      </c>
      <c r="T1641">
        <v>0.81627300810123504</v>
      </c>
      <c r="U1641">
        <v>1.6515428435211428E-2</v>
      </c>
      <c r="V1641">
        <v>1.0410862913180859E-2</v>
      </c>
      <c r="W1641">
        <v>4.0627641605662894E-2</v>
      </c>
      <c r="X1641">
        <v>9.5557027665795647E-3</v>
      </c>
      <c r="Y1641">
        <v>1.8491429841244408E-3</v>
      </c>
    </row>
    <row r="1642" spans="1:25">
      <c r="A1642" s="876"/>
      <c r="B1642" s="1202">
        <v>1392</v>
      </c>
      <c r="C1642" s="880">
        <v>1.0033480202352245</v>
      </c>
      <c r="D1642" s="880">
        <v>0.97971371474984903</v>
      </c>
      <c r="E1642" s="880">
        <v>0.97390038173992799</v>
      </c>
      <c r="F1642" s="880">
        <v>1.0019205019114481</v>
      </c>
      <c r="G1642" s="880">
        <v>0.99973975657416747</v>
      </c>
      <c r="H1642" s="880">
        <v>1.0482054690220948</v>
      </c>
      <c r="I1642" s="880">
        <v>1.0152646737493358</v>
      </c>
      <c r="K1642">
        <v>1.0838992931469431</v>
      </c>
      <c r="L1642">
        <v>0</v>
      </c>
      <c r="M1642">
        <v>7.6994427230212643E-4</v>
      </c>
      <c r="N1642">
        <v>7.0790099093866035E-2</v>
      </c>
      <c r="O1642">
        <v>8.8545571955178492E-3</v>
      </c>
      <c r="P1642">
        <v>1.2490238729022933E-2</v>
      </c>
      <c r="Q1642">
        <v>2.894735694068268E-3</v>
      </c>
      <c r="R1642">
        <v>7.5755318222144356E-4</v>
      </c>
      <c r="S1642">
        <v>8.9142779899982455E-2</v>
      </c>
      <c r="T1642">
        <v>0.81795547297794824</v>
      </c>
      <c r="U1642">
        <v>1.6854200661090508E-2</v>
      </c>
      <c r="V1642">
        <v>1.0412810407692159E-2</v>
      </c>
      <c r="W1642">
        <v>4.3083959320204743E-2</v>
      </c>
      <c r="X1642">
        <v>9.3710202229630377E-3</v>
      </c>
      <c r="Y1642">
        <v>2.0618100346673652E-3</v>
      </c>
    </row>
    <row r="1643" spans="1:25">
      <c r="A1643" s="876"/>
      <c r="B1643" s="1202">
        <v>1393</v>
      </c>
      <c r="C1643" s="880">
        <v>1.0262004240308868</v>
      </c>
      <c r="D1643" s="880">
        <v>0.99566655992842079</v>
      </c>
      <c r="E1643" s="880">
        <v>1.0180566688640384</v>
      </c>
      <c r="F1643" s="880">
        <v>1.037693233799587</v>
      </c>
      <c r="G1643" s="880">
        <v>1.0222336517453954</v>
      </c>
      <c r="H1643" s="880">
        <v>1.0211542411295429</v>
      </c>
      <c r="I1643" s="880">
        <v>1.0030194644153099</v>
      </c>
      <c r="K1643">
        <v>1.0729311715150753</v>
      </c>
      <c r="L1643">
        <v>0</v>
      </c>
      <c r="M1643">
        <v>6.6256441827632572E-4</v>
      </c>
      <c r="N1643">
        <v>6.9859182055703725E-2</v>
      </c>
      <c r="O1643">
        <v>8.5830390929339216E-3</v>
      </c>
      <c r="P1643">
        <v>1.2791351233534129E-2</v>
      </c>
      <c r="Q1643">
        <v>2.937174549231346E-3</v>
      </c>
      <c r="R1643">
        <v>6.5160591431824566E-4</v>
      </c>
      <c r="S1643">
        <v>8.4467023134133165E-2</v>
      </c>
      <c r="T1643">
        <v>0.8143844922778114</v>
      </c>
      <c r="U1643">
        <v>1.6478875344377551E-2</v>
      </c>
      <c r="V1643">
        <v>1.0410652781008455E-2</v>
      </c>
      <c r="W1643">
        <v>4.1248424253931833E-2</v>
      </c>
      <c r="X1643">
        <v>1.000845879942577E-2</v>
      </c>
      <c r="Y1643">
        <v>1.7734564969423389E-3</v>
      </c>
    </row>
    <row r="1644" spans="1:25">
      <c r="A1644" s="876"/>
      <c r="B1644" s="1202">
        <v>1394</v>
      </c>
      <c r="C1644" s="880">
        <v>0.98810995287744385</v>
      </c>
      <c r="D1644" s="880">
        <v>0.99980627288671009</v>
      </c>
      <c r="E1644" s="880">
        <v>0.99642319659526535</v>
      </c>
      <c r="F1644" s="880">
        <v>1.0461563082705521</v>
      </c>
      <c r="G1644" s="880">
        <v>1.0108734628261042</v>
      </c>
      <c r="H1644" s="880">
        <v>0.98642531501900921</v>
      </c>
      <c r="I1644" s="880">
        <v>1.0099475955043651</v>
      </c>
      <c r="K1644">
        <v>1.0759541512255579</v>
      </c>
      <c r="L1644">
        <v>0</v>
      </c>
      <c r="M1644">
        <v>6.9418765336946874E-4</v>
      </c>
      <c r="N1644">
        <v>6.8390942694926529E-2</v>
      </c>
      <c r="O1644">
        <v>8.8941998796281552E-3</v>
      </c>
      <c r="P1644">
        <v>1.2652837063238966E-2</v>
      </c>
      <c r="Q1644">
        <v>2.9793666934513452E-3</v>
      </c>
      <c r="R1644">
        <v>6.8229826195840735E-4</v>
      </c>
      <c r="S1644">
        <v>8.6877256367106401E-2</v>
      </c>
      <c r="T1644">
        <v>0.81612575075995963</v>
      </c>
      <c r="U1644">
        <v>1.7114116517810089E-2</v>
      </c>
      <c r="V1644">
        <v>1.0414304581847252E-2</v>
      </c>
      <c r="W1644">
        <v>4.0980646380187002E-2</v>
      </c>
      <c r="X1644">
        <v>9.6796287293231791E-3</v>
      </c>
      <c r="Y1644">
        <v>1.8569909494891791E-3</v>
      </c>
    </row>
    <row r="1645" spans="1:25">
      <c r="A1645" s="876"/>
      <c r="B1645" s="1202">
        <v>1395</v>
      </c>
      <c r="C1645" s="880">
        <v>0.99731390771705442</v>
      </c>
      <c r="D1645" s="880">
        <v>1.0343875091665669</v>
      </c>
      <c r="E1645" s="880">
        <v>1.0401447640577852</v>
      </c>
      <c r="F1645" s="880">
        <v>0.99665983828589488</v>
      </c>
      <c r="G1645" s="880">
        <v>1.0045132514188255</v>
      </c>
      <c r="H1645" s="880">
        <v>0.98430849238841633</v>
      </c>
      <c r="I1645" s="880">
        <v>1.0270802573409363</v>
      </c>
      <c r="K1645">
        <v>1.0724046962551699</v>
      </c>
      <c r="L1645">
        <v>0</v>
      </c>
      <c r="M1645">
        <v>6.1457482856731372E-4</v>
      </c>
      <c r="N1645">
        <v>6.9351429181270602E-2</v>
      </c>
      <c r="O1645">
        <v>8.6540199659565827E-3</v>
      </c>
      <c r="P1645">
        <v>1.3002091590913419E-2</v>
      </c>
      <c r="Q1645">
        <v>3.0354657020522616E-3</v>
      </c>
      <c r="R1645">
        <v>6.0400015532882754E-4</v>
      </c>
      <c r="S1645">
        <v>8.5992313734754064E-2</v>
      </c>
      <c r="T1645">
        <v>0.8126230979998561</v>
      </c>
      <c r="U1645">
        <v>1.6956174716005339E-2</v>
      </c>
      <c r="V1645">
        <v>1.041339662432115E-2</v>
      </c>
      <c r="W1645">
        <v>4.0346600221185469E-2</v>
      </c>
      <c r="X1645">
        <v>1.0396791877884592E-2</v>
      </c>
      <c r="Y1645">
        <v>1.6438893142073756E-3</v>
      </c>
    </row>
    <row r="1646" spans="1:25">
      <c r="A1646" s="876"/>
      <c r="B1646" s="1202">
        <v>1396</v>
      </c>
      <c r="C1646" s="880">
        <v>1.0047531952495279</v>
      </c>
      <c r="D1646" s="880">
        <v>0.98946984355039747</v>
      </c>
      <c r="E1646" s="880">
        <v>0.97330634492742496</v>
      </c>
      <c r="F1646" s="880">
        <v>0.99686015666739913</v>
      </c>
      <c r="G1646" s="880">
        <v>0.98611807780139038</v>
      </c>
      <c r="H1646" s="880">
        <v>0.96159771465727584</v>
      </c>
      <c r="I1646" s="880">
        <v>0.9651922583043494</v>
      </c>
      <c r="K1646">
        <v>1.0650306285306759</v>
      </c>
      <c r="L1646">
        <v>0</v>
      </c>
      <c r="M1646">
        <v>7.025006745289455E-4</v>
      </c>
      <c r="N1646">
        <v>6.4373899961710238E-2</v>
      </c>
      <c r="O1646">
        <v>8.7955052758496438E-3</v>
      </c>
      <c r="P1646">
        <v>1.2378898714196585E-2</v>
      </c>
      <c r="Q1646">
        <v>2.8758305660509876E-3</v>
      </c>
      <c r="R1646">
        <v>6.9016769269907073E-4</v>
      </c>
      <c r="S1646">
        <v>8.1218333712733598E-2</v>
      </c>
      <c r="T1646">
        <v>0.8180039640665101</v>
      </c>
      <c r="U1646">
        <v>1.6830629597303932E-2</v>
      </c>
      <c r="V1646">
        <v>1.0412674905092362E-2</v>
      </c>
      <c r="W1646">
        <v>3.9195185913503378E-2</v>
      </c>
      <c r="X1646">
        <v>9.079629853745259E-3</v>
      </c>
      <c r="Y1646">
        <v>1.8784089458081176E-3</v>
      </c>
    </row>
    <row r="1647" spans="1:25">
      <c r="A1647" s="876"/>
      <c r="B1647" s="1202">
        <v>1397</v>
      </c>
      <c r="C1647" s="880">
        <v>0.99653838522879246</v>
      </c>
      <c r="D1647" s="880">
        <v>0.98895629333791013</v>
      </c>
      <c r="E1647" s="880">
        <v>0.96026300206688531</v>
      </c>
      <c r="F1647" s="880">
        <v>1.0212747769703161</v>
      </c>
      <c r="G1647" s="880">
        <v>1.03074975027255</v>
      </c>
      <c r="H1647" s="880">
        <v>1.0374023299601203</v>
      </c>
      <c r="I1647" s="880">
        <v>0.99000078067141928</v>
      </c>
      <c r="K1647">
        <v>1.0801352604620031</v>
      </c>
      <c r="L1647">
        <v>0</v>
      </c>
      <c r="M1647">
        <v>7.8551174204191177E-4</v>
      </c>
      <c r="N1647">
        <v>6.9201564693552445E-2</v>
      </c>
      <c r="O1647">
        <v>8.8704676175509634E-3</v>
      </c>
      <c r="P1647">
        <v>1.2344103506489392E-2</v>
      </c>
      <c r="Q1647">
        <v>2.8617518423409002E-3</v>
      </c>
      <c r="R1647">
        <v>7.7272960123479187E-4</v>
      </c>
      <c r="S1647">
        <v>8.6722866453468911E-2</v>
      </c>
      <c r="T1647">
        <v>0.81907169019540238</v>
      </c>
      <c r="U1647">
        <v>1.6969370288802171E-2</v>
      </c>
      <c r="V1647">
        <v>1.041347248150077E-2</v>
      </c>
      <c r="W1647">
        <v>4.2521266853312825E-2</v>
      </c>
      <c r="X1647">
        <v>9.0683734260721179E-3</v>
      </c>
      <c r="Y1647">
        <v>2.1031152443165167E-3</v>
      </c>
    </row>
    <row r="1648" spans="1:25">
      <c r="A1648" s="876"/>
      <c r="B1648" s="1202">
        <v>1398</v>
      </c>
      <c r="C1648" s="880">
        <v>1.0308170081688066</v>
      </c>
      <c r="D1648" s="880">
        <v>1.0007903501870012</v>
      </c>
      <c r="E1648" s="880">
        <v>0.98381813634016779</v>
      </c>
      <c r="F1648" s="880">
        <v>0.99713898226976794</v>
      </c>
      <c r="G1648" s="880">
        <v>0.99762493422260168</v>
      </c>
      <c r="H1648" s="880">
        <v>1.0072044647967768</v>
      </c>
      <c r="I1648" s="880">
        <v>0.99231068480593365</v>
      </c>
      <c r="K1648">
        <v>1.0673997260535482</v>
      </c>
      <c r="L1648">
        <v>0</v>
      </c>
      <c r="M1648">
        <v>6.9732861851033007E-4</v>
      </c>
      <c r="N1648">
        <v>6.6080162727512007E-2</v>
      </c>
      <c r="O1648">
        <v>8.5212390763543498E-3</v>
      </c>
      <c r="P1648">
        <v>1.2478337486089119E-2</v>
      </c>
      <c r="Q1648">
        <v>2.8185052175988762E-3</v>
      </c>
      <c r="R1648">
        <v>6.8563098087042645E-4</v>
      </c>
      <c r="S1648">
        <v>8.2498426721644272E-2</v>
      </c>
      <c r="T1648">
        <v>0.81714765130786449</v>
      </c>
      <c r="U1648">
        <v>1.6405073579444769E-2</v>
      </c>
      <c r="V1648">
        <v>1.0410228517975217E-2</v>
      </c>
      <c r="W1648">
        <v>3.9941378066629611E-2</v>
      </c>
      <c r="X1648">
        <v>9.2443594783373755E-3</v>
      </c>
      <c r="Y1648">
        <v>1.8660615117372004E-3</v>
      </c>
    </row>
    <row r="1649" spans="1:25">
      <c r="A1649" s="876"/>
      <c r="B1649" s="1202">
        <v>1399</v>
      </c>
      <c r="C1649" s="880">
        <v>1.0352368448774647</v>
      </c>
      <c r="D1649" s="880">
        <v>0.97388647922578131</v>
      </c>
      <c r="E1649" s="880">
        <v>0.98482589085657657</v>
      </c>
      <c r="F1649" s="880">
        <v>0.97235827949394715</v>
      </c>
      <c r="G1649" s="880">
        <v>0.96808439530214274</v>
      </c>
      <c r="H1649" s="880">
        <v>1.0024061175261452</v>
      </c>
      <c r="I1649" s="880">
        <v>0.9628341327287131</v>
      </c>
      <c r="K1649">
        <v>1.0661906162392161</v>
      </c>
      <c r="L1649">
        <v>0</v>
      </c>
      <c r="M1649">
        <v>6.9966446511604151E-4</v>
      </c>
      <c r="N1649">
        <v>6.6506811556492129E-2</v>
      </c>
      <c r="O1649">
        <v>8.6092128085339323E-3</v>
      </c>
      <c r="P1649">
        <v>1.24606728895646E-2</v>
      </c>
      <c r="Q1649">
        <v>2.8446867066151222E-3</v>
      </c>
      <c r="R1649">
        <v>6.8789516695730432E-4</v>
      </c>
      <c r="S1649">
        <v>8.0635355944799633E-2</v>
      </c>
      <c r="T1649">
        <v>0.81706575390573599</v>
      </c>
      <c r="U1649">
        <v>1.6335033813401428E-2</v>
      </c>
      <c r="V1649">
        <v>1.0409825881485202E-2</v>
      </c>
      <c r="W1649">
        <v>4.0171245646973545E-2</v>
      </c>
      <c r="X1649">
        <v>9.2915625038951562E-3</v>
      </c>
      <c r="Y1649">
        <v>1.8722238798769394E-3</v>
      </c>
    </row>
    <row r="1650" spans="1:25">
      <c r="A1650" s="876"/>
      <c r="B1650" s="1202">
        <v>1400</v>
      </c>
      <c r="C1650" s="880">
        <v>0.99429233981992027</v>
      </c>
      <c r="D1650" s="880">
        <v>0.99496039982302642</v>
      </c>
      <c r="E1650" s="880">
        <v>0.9838637511899051</v>
      </c>
      <c r="F1650" s="880">
        <v>1.0088283001013598</v>
      </c>
      <c r="G1650" s="880">
        <v>1.012735765279871</v>
      </c>
      <c r="H1650" s="880">
        <v>1.0150738712663236</v>
      </c>
      <c r="I1650" s="880">
        <v>0.97613779526416566</v>
      </c>
      <c r="K1650">
        <v>1.076088209424422</v>
      </c>
      <c r="L1650">
        <v>0</v>
      </c>
      <c r="M1650">
        <v>7.3079152337653347E-4</v>
      </c>
      <c r="N1650">
        <v>6.927067453932359E-2</v>
      </c>
      <c r="O1650">
        <v>8.8618332479485206E-3</v>
      </c>
      <c r="P1650">
        <v>1.2516000233863461E-2</v>
      </c>
      <c r="Q1650">
        <v>2.9300165334701727E-3</v>
      </c>
      <c r="R1650">
        <v>7.1863280817163592E-4</v>
      </c>
      <c r="S1650">
        <v>8.4657267359235955E-2</v>
      </c>
      <c r="T1650">
        <v>0.8171439435729535</v>
      </c>
      <c r="U1650">
        <v>1.7007703055436512E-2</v>
      </c>
      <c r="V1650">
        <v>1.0413692844467158E-2</v>
      </c>
      <c r="W1650">
        <v>4.1868523786166949E-2</v>
      </c>
      <c r="X1650">
        <v>9.4748313601593741E-3</v>
      </c>
      <c r="Y1650">
        <v>1.9558816066016461E-3</v>
      </c>
    </row>
    <row r="1651" spans="1:25">
      <c r="A1651" s="876"/>
      <c r="B1651" s="1202">
        <v>1401</v>
      </c>
      <c r="C1651" s="880">
        <v>0.97472232013400406</v>
      </c>
      <c r="D1651" s="880">
        <v>0.99232669877368462</v>
      </c>
      <c r="E1651" s="880">
        <v>1.0062444576977045</v>
      </c>
      <c r="F1651" s="880">
        <v>1.034847348544693</v>
      </c>
      <c r="G1651" s="880">
        <v>0.99455070311468119</v>
      </c>
      <c r="H1651" s="880">
        <v>1.0009779980725921</v>
      </c>
      <c r="I1651" s="880">
        <v>1.0260047779689161</v>
      </c>
      <c r="K1651">
        <v>1.0840793378631235</v>
      </c>
      <c r="L1651">
        <v>0</v>
      </c>
      <c r="M1651">
        <v>7.0228415191646461E-4</v>
      </c>
      <c r="N1651">
        <v>7.1353827259423921E-2</v>
      </c>
      <c r="O1651">
        <v>9.0525510830102417E-3</v>
      </c>
      <c r="P1651">
        <v>1.2785956897009933E-2</v>
      </c>
      <c r="Q1651">
        <v>3.0607532358849334E-3</v>
      </c>
      <c r="R1651">
        <v>6.904375059181661E-4</v>
      </c>
      <c r="S1651">
        <v>9.0355984663809744E-2</v>
      </c>
      <c r="T1651">
        <v>0.81533327308195525</v>
      </c>
      <c r="U1651">
        <v>1.7349175777187007E-2</v>
      </c>
      <c r="V1651">
        <v>1.0415655863276181E-2</v>
      </c>
      <c r="W1651">
        <v>4.2469944056332191E-2</v>
      </c>
      <c r="X1651">
        <v>1.0034919302785028E-2</v>
      </c>
      <c r="Y1651">
        <v>1.8791432884465917E-3</v>
      </c>
    </row>
    <row r="1652" spans="1:25">
      <c r="A1652" s="876"/>
      <c r="B1652" s="1202">
        <v>1402</v>
      </c>
      <c r="C1652" s="880">
        <v>1.0281835659225165</v>
      </c>
      <c r="D1652" s="880">
        <v>0.9969727422502721</v>
      </c>
      <c r="E1652" s="880">
        <v>0.98884073926157057</v>
      </c>
      <c r="F1652" s="880">
        <v>0.96857525283493839</v>
      </c>
      <c r="G1652" s="880">
        <v>0.9665292906812889</v>
      </c>
      <c r="H1652" s="880">
        <v>1.0020670383383004</v>
      </c>
      <c r="I1652" s="880">
        <v>1.0075622562262805</v>
      </c>
      <c r="K1652">
        <v>1.0690552365455093</v>
      </c>
      <c r="L1652">
        <v>0</v>
      </c>
      <c r="M1652">
        <v>6.8964696691866973E-4</v>
      </c>
      <c r="N1652">
        <v>6.6377005750577964E-2</v>
      </c>
      <c r="O1652">
        <v>8.5604952914973744E-3</v>
      </c>
      <c r="P1652">
        <v>1.2540664947283446E-2</v>
      </c>
      <c r="Q1652">
        <v>2.8451176042152454E-3</v>
      </c>
      <c r="R1652">
        <v>6.7802214166785531E-4</v>
      </c>
      <c r="S1652">
        <v>8.3960746510819001E-2</v>
      </c>
      <c r="T1652">
        <v>0.81673981993701117</v>
      </c>
      <c r="U1652">
        <v>1.6447091187243086E-2</v>
      </c>
      <c r="V1652">
        <v>1.0410470063929438E-2</v>
      </c>
      <c r="W1652">
        <v>3.9981835517020212E-2</v>
      </c>
      <c r="X1652">
        <v>9.3582618014814625E-3</v>
      </c>
      <c r="Y1652">
        <v>1.8453527596809709E-3</v>
      </c>
    </row>
    <row r="1653" spans="1:25">
      <c r="A1653" s="876"/>
      <c r="B1653" s="1202">
        <v>1403</v>
      </c>
      <c r="C1653" s="880">
        <v>0.98690837343286608</v>
      </c>
      <c r="D1653" s="880">
        <v>0.99986678366590154</v>
      </c>
      <c r="E1653" s="880">
        <v>0.99580946916101787</v>
      </c>
      <c r="F1653" s="880">
        <v>0.96817650148398982</v>
      </c>
      <c r="G1653" s="880">
        <v>1.0151017094964838</v>
      </c>
      <c r="H1653" s="880">
        <v>1.0325823434640284</v>
      </c>
      <c r="I1653" s="880">
        <v>1.0133340349135911</v>
      </c>
      <c r="K1653">
        <v>1.0836662874490117</v>
      </c>
      <c r="L1653">
        <v>0</v>
      </c>
      <c r="M1653">
        <v>7.2847189477362245E-4</v>
      </c>
      <c r="N1653">
        <v>7.1687454191335806E-2</v>
      </c>
      <c r="O1653">
        <v>8.9047413366681542E-3</v>
      </c>
      <c r="P1653">
        <v>1.2676405605607522E-2</v>
      </c>
      <c r="Q1653">
        <v>2.9810677727829474E-3</v>
      </c>
      <c r="R1653">
        <v>7.165529725682736E-4</v>
      </c>
      <c r="S1653">
        <v>8.8966680072814802E-2</v>
      </c>
      <c r="T1653">
        <v>0.81617538122168198</v>
      </c>
      <c r="U1653">
        <v>1.7134953275480262E-2</v>
      </c>
      <c r="V1653">
        <v>1.041442436578493E-2</v>
      </c>
      <c r="W1653">
        <v>4.2974045949860068E-2</v>
      </c>
      <c r="X1653">
        <v>9.812831599492795E-3</v>
      </c>
      <c r="Y1653">
        <v>1.9502209797069166E-3</v>
      </c>
    </row>
    <row r="1654" spans="1:25">
      <c r="A1654" s="876"/>
      <c r="B1654" s="1202">
        <v>1404</v>
      </c>
      <c r="C1654" s="880">
        <v>0.99458137156212356</v>
      </c>
      <c r="D1654" s="880">
        <v>0.9967572325799906</v>
      </c>
      <c r="E1654" s="880">
        <v>1.0093465287969425</v>
      </c>
      <c r="F1654" s="880">
        <v>1.0237972183362882</v>
      </c>
      <c r="G1654" s="880">
        <v>1.0138866117441636</v>
      </c>
      <c r="H1654" s="880">
        <v>1.021766349221316</v>
      </c>
      <c r="I1654" s="880">
        <v>1.0361868841016686</v>
      </c>
      <c r="K1654">
        <v>1.0829494938515514</v>
      </c>
      <c r="L1654">
        <v>0</v>
      </c>
      <c r="M1654">
        <v>6.9632207674013636E-4</v>
      </c>
      <c r="N1654">
        <v>7.1458297793572614E-2</v>
      </c>
      <c r="O1654">
        <v>8.8507344959592778E-3</v>
      </c>
      <c r="P1654">
        <v>1.2802407583203666E-2</v>
      </c>
      <c r="Q1654">
        <v>3.0028238715036175E-3</v>
      </c>
      <c r="R1654">
        <v>6.8481120950225692E-4</v>
      </c>
      <c r="S1654">
        <v>9.000796103481408E-2</v>
      </c>
      <c r="T1654">
        <v>0.81508364848642856</v>
      </c>
      <c r="U1654">
        <v>1.7002760507561054E-2</v>
      </c>
      <c r="V1654">
        <v>1.0413664431320737E-2</v>
      </c>
      <c r="W1654">
        <v>4.2442432188706372E-2</v>
      </c>
      <c r="X1654">
        <v>1.0032443961407568E-2</v>
      </c>
      <c r="Y1654">
        <v>1.8638303643106018E-3</v>
      </c>
    </row>
    <row r="1655" spans="1:25">
      <c r="A1655" s="876"/>
      <c r="B1655" s="1202">
        <v>1405</v>
      </c>
      <c r="C1655" s="880">
        <v>1.0288188559443578</v>
      </c>
      <c r="D1655" s="880">
        <v>1.0162450126169524</v>
      </c>
      <c r="E1655" s="880">
        <v>1.0377855527174471</v>
      </c>
      <c r="F1655" s="880">
        <v>1.0082433129517392</v>
      </c>
      <c r="G1655" s="880">
        <v>1.0047872433124878</v>
      </c>
      <c r="H1655" s="880">
        <v>0.99806689877154287</v>
      </c>
      <c r="I1655" s="880">
        <v>0.95959810902625264</v>
      </c>
      <c r="K1655">
        <v>1.0635298250329486</v>
      </c>
      <c r="L1655">
        <v>0</v>
      </c>
      <c r="M1655">
        <v>6.1283744521154068E-4</v>
      </c>
      <c r="N1655">
        <v>6.8669190018034926E-2</v>
      </c>
      <c r="O1655">
        <v>8.4683578843559836E-3</v>
      </c>
      <c r="P1655">
        <v>1.2877507683054977E-2</v>
      </c>
      <c r="Q1655">
        <v>2.9595847886883845E-3</v>
      </c>
      <c r="R1655">
        <v>6.0245138443047481E-4</v>
      </c>
      <c r="S1655">
        <v>7.9024218315393469E-2</v>
      </c>
      <c r="T1655">
        <v>0.81281043636730155</v>
      </c>
      <c r="U1655">
        <v>1.6436935198305677E-2</v>
      </c>
      <c r="V1655">
        <v>1.0410411680357232E-2</v>
      </c>
      <c r="W1655">
        <v>4.0012511012151183E-2</v>
      </c>
      <c r="X1655">
        <v>1.023138407571126E-2</v>
      </c>
      <c r="Y1655">
        <v>1.6396740703742492E-3</v>
      </c>
    </row>
    <row r="1656" spans="1:25">
      <c r="A1656" s="876"/>
      <c r="B1656" s="1202">
        <v>1406</v>
      </c>
      <c r="C1656" s="880">
        <v>0.97407575541239333</v>
      </c>
      <c r="D1656" s="880">
        <v>1.0046837945402136</v>
      </c>
      <c r="E1656" s="880">
        <v>0.96246743784959776</v>
      </c>
      <c r="F1656" s="880">
        <v>1.0318893778257159</v>
      </c>
      <c r="G1656" s="880">
        <v>0.97664480574324297</v>
      </c>
      <c r="H1656" s="880">
        <v>1.0095425404991787</v>
      </c>
      <c r="I1656" s="880">
        <v>1.0146477734337427</v>
      </c>
      <c r="K1656">
        <v>1.0817810368572038</v>
      </c>
      <c r="L1656">
        <v>0</v>
      </c>
      <c r="M1656">
        <v>7.7193548669442918E-4</v>
      </c>
      <c r="N1656">
        <v>6.8442271784650927E-2</v>
      </c>
      <c r="O1656">
        <v>8.9989654371266711E-3</v>
      </c>
      <c r="P1656">
        <v>1.2400639384356628E-2</v>
      </c>
      <c r="Q1656">
        <v>2.913223431277135E-3</v>
      </c>
      <c r="R1656">
        <v>7.590126345795844E-4</v>
      </c>
      <c r="S1656">
        <v>8.9183695731009538E-2</v>
      </c>
      <c r="T1656">
        <v>0.81889083268691465</v>
      </c>
      <c r="U1656">
        <v>1.7360691683361875E-2</v>
      </c>
      <c r="V1656">
        <v>1.0415722064582991E-2</v>
      </c>
      <c r="W1656">
        <v>4.1989588019173144E-2</v>
      </c>
      <c r="X1656">
        <v>9.1325473039872134E-3</v>
      </c>
      <c r="Y1656">
        <v>2.0657821828778847E-3</v>
      </c>
    </row>
    <row r="1657" spans="1:25">
      <c r="A1657" s="876"/>
      <c r="B1657" s="1202">
        <v>1407</v>
      </c>
      <c r="C1657" s="880">
        <v>1.0127709873778528</v>
      </c>
      <c r="D1657" s="880">
        <v>1.029029851163703</v>
      </c>
      <c r="E1657" s="880">
        <v>1.03159919120523</v>
      </c>
      <c r="F1657" s="880">
        <v>0.96136808586611888</v>
      </c>
      <c r="G1657" s="880">
        <v>0.9660841581086751</v>
      </c>
      <c r="H1657" s="880">
        <v>0.99727046667063857</v>
      </c>
      <c r="I1657" s="880">
        <v>1.0022667638455753</v>
      </c>
      <c r="K1657">
        <v>1.0690442182722433</v>
      </c>
      <c r="L1657">
        <v>0</v>
      </c>
      <c r="M1657">
        <v>6.2608243704796328E-4</v>
      </c>
      <c r="N1657">
        <v>6.8817382810797065E-2</v>
      </c>
      <c r="O1657">
        <v>8.5455028875176219E-3</v>
      </c>
      <c r="P1657">
        <v>1.2890180654030881E-2</v>
      </c>
      <c r="Q1657">
        <v>2.9711277959080474E-3</v>
      </c>
      <c r="R1657">
        <v>6.1545377468176456E-4</v>
      </c>
      <c r="S1657">
        <v>8.3298969626694863E-2</v>
      </c>
      <c r="T1657">
        <v>0.81330258117344978</v>
      </c>
      <c r="U1657">
        <v>1.6697386750518402E-2</v>
      </c>
      <c r="V1657">
        <v>1.0411908934056482E-2</v>
      </c>
      <c r="W1657">
        <v>4.0264897821567947E-2</v>
      </c>
      <c r="X1657">
        <v>1.017984618966597E-2</v>
      </c>
      <c r="Y1657">
        <v>1.6750622904014654E-3</v>
      </c>
    </row>
    <row r="1658" spans="1:25">
      <c r="A1658" s="876"/>
      <c r="B1658" s="1202">
        <v>1408</v>
      </c>
      <c r="C1658" s="880">
        <v>0.98354500620586927</v>
      </c>
      <c r="D1658" s="880">
        <v>1.0077907167229541</v>
      </c>
      <c r="E1658" s="880">
        <v>1.0311515489547971</v>
      </c>
      <c r="F1658" s="880">
        <v>0.98269840386528062</v>
      </c>
      <c r="G1658" s="880">
        <v>1.0174003549716226</v>
      </c>
      <c r="H1658" s="880">
        <v>0.95591589605264227</v>
      </c>
      <c r="I1658" s="880">
        <v>1.0161077304301813</v>
      </c>
      <c r="K1658">
        <v>1.0729050363058825</v>
      </c>
      <c r="L1658">
        <v>0</v>
      </c>
      <c r="M1658">
        <v>6.2542759673191791E-4</v>
      </c>
      <c r="N1658">
        <v>6.86005419064835E-2</v>
      </c>
      <c r="O1658">
        <v>8.8976724793778748E-3</v>
      </c>
      <c r="P1658">
        <v>1.2935970736233492E-2</v>
      </c>
      <c r="Q1658">
        <v>3.0874280462536209E-3</v>
      </c>
      <c r="R1658">
        <v>6.1436753507191244E-4</v>
      </c>
      <c r="S1658">
        <v>8.6343576795652993E-2</v>
      </c>
      <c r="T1658">
        <v>0.81333824325862225</v>
      </c>
      <c r="U1658">
        <v>1.7193548601488935E-2</v>
      </c>
      <c r="V1658">
        <v>1.0414761211804372E-2</v>
      </c>
      <c r="W1658">
        <v>4.0150055321144379E-2</v>
      </c>
      <c r="X1658">
        <v>1.0282192106219846E-2</v>
      </c>
      <c r="Y1658">
        <v>1.6721059042622394E-3</v>
      </c>
    </row>
    <row r="1659" spans="1:25">
      <c r="A1659" s="876"/>
      <c r="B1659" s="1202">
        <v>1409</v>
      </c>
      <c r="C1659" s="880">
        <v>0.99384108242504532</v>
      </c>
      <c r="D1659" s="880">
        <v>0.99783004109918605</v>
      </c>
      <c r="E1659" s="880">
        <v>0.99216486426379891</v>
      </c>
      <c r="F1659" s="880">
        <v>1.0050684306737812</v>
      </c>
      <c r="G1659" s="880">
        <v>1.0042101117827125</v>
      </c>
      <c r="H1659" s="880">
        <v>1.0090585822881684</v>
      </c>
      <c r="I1659" s="880">
        <v>1.0162694097849283</v>
      </c>
      <c r="K1659">
        <v>1.0787371922902778</v>
      </c>
      <c r="L1659">
        <v>0</v>
      </c>
      <c r="M1659">
        <v>7.1312518559375662E-4</v>
      </c>
      <c r="N1659">
        <v>6.9358906669001574E-2</v>
      </c>
      <c r="O1659">
        <v>8.8522463741672937E-3</v>
      </c>
      <c r="P1659">
        <v>1.2628721631023772E-2</v>
      </c>
      <c r="Q1659">
        <v>2.9521710652391214E-3</v>
      </c>
      <c r="R1659">
        <v>7.0118714050662666E-4</v>
      </c>
      <c r="S1659">
        <v>8.7831078217700934E-2</v>
      </c>
      <c r="T1659">
        <v>0.81647037385986387</v>
      </c>
      <c r="U1659">
        <v>1.7015425468918214E-2</v>
      </c>
      <c r="V1659">
        <v>1.0413737238182813E-2</v>
      </c>
      <c r="W1659">
        <v>4.1682419867447307E-2</v>
      </c>
      <c r="X1659">
        <v>9.6356496936399662E-3</v>
      </c>
      <c r="Y1659">
        <v>1.9084002501802918E-3</v>
      </c>
    </row>
    <row r="1660" spans="1:25">
      <c r="A1660" s="876"/>
      <c r="B1660" s="1202">
        <v>1410</v>
      </c>
      <c r="C1660" s="880">
        <v>0.97552218127193902</v>
      </c>
      <c r="D1660" s="880">
        <v>1.0146402321853358</v>
      </c>
      <c r="E1660" s="880">
        <v>0.99770908330855357</v>
      </c>
      <c r="F1660" s="880">
        <v>1.0032182452875311</v>
      </c>
      <c r="G1660" s="880">
        <v>1.0025183532839026</v>
      </c>
      <c r="H1660" s="880">
        <v>1.0018053520518035</v>
      </c>
      <c r="I1660" s="880">
        <v>0.96701213784118323</v>
      </c>
      <c r="K1660">
        <v>1.0759372119241768</v>
      </c>
      <c r="L1660">
        <v>0</v>
      </c>
      <c r="M1660">
        <v>7.06623541841349E-4</v>
      </c>
      <c r="N1660">
        <v>6.9912644144229569E-2</v>
      </c>
      <c r="O1660">
        <v>8.9385370270129109E-3</v>
      </c>
      <c r="P1660">
        <v>1.262992958776402E-2</v>
      </c>
      <c r="Q1660">
        <v>3.0013872437224236E-3</v>
      </c>
      <c r="R1660">
        <v>6.9469410588191536E-4</v>
      </c>
      <c r="S1660">
        <v>8.4183040329262174E-2</v>
      </c>
      <c r="T1660">
        <v>0.81602180608352426</v>
      </c>
      <c r="U1660">
        <v>1.7334950645513131E-2</v>
      </c>
      <c r="V1660">
        <v>1.0415574087487774E-2</v>
      </c>
      <c r="W1660">
        <v>4.1855548849126865E-2</v>
      </c>
      <c r="X1660">
        <v>9.7649950121321358E-3</v>
      </c>
      <c r="Y1660">
        <v>1.8907283503601163E-3</v>
      </c>
    </row>
    <row r="1661" spans="1:25">
      <c r="A1661" s="876"/>
      <c r="B1661" s="1202">
        <v>1411</v>
      </c>
      <c r="C1661" s="880">
        <v>1.0294826953427059</v>
      </c>
      <c r="D1661" s="880">
        <v>0.98018035976590601</v>
      </c>
      <c r="E1661" s="880">
        <v>1.0016362373591317</v>
      </c>
      <c r="F1661" s="880">
        <v>1.0068915435788535</v>
      </c>
      <c r="G1661" s="880">
        <v>1.0316343824273015</v>
      </c>
      <c r="H1661" s="880">
        <v>1.012837673705294</v>
      </c>
      <c r="I1661" s="880">
        <v>0.98517552735149128</v>
      </c>
      <c r="K1661">
        <v>1.0706689889313976</v>
      </c>
      <c r="L1661">
        <v>0</v>
      </c>
      <c r="M1661">
        <v>6.8384319455165057E-4</v>
      </c>
      <c r="N1661">
        <v>6.8506274223779959E-2</v>
      </c>
      <c r="O1661">
        <v>8.6275780529106328E-3</v>
      </c>
      <c r="P1661">
        <v>1.2634900041529222E-2</v>
      </c>
      <c r="Q1661">
        <v>2.9009284965638292E-3</v>
      </c>
      <c r="R1661">
        <v>6.7245306550189985E-4</v>
      </c>
      <c r="S1661">
        <v>8.3061786512582364E-2</v>
      </c>
      <c r="T1661">
        <v>0.8157047022147641</v>
      </c>
      <c r="U1661">
        <v>1.6426336200166002E-2</v>
      </c>
      <c r="V1661">
        <v>1.0410350750065049E-2</v>
      </c>
      <c r="W1661">
        <v>4.0903492709448472E-2</v>
      </c>
      <c r="X1661">
        <v>9.6738342884349279E-3</v>
      </c>
      <c r="Y1661">
        <v>1.8301955702027049E-3</v>
      </c>
    </row>
    <row r="1662" spans="1:25">
      <c r="A1662" s="876"/>
      <c r="B1662" s="1202">
        <v>1412</v>
      </c>
      <c r="C1662" s="880">
        <v>0.98334195837682703</v>
      </c>
      <c r="D1662" s="880">
        <v>0.97896261445992205</v>
      </c>
      <c r="E1662" s="880">
        <v>1.0214232011145015</v>
      </c>
      <c r="F1662" s="880">
        <v>1.0121235805693549</v>
      </c>
      <c r="G1662" s="880">
        <v>0.95763799605028799</v>
      </c>
      <c r="H1662" s="880">
        <v>0.97785753977333223</v>
      </c>
      <c r="I1662" s="880">
        <v>0.99811975020688304</v>
      </c>
      <c r="K1662">
        <v>1.0778499366796814</v>
      </c>
      <c r="L1662">
        <v>0</v>
      </c>
      <c r="M1662">
        <v>6.6338477685692074E-4</v>
      </c>
      <c r="N1662">
        <v>7.0629952549453437E-2</v>
      </c>
      <c r="O1662">
        <v>9.0384061044593202E-3</v>
      </c>
      <c r="P1662">
        <v>1.286262579792315E-2</v>
      </c>
      <c r="Q1662">
        <v>3.0994338568495409E-3</v>
      </c>
      <c r="R1662">
        <v>6.5194119776287277E-4</v>
      </c>
      <c r="S1662">
        <v>8.6872581433810242E-2</v>
      </c>
      <c r="T1662">
        <v>0.81411495598395944</v>
      </c>
      <c r="U1662">
        <v>1.7197098854467918E-2</v>
      </c>
      <c r="V1662">
        <v>1.0414781621087258E-2</v>
      </c>
      <c r="W1662">
        <v>4.1608880554647461E-2</v>
      </c>
      <c r="X1662">
        <v>1.0248294474165332E-2</v>
      </c>
      <c r="Y1662">
        <v>1.7743690279524561E-3</v>
      </c>
    </row>
    <row r="1663" spans="1:25">
      <c r="A1663" s="876"/>
      <c r="B1663" s="1202">
        <v>1413</v>
      </c>
      <c r="C1663" s="880">
        <v>1.0222070877883012</v>
      </c>
      <c r="D1663" s="880">
        <v>1.042017591392558</v>
      </c>
      <c r="E1663" s="880">
        <v>0.97280365433337534</v>
      </c>
      <c r="F1663" s="880">
        <v>0.97729198207985279</v>
      </c>
      <c r="G1663" s="880">
        <v>0.98023551928120178</v>
      </c>
      <c r="H1663" s="880">
        <v>1.0097030194140266</v>
      </c>
      <c r="I1663" s="880">
        <v>1.001280892995448</v>
      </c>
      <c r="K1663">
        <v>1.0658126953213944</v>
      </c>
      <c r="L1663">
        <v>0</v>
      </c>
      <c r="M1663">
        <v>7.0613389198610646E-4</v>
      </c>
      <c r="N1663">
        <v>6.4656356187235905E-2</v>
      </c>
      <c r="O1663">
        <v>8.4103653574623283E-3</v>
      </c>
      <c r="P1663">
        <v>1.2386131747491881E-2</v>
      </c>
      <c r="Q1663">
        <v>2.7590656957941664E-3</v>
      </c>
      <c r="R1663">
        <v>6.942830993005274E-4</v>
      </c>
      <c r="S1663">
        <v>8.236342770771532E-2</v>
      </c>
      <c r="T1663">
        <v>0.81804500789568058</v>
      </c>
      <c r="U1663">
        <v>1.6543251429161063E-2</v>
      </c>
      <c r="V1663">
        <v>1.0411022858784025E-2</v>
      </c>
      <c r="W1663">
        <v>3.9380965722706898E-2</v>
      </c>
      <c r="X1663">
        <v>8.9793417861132666E-3</v>
      </c>
      <c r="Y1663">
        <v>1.8896097259338614E-3</v>
      </c>
    </row>
    <row r="1664" spans="1:25">
      <c r="A1664" s="876"/>
      <c r="B1664" s="1202">
        <v>1414</v>
      </c>
      <c r="C1664" s="880">
        <v>1.0132226786193228</v>
      </c>
      <c r="D1664" s="880">
        <v>1.0265238159646535</v>
      </c>
      <c r="E1664" s="880">
        <v>1.0432774205721258</v>
      </c>
      <c r="F1664" s="880">
        <v>0.98375025862235643</v>
      </c>
      <c r="G1664" s="880">
        <v>1.0123836792195564</v>
      </c>
      <c r="H1664" s="880">
        <v>0.98581666897775166</v>
      </c>
      <c r="I1664" s="880">
        <v>0.98893237234600961</v>
      </c>
      <c r="K1664">
        <v>1.0666770495110547</v>
      </c>
      <c r="L1664">
        <v>0</v>
      </c>
      <c r="M1664">
        <v>6.042849298301086E-4</v>
      </c>
      <c r="N1664">
        <v>6.8858547172348419E-2</v>
      </c>
      <c r="O1664">
        <v>8.5527781061950636E-3</v>
      </c>
      <c r="P1664">
        <v>1.2965955534835092E-2</v>
      </c>
      <c r="Q1664">
        <v>3.0075081079488234E-3</v>
      </c>
      <c r="R1664">
        <v>5.9390895718778745E-4</v>
      </c>
      <c r="S1664">
        <v>8.1859439819764943E-2</v>
      </c>
      <c r="T1664">
        <v>0.81237463656109121</v>
      </c>
      <c r="U1664">
        <v>1.6689943112007503E-2</v>
      </c>
      <c r="V1664">
        <v>1.0411866142930033E-2</v>
      </c>
      <c r="W1664">
        <v>3.9976525554119478E-2</v>
      </c>
      <c r="X1664">
        <v>1.0373800973027121E-2</v>
      </c>
      <c r="Y1664">
        <v>1.6164243994300379E-3</v>
      </c>
    </row>
    <row r="1665" spans="1:25">
      <c r="A1665" s="876"/>
      <c r="B1665" s="1202">
        <v>1415</v>
      </c>
      <c r="C1665" s="880">
        <v>1.0019266370369604</v>
      </c>
      <c r="D1665" s="880">
        <v>1.0176458199328298</v>
      </c>
      <c r="E1665" s="880">
        <v>1.0102144078903992</v>
      </c>
      <c r="F1665" s="880">
        <v>0.99457666954591928</v>
      </c>
      <c r="G1665" s="880">
        <v>0.98445713182204564</v>
      </c>
      <c r="H1665" s="880">
        <v>0.99218585467397513</v>
      </c>
      <c r="I1665" s="880">
        <v>1.0013855462662704</v>
      </c>
      <c r="K1665">
        <v>1.0712909726686599</v>
      </c>
      <c r="L1665">
        <v>0</v>
      </c>
      <c r="M1665">
        <v>6.626319386321965E-4</v>
      </c>
      <c r="N1665">
        <v>6.8148691701712102E-2</v>
      </c>
      <c r="O1665">
        <v>8.6892779975433626E-3</v>
      </c>
      <c r="P1665">
        <v>1.273100889662063E-2</v>
      </c>
      <c r="Q1665">
        <v>2.9551651095165291E-3</v>
      </c>
      <c r="R1665">
        <v>6.5133428749337724E-4</v>
      </c>
      <c r="S1665">
        <v>8.4412705394042664E-2</v>
      </c>
      <c r="T1665">
        <v>0.81501386861890901</v>
      </c>
      <c r="U1665">
        <v>1.6878110872431625E-2</v>
      </c>
      <c r="V1665">
        <v>1.0412947859944129E-2</v>
      </c>
      <c r="W1665">
        <v>4.0452835804012564E-2</v>
      </c>
      <c r="X1665">
        <v>9.834940846799204E-3</v>
      </c>
      <c r="Y1665">
        <v>1.7727172182668053E-3</v>
      </c>
    </row>
    <row r="1666" spans="1:25">
      <c r="A1666" s="876"/>
      <c r="B1666" s="1202">
        <v>1416</v>
      </c>
      <c r="C1666" s="880">
        <v>0.98850431539123174</v>
      </c>
      <c r="D1666" s="880">
        <v>0.98480077014448208</v>
      </c>
      <c r="E1666" s="880">
        <v>0.96278355424766848</v>
      </c>
      <c r="F1666" s="880">
        <v>0.99108706471077046</v>
      </c>
      <c r="G1666" s="880">
        <v>1.0007890378237536</v>
      </c>
      <c r="H1666" s="880">
        <v>1.0129179992327388</v>
      </c>
      <c r="I1666" s="880">
        <v>1.0429337936877787</v>
      </c>
      <c r="K1666">
        <v>1.08361296315912</v>
      </c>
      <c r="L1666">
        <v>0</v>
      </c>
      <c r="M1666">
        <v>7.7086461314559214E-4</v>
      </c>
      <c r="N1666">
        <v>6.8420350639016331E-2</v>
      </c>
      <c r="O1666">
        <v>8.962690577246234E-3</v>
      </c>
      <c r="P1666">
        <v>1.2428885308439551E-2</v>
      </c>
      <c r="Q1666">
        <v>2.8980817221152017E-3</v>
      </c>
      <c r="R1666">
        <v>7.58021600648344E-4</v>
      </c>
      <c r="S1666">
        <v>9.1364953990961451E-2</v>
      </c>
      <c r="T1666">
        <v>0.81886491111197357</v>
      </c>
      <c r="U1666">
        <v>1.7107288863235239E-2</v>
      </c>
      <c r="V1666">
        <v>1.0414265331817898E-2</v>
      </c>
      <c r="W1666">
        <v>4.1966819603121402E-2</v>
      </c>
      <c r="X1666">
        <v>9.1344741084778379E-3</v>
      </c>
      <c r="Y1666">
        <v>2.0630849152112954E-3</v>
      </c>
    </row>
    <row r="1667" spans="1:25">
      <c r="A1667" s="876"/>
      <c r="B1667" s="1202">
        <v>1417</v>
      </c>
      <c r="C1667" s="880">
        <v>0.97421478696610064</v>
      </c>
      <c r="D1667" s="880">
        <v>0.98750992669995685</v>
      </c>
      <c r="E1667" s="880">
        <v>1.0040153147449369</v>
      </c>
      <c r="F1667" s="880">
        <v>0.98719215909640501</v>
      </c>
      <c r="G1667" s="880">
        <v>1.0058256868820903</v>
      </c>
      <c r="H1667" s="880">
        <v>0.97573763518087187</v>
      </c>
      <c r="I1667" s="880">
        <v>0.97798424322743371</v>
      </c>
      <c r="K1667">
        <v>1.0764056822377099</v>
      </c>
      <c r="L1667">
        <v>0</v>
      </c>
      <c r="M1667">
        <v>6.8994310662259806E-4</v>
      </c>
      <c r="N1667">
        <v>6.9585201432387347E-2</v>
      </c>
      <c r="O1667">
        <v>9.0808222009474276E-3</v>
      </c>
      <c r="P1667">
        <v>1.2700473159943902E-2</v>
      </c>
      <c r="Q1667">
        <v>3.0623414646799973E-3</v>
      </c>
      <c r="R1667">
        <v>6.7800785868883087E-4</v>
      </c>
      <c r="S1667">
        <v>8.5469221163219436E-2</v>
      </c>
      <c r="T1667">
        <v>0.8155128550217301</v>
      </c>
      <c r="U1667">
        <v>1.7358214114790251E-2</v>
      </c>
      <c r="V1667">
        <v>1.0415707821823906E-2</v>
      </c>
      <c r="W1667">
        <v>4.1480249026547227E-2</v>
      </c>
      <c r="X1667">
        <v>9.9072181934546869E-3</v>
      </c>
      <c r="Y1667">
        <v>1.8453138861204493E-3</v>
      </c>
    </row>
    <row r="1668" spans="1:25">
      <c r="A1668" s="876"/>
      <c r="B1668" s="1202">
        <v>1418</v>
      </c>
      <c r="C1668" s="880">
        <v>0.973573571900617</v>
      </c>
      <c r="D1668" s="880">
        <v>0.95569023923320429</v>
      </c>
      <c r="E1668" s="880">
        <v>0.97761176391573201</v>
      </c>
      <c r="F1668" s="880">
        <v>0.9839266005193692</v>
      </c>
      <c r="G1668" s="880">
        <v>1.0292663899298657</v>
      </c>
      <c r="H1668" s="880">
        <v>1.0040618576134923</v>
      </c>
      <c r="I1668" s="880">
        <v>1.0071018679052763</v>
      </c>
      <c r="K1668">
        <v>1.0866128855579957</v>
      </c>
      <c r="L1668">
        <v>0</v>
      </c>
      <c r="M1668">
        <v>7.6423820860671403E-4</v>
      </c>
      <c r="N1668">
        <v>7.1034098500888224E-2</v>
      </c>
      <c r="O1668">
        <v>9.2473542211866707E-3</v>
      </c>
      <c r="P1668">
        <v>1.2548098995913633E-2</v>
      </c>
      <c r="Q1668">
        <v>3.0288995180577285E-3</v>
      </c>
      <c r="R1668">
        <v>7.5142193260652548E-4</v>
      </c>
      <c r="S1668">
        <v>9.0597520436599382E-2</v>
      </c>
      <c r="T1668">
        <v>0.81765278368857552</v>
      </c>
      <c r="U1668">
        <v>1.7369646582475886E-2</v>
      </c>
      <c r="V1668">
        <v>1.0415773543469236E-2</v>
      </c>
      <c r="W1668">
        <v>4.3120936572545357E-2</v>
      </c>
      <c r="X1668">
        <v>9.5654669799014568E-3</v>
      </c>
      <c r="Y1668">
        <v>2.0451227943814512E-3</v>
      </c>
    </row>
    <row r="1669" spans="1:25">
      <c r="A1669" s="876"/>
      <c r="B1669" s="1202">
        <v>1419</v>
      </c>
      <c r="C1669" s="880">
        <v>1.0253723690011343</v>
      </c>
      <c r="D1669" s="880">
        <v>0.98670106311451966</v>
      </c>
      <c r="E1669" s="880">
        <v>1.0020427405724497</v>
      </c>
      <c r="F1669" s="880">
        <v>0.98934623658076248</v>
      </c>
      <c r="G1669" s="880">
        <v>0.97057899780680867</v>
      </c>
      <c r="H1669" s="880">
        <v>0.99359793107124572</v>
      </c>
      <c r="I1669" s="880">
        <v>1.0023421346291492</v>
      </c>
      <c r="K1669">
        <v>1.0694479676716555</v>
      </c>
      <c r="L1669">
        <v>0</v>
      </c>
      <c r="M1669">
        <v>6.7059223205411119E-4</v>
      </c>
      <c r="N1669">
        <v>6.7241185190015401E-2</v>
      </c>
      <c r="O1669">
        <v>8.6315400599197532E-3</v>
      </c>
      <c r="P1669">
        <v>1.2650511306378436E-2</v>
      </c>
      <c r="Q1669">
        <v>2.9048942692345117E-3</v>
      </c>
      <c r="R1669">
        <v>6.5920094534203575E-4</v>
      </c>
      <c r="S1669">
        <v>8.3890233019426053E-2</v>
      </c>
      <c r="T1669">
        <v>0.81567190844131543</v>
      </c>
      <c r="U1669">
        <v>1.6492183110440029E-2</v>
      </c>
      <c r="V1669">
        <v>1.0410729283151744E-2</v>
      </c>
      <c r="W1669">
        <v>4.0136986490857861E-2</v>
      </c>
      <c r="X1669">
        <v>9.6350601199400154E-3</v>
      </c>
      <c r="Y1669">
        <v>1.7941276676877915E-3</v>
      </c>
    </row>
    <row r="1670" spans="1:25">
      <c r="A1670" s="876"/>
      <c r="B1670" s="1202">
        <v>1420</v>
      </c>
      <c r="C1670" s="880">
        <v>0.98548209696052669</v>
      </c>
      <c r="D1670" s="880">
        <v>1.0089230984231614</v>
      </c>
      <c r="E1670" s="880">
        <v>1.008142717665258</v>
      </c>
      <c r="F1670" s="880">
        <v>1.0413133146156734</v>
      </c>
      <c r="G1670" s="880">
        <v>1.0012313566128268</v>
      </c>
      <c r="H1670" s="880">
        <v>0.99041826387140608</v>
      </c>
      <c r="I1670" s="880">
        <v>0.9701978489853671</v>
      </c>
      <c r="K1670">
        <v>1.0730394781749031</v>
      </c>
      <c r="L1670">
        <v>0</v>
      </c>
      <c r="M1670">
        <v>6.785300069852816E-4</v>
      </c>
      <c r="N1670">
        <v>6.9334322342045271E-2</v>
      </c>
      <c r="O1670">
        <v>8.8748708092087122E-3</v>
      </c>
      <c r="P1670">
        <v>1.2704350162411181E-2</v>
      </c>
      <c r="Q1670">
        <v>3.0101119266151221E-3</v>
      </c>
      <c r="R1670">
        <v>6.6694793413502886E-4</v>
      </c>
      <c r="S1670">
        <v>8.3443179757951097E-2</v>
      </c>
      <c r="T1670">
        <v>0.81518048065333981</v>
      </c>
      <c r="U1670">
        <v>1.7159752488765615E-2</v>
      </c>
      <c r="V1670">
        <v>1.0414566928628237E-2</v>
      </c>
      <c r="W1670">
        <v>4.121463177168614E-2</v>
      </c>
      <c r="X1670">
        <v>9.899580989714293E-3</v>
      </c>
      <c r="Y1670">
        <v>1.8152124173881497E-3</v>
      </c>
    </row>
    <row r="1671" spans="1:25">
      <c r="A1671" s="876"/>
      <c r="B1671" s="1202">
        <v>1421</v>
      </c>
      <c r="C1671" s="880">
        <v>0.99082610164631424</v>
      </c>
      <c r="D1671" s="880">
        <v>0.99937415818666275</v>
      </c>
      <c r="E1671" s="880">
        <v>1.0067378065332497</v>
      </c>
      <c r="F1671" s="880">
        <v>0.98811400700488372</v>
      </c>
      <c r="G1671" s="880">
        <v>0.99107964495654499</v>
      </c>
      <c r="H1671" s="880">
        <v>0.98100249355473368</v>
      </c>
      <c r="I1671" s="880">
        <v>1.0179588285527885</v>
      </c>
      <c r="K1671">
        <v>1.07551393352289</v>
      </c>
      <c r="L1671">
        <v>0</v>
      </c>
      <c r="M1671">
        <v>6.7383648591369928E-4</v>
      </c>
      <c r="N1671">
        <v>6.8544003732086689E-2</v>
      </c>
      <c r="O1671">
        <v>8.8718632841009535E-3</v>
      </c>
      <c r="P1671">
        <v>1.2742176140332238E-2</v>
      </c>
      <c r="Q1671">
        <v>3.0027331644336694E-3</v>
      </c>
      <c r="R1671">
        <v>6.6223222267081875E-4</v>
      </c>
      <c r="S1671">
        <v>8.7145884657371941E-2</v>
      </c>
      <c r="T1671">
        <v>0.81529355125837721</v>
      </c>
      <c r="U1671">
        <v>1.7067201638970117E-2</v>
      </c>
      <c r="V1671">
        <v>1.0414034883028783E-2</v>
      </c>
      <c r="W1671">
        <v>4.0783823866432839E-2</v>
      </c>
      <c r="X1671">
        <v>9.8578873556825694E-3</v>
      </c>
      <c r="Y1671">
        <v>1.8023778053164357E-3</v>
      </c>
    </row>
    <row r="1672" spans="1:25">
      <c r="A1672" s="876"/>
      <c r="B1672" s="1202">
        <v>1422</v>
      </c>
      <c r="C1672" s="880">
        <v>1.0090226296525544</v>
      </c>
      <c r="D1672" s="880">
        <v>1.0307377945909184</v>
      </c>
      <c r="E1672" s="880">
        <v>0.98249009529348907</v>
      </c>
      <c r="F1672" s="880">
        <v>0.994577726893076</v>
      </c>
      <c r="G1672" s="880">
        <v>0.98727957927797239</v>
      </c>
      <c r="H1672" s="880">
        <v>0.99742720827168274</v>
      </c>
      <c r="I1672" s="880">
        <v>0.96620368479658436</v>
      </c>
      <c r="K1672">
        <v>1.0653528853378265</v>
      </c>
      <c r="L1672">
        <v>0</v>
      </c>
      <c r="M1672">
        <v>6.9645131923096258E-4</v>
      </c>
      <c r="N1672">
        <v>6.5711143112472226E-2</v>
      </c>
      <c r="O1672">
        <v>8.569687224109071E-3</v>
      </c>
      <c r="P1672">
        <v>1.2445638263739867E-2</v>
      </c>
      <c r="Q1672">
        <v>2.8369121380266947E-3</v>
      </c>
      <c r="R1672">
        <v>6.8462847914312226E-4</v>
      </c>
      <c r="S1672">
        <v>8.0539009788040392E-2</v>
      </c>
      <c r="T1672">
        <v>0.81725563002487045</v>
      </c>
      <c r="U1672">
        <v>1.6759414872365493E-2</v>
      </c>
      <c r="V1672">
        <v>1.0412265514134801E-2</v>
      </c>
      <c r="W1672">
        <v>3.9754865388442306E-2</v>
      </c>
      <c r="X1672">
        <v>9.2168088192036233E-3</v>
      </c>
      <c r="Y1672">
        <v>1.8633330325100838E-3</v>
      </c>
    </row>
    <row r="1673" spans="1:25">
      <c r="A1673" s="876"/>
      <c r="B1673" s="1202">
        <v>1423</v>
      </c>
      <c r="C1673" s="880">
        <v>1.0435993820693581</v>
      </c>
      <c r="D1673" s="880">
        <v>0.99976008827707108</v>
      </c>
      <c r="E1673" s="880">
        <v>1.0460396219024515</v>
      </c>
      <c r="F1673" s="880">
        <v>0.99439682604972446</v>
      </c>
      <c r="G1673" s="880">
        <v>1.0094621283638754</v>
      </c>
      <c r="H1673" s="880">
        <v>1.0213584078606237</v>
      </c>
      <c r="I1673" s="880">
        <v>0.99967189283501978</v>
      </c>
      <c r="K1673">
        <v>1.0691773683235519</v>
      </c>
      <c r="L1673">
        <v>0</v>
      </c>
      <c r="M1673">
        <v>6.128412005081597E-4</v>
      </c>
      <c r="N1673">
        <v>7.047935348681289E-2</v>
      </c>
      <c r="O1673">
        <v>8.421492075828544E-3</v>
      </c>
      <c r="P1673">
        <v>1.2992438729103554E-2</v>
      </c>
      <c r="Q1673">
        <v>2.963555477296828E-3</v>
      </c>
      <c r="R1673">
        <v>6.0270406477137123E-4</v>
      </c>
      <c r="S1673">
        <v>8.2619413956380006E-2</v>
      </c>
      <c r="T1673">
        <v>0.81215583553813664</v>
      </c>
      <c r="U1673">
        <v>1.6204138442876648E-2</v>
      </c>
      <c r="V1673">
        <v>1.0409073405348798E-2</v>
      </c>
      <c r="W1673">
        <v>4.0842594823026178E-2</v>
      </c>
      <c r="X1673">
        <v>1.0459247741511048E-2</v>
      </c>
      <c r="Y1673">
        <v>1.6403617829661174E-3</v>
      </c>
    </row>
    <row r="1674" spans="1:25">
      <c r="A1674" s="876"/>
      <c r="B1674" s="1202">
        <v>1424</v>
      </c>
      <c r="C1674" s="880">
        <v>1.0038037822977182</v>
      </c>
      <c r="D1674" s="880">
        <v>1.0022995015271066</v>
      </c>
      <c r="E1674" s="880">
        <v>1.0241622585032493</v>
      </c>
      <c r="F1674" s="880">
        <v>1.0149772594103934</v>
      </c>
      <c r="G1674" s="880">
        <v>1.0348338388015335</v>
      </c>
      <c r="H1674" s="880">
        <v>0.99789652878602708</v>
      </c>
      <c r="I1674" s="880">
        <v>0.99170504017550865</v>
      </c>
      <c r="K1674">
        <v>1.0729938498737726</v>
      </c>
      <c r="L1674">
        <v>0</v>
      </c>
      <c r="M1674">
        <v>6.5113235050795503E-4</v>
      </c>
      <c r="N1674">
        <v>6.9940280221735179E-2</v>
      </c>
      <c r="O1674">
        <v>8.743525412292192E-3</v>
      </c>
      <c r="P1674">
        <v>1.2844406779599329E-2</v>
      </c>
      <c r="Q1674">
        <v>3.0117935796513669E-3</v>
      </c>
      <c r="R1674">
        <v>6.4010655081751648E-4</v>
      </c>
      <c r="S1674">
        <v>8.4274911856175611E-2</v>
      </c>
      <c r="T1674">
        <v>0.81389594263980436</v>
      </c>
      <c r="U1674">
        <v>1.6846548263888574E-2</v>
      </c>
      <c r="V1674">
        <v>1.0412766416477997E-2</v>
      </c>
      <c r="W1674">
        <v>4.1126651594527677E-2</v>
      </c>
      <c r="X1674">
        <v>1.0165889889051281E-2</v>
      </c>
      <c r="Y1674">
        <v>1.7421590202575132E-3</v>
      </c>
    </row>
    <row r="1675" spans="1:25">
      <c r="A1675" s="876"/>
      <c r="B1675" s="1202">
        <v>1425</v>
      </c>
      <c r="C1675" s="880">
        <v>0.96161353411283879</v>
      </c>
      <c r="D1675" s="880">
        <v>1.0132051367842283</v>
      </c>
      <c r="E1675" s="880">
        <v>1.0264025427488357</v>
      </c>
      <c r="F1675" s="880">
        <v>0.98333310811407182</v>
      </c>
      <c r="G1675" s="880">
        <v>0.99505113011162249</v>
      </c>
      <c r="H1675" s="880">
        <v>0.98880834625140324</v>
      </c>
      <c r="I1675" s="880">
        <v>0.99073812759469937</v>
      </c>
      <c r="K1675">
        <v>1.0805080731704311</v>
      </c>
      <c r="L1675">
        <v>0</v>
      </c>
      <c r="M1675">
        <v>6.6648254034032211E-4</v>
      </c>
      <c r="N1675">
        <v>7.207645269723198E-2</v>
      </c>
      <c r="O1675">
        <v>9.0746605981625993E-3</v>
      </c>
      <c r="P1675">
        <v>1.2912358375645781E-2</v>
      </c>
      <c r="Q1675">
        <v>3.1353304721355008E-3</v>
      </c>
      <c r="R1675">
        <v>6.5508406031389722E-4</v>
      </c>
      <c r="S1675">
        <v>8.7082158384431563E-2</v>
      </c>
      <c r="T1675">
        <v>0.81371700115492729</v>
      </c>
      <c r="U1675">
        <v>1.7585681010151025E-2</v>
      </c>
      <c r="V1675">
        <v>1.0417015457150486E-2</v>
      </c>
      <c r="W1675">
        <v>4.2318987583175607E-2</v>
      </c>
      <c r="X1675">
        <v>1.0416903053674148E-2</v>
      </c>
      <c r="Y1675">
        <v>1.7829228637719833E-3</v>
      </c>
    </row>
    <row r="1676" spans="1:25">
      <c r="A1676" s="876"/>
      <c r="B1676" s="1202">
        <v>1426</v>
      </c>
      <c r="C1676" s="880">
        <v>0.99630520582514448</v>
      </c>
      <c r="D1676" s="880">
        <v>0.9906191978863933</v>
      </c>
      <c r="E1676" s="880">
        <v>1.0213169559891246</v>
      </c>
      <c r="F1676" s="880">
        <v>0.99374300958922435</v>
      </c>
      <c r="G1676" s="880">
        <v>0.98684428454591799</v>
      </c>
      <c r="H1676" s="880">
        <v>1.0338630702152241</v>
      </c>
      <c r="I1676" s="880">
        <v>0.96368866435544576</v>
      </c>
      <c r="K1676">
        <v>1.0791015819838614</v>
      </c>
      <c r="L1676">
        <v>0</v>
      </c>
      <c r="M1676">
        <v>6.8805596878009361E-4</v>
      </c>
      <c r="N1676">
        <v>7.3301069458472506E-2</v>
      </c>
      <c r="O1676">
        <v>8.8645903661176487E-3</v>
      </c>
      <c r="P1676">
        <v>1.2822177378489842E-2</v>
      </c>
      <c r="Q1676">
        <v>3.0422147437610745E-3</v>
      </c>
      <c r="R1676">
        <v>6.7681994383680987E-4</v>
      </c>
      <c r="S1676">
        <v>8.4243908558042993E-2</v>
      </c>
      <c r="T1676">
        <v>0.81412345643370387</v>
      </c>
      <c r="U1676">
        <v>1.6973341870623805E-2</v>
      </c>
      <c r="V1676">
        <v>1.0413495312870075E-2</v>
      </c>
      <c r="W1676">
        <v>4.3185557854405018E-2</v>
      </c>
      <c r="X1676">
        <v>1.0300925258827351E-2</v>
      </c>
      <c r="Y1676">
        <v>1.8420807734892742E-3</v>
      </c>
    </row>
    <row r="1677" spans="1:25">
      <c r="A1677" s="876"/>
      <c r="B1677" s="1202">
        <v>1427</v>
      </c>
      <c r="C1677" s="880">
        <v>1.0382832488083795</v>
      </c>
      <c r="D1677" s="880">
        <v>0.99717558003094009</v>
      </c>
      <c r="E1677" s="880">
        <v>1.0132764703164028</v>
      </c>
      <c r="F1677" s="880">
        <v>0.97468164031837101</v>
      </c>
      <c r="G1677" s="880">
        <v>1.0124685086267582</v>
      </c>
      <c r="H1677" s="880">
        <v>1.0126300321955002</v>
      </c>
      <c r="I1677" s="880">
        <v>0.97194538646794804</v>
      </c>
      <c r="K1677">
        <v>1.0660239025010809</v>
      </c>
      <c r="L1677">
        <v>0</v>
      </c>
      <c r="M1677">
        <v>6.5544509499214268E-4</v>
      </c>
      <c r="N1677">
        <v>6.8079784759017145E-2</v>
      </c>
      <c r="O1677">
        <v>8.4763050143281254E-3</v>
      </c>
      <c r="P1677">
        <v>1.2695044750809228E-2</v>
      </c>
      <c r="Q1677">
        <v>2.8871919206196529E-3</v>
      </c>
      <c r="R1677">
        <v>6.4451186738084928E-4</v>
      </c>
      <c r="S1677">
        <v>8.0550875608543696E-2</v>
      </c>
      <c r="T1677">
        <v>0.81476787521001182</v>
      </c>
      <c r="U1677">
        <v>1.628710555174653E-2</v>
      </c>
      <c r="V1677">
        <v>1.0409550357049071E-2</v>
      </c>
      <c r="W1677">
        <v>4.0328039876540239E-2</v>
      </c>
      <c r="X1677">
        <v>9.7989138402956571E-3</v>
      </c>
      <c r="Y1677">
        <v>1.7541488397306907E-3</v>
      </c>
    </row>
    <row r="1678" spans="1:25">
      <c r="A1678" s="876"/>
      <c r="B1678" s="1202">
        <v>1428</v>
      </c>
      <c r="C1678" s="880">
        <v>0.98581105073197817</v>
      </c>
      <c r="D1678" s="880">
        <v>0.96235670447829114</v>
      </c>
      <c r="E1678" s="880">
        <v>0.99580954240625952</v>
      </c>
      <c r="F1678" s="880">
        <v>0.98790397413864461</v>
      </c>
      <c r="G1678" s="880">
        <v>1.0113094545143371</v>
      </c>
      <c r="H1678" s="880">
        <v>0.97976825330999373</v>
      </c>
      <c r="I1678" s="880">
        <v>0.99151721146584004</v>
      </c>
      <c r="K1678">
        <v>1.0781290413192584</v>
      </c>
      <c r="L1678">
        <v>0</v>
      </c>
      <c r="M1678">
        <v>7.0622848655964483E-4</v>
      </c>
      <c r="N1678">
        <v>6.9439670699730199E-2</v>
      </c>
      <c r="O1678">
        <v>9.0986348766406936E-3</v>
      </c>
      <c r="P1678">
        <v>1.2648422420686933E-2</v>
      </c>
      <c r="Q1678">
        <v>3.0372191535826447E-3</v>
      </c>
      <c r="R1678">
        <v>6.9408506235071985E-4</v>
      </c>
      <c r="S1678">
        <v>8.6890663963893222E-2</v>
      </c>
      <c r="T1678">
        <v>0.81617537529777651</v>
      </c>
      <c r="U1678">
        <v>1.7154026477382275E-2</v>
      </c>
      <c r="V1678">
        <v>1.0414534011597613E-2</v>
      </c>
      <c r="W1678">
        <v>4.1626578640032552E-2</v>
      </c>
      <c r="X1678">
        <v>9.7669884675036095E-3</v>
      </c>
      <c r="Y1678">
        <v>1.8890707346393481E-3</v>
      </c>
    </row>
    <row r="1679" spans="1:25">
      <c r="A1679" s="876"/>
      <c r="B1679" s="1202">
        <v>1429</v>
      </c>
      <c r="C1679" s="880">
        <v>0.97930981035490949</v>
      </c>
      <c r="D1679" s="880">
        <v>1.0036224734138188</v>
      </c>
      <c r="E1679" s="880">
        <v>1.0118642104443423</v>
      </c>
      <c r="F1679" s="880">
        <v>1.0016888169349341</v>
      </c>
      <c r="G1679" s="880">
        <v>1.0056180370959742</v>
      </c>
      <c r="H1679" s="880">
        <v>0.99669751843614707</v>
      </c>
      <c r="I1679" s="880">
        <v>1.0025753421634469</v>
      </c>
      <c r="K1679">
        <v>1.0790565007976027</v>
      </c>
      <c r="L1679">
        <v>0</v>
      </c>
      <c r="M1679">
        <v>6.8367528397886767E-4</v>
      </c>
      <c r="N1679">
        <v>7.0681218311258745E-2</v>
      </c>
      <c r="O1679">
        <v>8.955913618876982E-3</v>
      </c>
      <c r="P1679">
        <v>1.2788893224221817E-2</v>
      </c>
      <c r="Q1679">
        <v>3.0477246749769245E-3</v>
      </c>
      <c r="R1679">
        <v>6.7208337798924849E-4</v>
      </c>
      <c r="S1679">
        <v>8.7228469685487989E-2</v>
      </c>
      <c r="T1679">
        <v>0.81488129065124726</v>
      </c>
      <c r="U1679">
        <v>1.7267905097186603E-2</v>
      </c>
      <c r="V1679">
        <v>1.041518866380957E-2</v>
      </c>
      <c r="W1679">
        <v>4.19091618700815E-2</v>
      </c>
      <c r="X1679">
        <v>1.0063137503783307E-2</v>
      </c>
      <c r="Y1679">
        <v>1.8291894026607231E-3</v>
      </c>
    </row>
    <row r="1680" spans="1:25">
      <c r="A1680" s="876"/>
      <c r="B1680" s="1202">
        <v>1430</v>
      </c>
      <c r="C1680" s="880">
        <v>0.97521158392319596</v>
      </c>
      <c r="D1680" s="880">
        <v>1.0248203783178809</v>
      </c>
      <c r="E1680" s="880">
        <v>0.95862259896212587</v>
      </c>
      <c r="F1680" s="880">
        <v>0.99543432038322788</v>
      </c>
      <c r="G1680" s="880">
        <v>0.99852506121173545</v>
      </c>
      <c r="H1680" s="880">
        <v>0.96594527296658239</v>
      </c>
      <c r="I1680" s="880">
        <v>0.99989022357526136</v>
      </c>
      <c r="K1680">
        <v>1.0712775794033933</v>
      </c>
      <c r="L1680">
        <v>0</v>
      </c>
      <c r="M1680">
        <v>7.3589956046102582E-4</v>
      </c>
      <c r="N1680">
        <v>6.4417927498093358E-2</v>
      </c>
      <c r="O1680">
        <v>8.8939966602613572E-3</v>
      </c>
      <c r="P1680">
        <v>1.2316905561012283E-2</v>
      </c>
      <c r="Q1680">
        <v>2.8721170479682786E-3</v>
      </c>
      <c r="R1680">
        <v>7.2300528774317183E-4</v>
      </c>
      <c r="S1680">
        <v>8.5344391917868703E-2</v>
      </c>
      <c r="T1680">
        <v>0.81920637919394157</v>
      </c>
      <c r="U1680">
        <v>1.7340471693252736E-2</v>
      </c>
      <c r="V1680">
        <v>1.0415605826247162E-2</v>
      </c>
      <c r="W1680">
        <v>3.962767349834953E-2</v>
      </c>
      <c r="X1680">
        <v>8.8872227245092392E-3</v>
      </c>
      <c r="Y1680">
        <v>1.9677820546078646E-3</v>
      </c>
    </row>
    <row r="1681" spans="1:25">
      <c r="A1681" s="876"/>
      <c r="B1681" s="1202">
        <v>1431</v>
      </c>
      <c r="C1681" s="880">
        <v>0.97262462320624166</v>
      </c>
      <c r="D1681" s="880">
        <v>0.98552174768837197</v>
      </c>
      <c r="E1681" s="880">
        <v>0.98708743209759697</v>
      </c>
      <c r="F1681" s="880">
        <v>1.0004289352545677</v>
      </c>
      <c r="G1681" s="880">
        <v>1.0090035308566749</v>
      </c>
      <c r="H1681" s="880">
        <v>0.99201692268280928</v>
      </c>
      <c r="I1681" s="880">
        <v>1.0251966193988353</v>
      </c>
      <c r="K1681">
        <v>1.0832985766079686</v>
      </c>
      <c r="L1681">
        <v>0</v>
      </c>
      <c r="M1681">
        <v>7.2886387712878676E-4</v>
      </c>
      <c r="N1681">
        <v>6.975850101676398E-2</v>
      </c>
      <c r="O1681">
        <v>9.1054618891953532E-3</v>
      </c>
      <c r="P1681">
        <v>1.2626483694519623E-2</v>
      </c>
      <c r="Q1681">
        <v>3.0182599079568236E-3</v>
      </c>
      <c r="R1681">
        <v>7.1646409884504911E-4</v>
      </c>
      <c r="S1681">
        <v>9.0450252954871552E-2</v>
      </c>
      <c r="T1681">
        <v>0.81688208997483147</v>
      </c>
      <c r="U1681">
        <v>1.738659341175916E-2</v>
      </c>
      <c r="V1681">
        <v>1.0415870965437418E-2</v>
      </c>
      <c r="W1681">
        <v>4.2069527210869498E-2</v>
      </c>
      <c r="X1681">
        <v>9.6479562653178606E-3</v>
      </c>
      <c r="Y1681">
        <v>1.9499790947295154E-3</v>
      </c>
    </row>
    <row r="1682" spans="1:25">
      <c r="A1682" s="876"/>
      <c r="B1682" s="1202">
        <v>1432</v>
      </c>
      <c r="C1682" s="880">
        <v>0.97914669131857179</v>
      </c>
      <c r="D1682" s="880">
        <v>1.0143311578556082</v>
      </c>
      <c r="E1682" s="880">
        <v>0.96203821226702246</v>
      </c>
      <c r="F1682" s="880">
        <v>0.97428044145740411</v>
      </c>
      <c r="G1682" s="880">
        <v>1.048172669973499</v>
      </c>
      <c r="H1682" s="880">
        <v>1.0311600838887875</v>
      </c>
      <c r="I1682" s="880">
        <v>1.0141614792068441</v>
      </c>
      <c r="K1682">
        <v>1.0826980086308191</v>
      </c>
      <c r="L1682">
        <v>0</v>
      </c>
      <c r="M1682">
        <v>7.8110896377662847E-4</v>
      </c>
      <c r="N1682">
        <v>6.9186823346922707E-2</v>
      </c>
      <c r="O1682">
        <v>8.906894187100365E-3</v>
      </c>
      <c r="P1682">
        <v>1.2394060374918733E-2</v>
      </c>
      <c r="Q1682">
        <v>2.8841967256381254E-3</v>
      </c>
      <c r="R1682">
        <v>7.6829772785738291E-4</v>
      </c>
      <c r="S1682">
        <v>8.9053025651772366E-2</v>
      </c>
      <c r="T1682">
        <v>0.81892603461376856</v>
      </c>
      <c r="U1682">
        <v>1.7270781810210262E-2</v>
      </c>
      <c r="V1682">
        <v>1.0415205201124001E-2</v>
      </c>
      <c r="W1682">
        <v>4.2459176029888468E-2</v>
      </c>
      <c r="X1682">
        <v>9.1235687794454564E-3</v>
      </c>
      <c r="Y1682">
        <v>2.0910531459498766E-3</v>
      </c>
    </row>
    <row r="1683" spans="1:25">
      <c r="A1683" s="876"/>
      <c r="B1683" s="1202">
        <v>1433</v>
      </c>
      <c r="C1683" s="880">
        <v>1.0101899052360304</v>
      </c>
      <c r="D1683" s="880">
        <v>0.9965800066144771</v>
      </c>
      <c r="E1683" s="880">
        <v>1.0048367835575986</v>
      </c>
      <c r="F1683" s="880">
        <v>1.008565335654358</v>
      </c>
      <c r="G1683" s="880">
        <v>1.0126221508564419</v>
      </c>
      <c r="H1683" s="880">
        <v>1.0342378946358168</v>
      </c>
      <c r="I1683" s="880">
        <v>0.99144694948550482</v>
      </c>
      <c r="K1683">
        <v>1.0770818389269052</v>
      </c>
      <c r="L1683">
        <v>0</v>
      </c>
      <c r="M1683">
        <v>7.0062640764686069E-4</v>
      </c>
      <c r="N1683">
        <v>7.0913190792333797E-2</v>
      </c>
      <c r="O1683">
        <v>8.7148076165292649E-3</v>
      </c>
      <c r="P1683">
        <v>1.2695633028156572E-2</v>
      </c>
      <c r="Q1683">
        <v>2.9433477580511477E-3</v>
      </c>
      <c r="R1683">
        <v>6.8918419925046511E-4</v>
      </c>
      <c r="S1683">
        <v>8.5236924809090744E-2</v>
      </c>
      <c r="T1683">
        <v>0.81544665702631192</v>
      </c>
      <c r="U1683">
        <v>1.6740049349435179E-2</v>
      </c>
      <c r="V1683">
        <v>1.0412154187860899E-2</v>
      </c>
      <c r="W1683">
        <v>4.2248192849081219E-2</v>
      </c>
      <c r="X1683">
        <v>9.8665915176000159E-3</v>
      </c>
      <c r="Y1683">
        <v>1.8757322008495412E-3</v>
      </c>
    </row>
    <row r="1684" spans="1:25">
      <c r="A1684" s="876"/>
      <c r="B1684" s="1202">
        <v>1434</v>
      </c>
      <c r="C1684" s="880">
        <v>0.98611515482558931</v>
      </c>
      <c r="D1684" s="880">
        <v>0.98283323422561175</v>
      </c>
      <c r="E1684" s="880">
        <v>1.0068989449093282</v>
      </c>
      <c r="F1684" s="880">
        <v>0.99066552446424438</v>
      </c>
      <c r="G1684" s="880">
        <v>0.97344642729683273</v>
      </c>
      <c r="H1684" s="880">
        <v>1.0021994803083474</v>
      </c>
      <c r="I1684" s="880">
        <v>1.0386909977413203</v>
      </c>
      <c r="K1684">
        <v>1.0837272376654981</v>
      </c>
      <c r="L1684">
        <v>0</v>
      </c>
      <c r="M1684">
        <v>6.9762215742364493E-4</v>
      </c>
      <c r="N1684">
        <v>7.1026907365770997E-2</v>
      </c>
      <c r="O1684">
        <v>8.9940071588660436E-3</v>
      </c>
      <c r="P1684">
        <v>1.2796111346150708E-2</v>
      </c>
      <c r="Q1684">
        <v>3.0407570825417589E-3</v>
      </c>
      <c r="R1684">
        <v>6.8587683486509869E-4</v>
      </c>
      <c r="S1684">
        <v>9.0897436611115837E-2</v>
      </c>
      <c r="T1684">
        <v>0.81528057904745432</v>
      </c>
      <c r="U1684">
        <v>1.714873641602566E-2</v>
      </c>
      <c r="V1684">
        <v>1.0414503600705942E-2</v>
      </c>
      <c r="W1684">
        <v>4.2256519415933586E-2</v>
      </c>
      <c r="X1684">
        <v>1.0016694298226759E-2</v>
      </c>
      <c r="Y1684">
        <v>1.8667306452649509E-3</v>
      </c>
    </row>
    <row r="1685" spans="1:25">
      <c r="A1685" s="876"/>
      <c r="B1685" s="1202">
        <v>1435</v>
      </c>
      <c r="C1685" s="880">
        <v>0.97886475981127385</v>
      </c>
      <c r="D1685" s="880">
        <v>1.0074586688741052</v>
      </c>
      <c r="E1685" s="880">
        <v>1.0113268203608565</v>
      </c>
      <c r="F1685" s="880">
        <v>1.0246724088581969</v>
      </c>
      <c r="G1685" s="880">
        <v>1.0328003666399292</v>
      </c>
      <c r="H1685" s="880">
        <v>1.0393573787723731</v>
      </c>
      <c r="I1685" s="880">
        <v>1.0202236985600266</v>
      </c>
      <c r="K1685">
        <v>1.0869892631094731</v>
      </c>
      <c r="L1685">
        <v>0</v>
      </c>
      <c r="M1685">
        <v>7.1262358081081493E-4</v>
      </c>
      <c r="N1685">
        <v>7.3602777442688561E-2</v>
      </c>
      <c r="O1685">
        <v>8.9417849920627752E-3</v>
      </c>
      <c r="P1685">
        <v>1.2825679336581255E-2</v>
      </c>
      <c r="Q1685">
        <v>3.0421485585139883E-3</v>
      </c>
      <c r="R1685">
        <v>7.0103353899862817E-4</v>
      </c>
      <c r="S1685">
        <v>9.0219281012080266E-2</v>
      </c>
      <c r="T1685">
        <v>0.81492446508840843</v>
      </c>
      <c r="U1685">
        <v>1.7275756121011818E-2</v>
      </c>
      <c r="V1685">
        <v>1.0415233796865467E-2</v>
      </c>
      <c r="W1685">
        <v>4.3657368862576665E-2</v>
      </c>
      <c r="X1685">
        <v>1.0188375742985329E-2</v>
      </c>
      <c r="Y1685">
        <v>1.9079821975102431E-3</v>
      </c>
    </row>
    <row r="1686" spans="1:25">
      <c r="A1686" s="876"/>
      <c r="B1686" s="1202">
        <v>1436</v>
      </c>
      <c r="C1686" s="880">
        <v>1.0003882285525476</v>
      </c>
      <c r="D1686" s="880">
        <v>1.0348685237800839</v>
      </c>
      <c r="E1686" s="880">
        <v>1.0081462608690699</v>
      </c>
      <c r="F1686" s="880">
        <v>1.0004984919345843</v>
      </c>
      <c r="G1686" s="880">
        <v>0.9700473290584638</v>
      </c>
      <c r="H1686" s="880">
        <v>0.98686742780795711</v>
      </c>
      <c r="I1686" s="880">
        <v>0.97512784077154835</v>
      </c>
      <c r="K1686">
        <v>1.0667087028568485</v>
      </c>
      <c r="L1686">
        <v>0</v>
      </c>
      <c r="M1686">
        <v>6.5710024218851011E-4</v>
      </c>
      <c r="N1686">
        <v>6.71389426171978E-2</v>
      </c>
      <c r="O1686">
        <v>8.625293286920032E-3</v>
      </c>
      <c r="P1686">
        <v>1.2673625222134022E-2</v>
      </c>
      <c r="Q1686">
        <v>2.9309740742075757E-3</v>
      </c>
      <c r="R1686">
        <v>6.4582279400729437E-4</v>
      </c>
      <c r="S1686">
        <v>8.1460507093749898E-2</v>
      </c>
      <c r="T1686">
        <v>0.81518019557273069</v>
      </c>
      <c r="U1686">
        <v>1.6904066224789766E-2</v>
      </c>
      <c r="V1686">
        <v>1.0413097069065768E-2</v>
      </c>
      <c r="W1686">
        <v>3.9909528693125487E-2</v>
      </c>
      <c r="X1686">
        <v>9.7260337012471301E-3</v>
      </c>
      <c r="Y1686">
        <v>1.7577167498610278E-3</v>
      </c>
    </row>
    <row r="1687" spans="1:25">
      <c r="A1687" s="876"/>
      <c r="B1687" s="1202">
        <v>1437</v>
      </c>
      <c r="C1687" s="880">
        <v>1.0071708879378334</v>
      </c>
      <c r="D1687" s="880">
        <v>0.95749595679550359</v>
      </c>
      <c r="E1687" s="880">
        <v>0.9724626057321224</v>
      </c>
      <c r="F1687" s="880">
        <v>1.0156689084224215</v>
      </c>
      <c r="G1687" s="880">
        <v>0.98927567280407536</v>
      </c>
      <c r="H1687" s="880">
        <v>0.96972797691051182</v>
      </c>
      <c r="I1687" s="880">
        <v>1.0085015515276206</v>
      </c>
      <c r="K1687">
        <v>1.072991935756928</v>
      </c>
      <c r="L1687">
        <v>0</v>
      </c>
      <c r="M1687">
        <v>7.2050456523836844E-4</v>
      </c>
      <c r="N1687">
        <v>6.586297201250027E-2</v>
      </c>
      <c r="O1687">
        <v>8.929848161966519E-3</v>
      </c>
      <c r="P1687">
        <v>1.2439963335172409E-2</v>
      </c>
      <c r="Q1687">
        <v>2.9100111274106351E-3</v>
      </c>
      <c r="R1687">
        <v>7.0799213270555581E-4</v>
      </c>
      <c r="S1687">
        <v>8.6356229417991537E-2</v>
      </c>
      <c r="T1687">
        <v>0.81807285879146385</v>
      </c>
      <c r="U1687">
        <v>1.6790228022353443E-2</v>
      </c>
      <c r="V1687">
        <v>1.0412442649200498E-2</v>
      </c>
      <c r="W1687">
        <v>4.0125436492275575E-2</v>
      </c>
      <c r="X1687">
        <v>9.1775369834436477E-3</v>
      </c>
      <c r="Y1687">
        <v>1.9269211956807011E-3</v>
      </c>
    </row>
    <row r="1688" spans="1:25">
      <c r="A1688" s="876"/>
      <c r="B1688" s="1202">
        <v>1438</v>
      </c>
      <c r="C1688" s="880">
        <v>0.98538565768992914</v>
      </c>
      <c r="D1688" s="880">
        <v>0.9917836450051345</v>
      </c>
      <c r="E1688" s="880">
        <v>0.9705169272924028</v>
      </c>
      <c r="F1688" s="880">
        <v>0.98984731869010334</v>
      </c>
      <c r="G1688" s="880">
        <v>0.99059126978654399</v>
      </c>
      <c r="H1688" s="880">
        <v>0.99015796745828832</v>
      </c>
      <c r="I1688" s="880">
        <v>0.98005381032177596</v>
      </c>
      <c r="K1688">
        <v>1.0747133353507181</v>
      </c>
      <c r="L1688">
        <v>0</v>
      </c>
      <c r="M1688">
        <v>7.4098723192890471E-4</v>
      </c>
      <c r="N1688">
        <v>6.7347200356847492E-2</v>
      </c>
      <c r="O1688">
        <v>8.9572053483511476E-3</v>
      </c>
      <c r="P1688">
        <v>1.2410589330663614E-2</v>
      </c>
      <c r="Q1688">
        <v>2.9208836140732232E-3</v>
      </c>
      <c r="R1688">
        <v>7.2835163406032076E-4</v>
      </c>
      <c r="S1688">
        <v>8.5012121454216258E-2</v>
      </c>
      <c r="T1688">
        <v>0.8182318229580815</v>
      </c>
      <c r="U1688">
        <v>1.7161431906362951E-2</v>
      </c>
      <c r="V1688">
        <v>1.0414576583069509E-2</v>
      </c>
      <c r="W1688">
        <v>4.1085430883900299E-2</v>
      </c>
      <c r="X1688">
        <v>9.2023754661588013E-3</v>
      </c>
      <c r="Y1688">
        <v>1.9823330468605534E-3</v>
      </c>
    </row>
    <row r="1689" spans="1:25">
      <c r="A1689" s="876"/>
      <c r="B1689" s="1202">
        <v>1439</v>
      </c>
      <c r="C1689" s="880">
        <v>1.040745513131486</v>
      </c>
      <c r="D1689" s="880">
        <v>0.97744667144976127</v>
      </c>
      <c r="E1689" s="880">
        <v>1.0324139356175885</v>
      </c>
      <c r="F1689" s="880">
        <v>0.96900042989958834</v>
      </c>
      <c r="G1689" s="880">
        <v>1.0146157034003287</v>
      </c>
      <c r="H1689" s="880">
        <v>0.9781576093463521</v>
      </c>
      <c r="I1689" s="880">
        <v>0.98348211167492916</v>
      </c>
      <c r="K1689">
        <v>1.063998348848844</v>
      </c>
      <c r="L1689">
        <v>0</v>
      </c>
      <c r="M1689">
        <v>6.1309021322845719E-4</v>
      </c>
      <c r="N1689">
        <v>6.7541618498140873E-2</v>
      </c>
      <c r="O1689">
        <v>8.5469573666266362E-3</v>
      </c>
      <c r="P1689">
        <v>1.285776235665919E-2</v>
      </c>
      <c r="Q1689">
        <v>2.9626378345893414E-3</v>
      </c>
      <c r="R1689">
        <v>6.0251868886542154E-4</v>
      </c>
      <c r="S1689">
        <v>8.0950121237741229E-2</v>
      </c>
      <c r="T1689">
        <v>0.81323769090994469</v>
      </c>
      <c r="U1689">
        <v>1.6248572444064836E-2</v>
      </c>
      <c r="V1689">
        <v>1.0409328842385291E-2</v>
      </c>
      <c r="W1689">
        <v>3.949691076856883E-2</v>
      </c>
      <c r="X1689">
        <v>1.0117462863625431E-2</v>
      </c>
      <c r="Y1689">
        <v>1.6398572508592739E-3</v>
      </c>
    </row>
    <row r="1690" spans="1:25">
      <c r="A1690" s="876"/>
      <c r="B1690" s="1202">
        <v>1440</v>
      </c>
      <c r="C1690" s="880">
        <v>1.017909948879943</v>
      </c>
      <c r="D1690" s="880">
        <v>0.99040853487235547</v>
      </c>
      <c r="E1690" s="880">
        <v>0.97658221233441389</v>
      </c>
      <c r="F1690" s="880">
        <v>0.99813544093205087</v>
      </c>
      <c r="G1690" s="880">
        <v>0.97232849655865294</v>
      </c>
      <c r="H1690" s="880">
        <v>0.99544073671906808</v>
      </c>
      <c r="I1690" s="880">
        <v>1.012854836242844</v>
      </c>
      <c r="K1690">
        <v>1.0712148118948204</v>
      </c>
      <c r="L1690">
        <v>0</v>
      </c>
      <c r="M1690">
        <v>7.1254974649305816E-4</v>
      </c>
      <c r="N1690">
        <v>6.6004856007400706E-2</v>
      </c>
      <c r="O1690">
        <v>8.6774278758339849E-3</v>
      </c>
      <c r="P1690">
        <v>1.2458108844940289E-2</v>
      </c>
      <c r="Q1690">
        <v>2.8469150254548463E-3</v>
      </c>
      <c r="R1690">
        <v>7.0046479475099151E-4</v>
      </c>
      <c r="S1690">
        <v>8.5297889825182854E-2</v>
      </c>
      <c r="T1690">
        <v>0.81773670418854594</v>
      </c>
      <c r="U1690">
        <v>1.6613089286100398E-2</v>
      </c>
      <c r="V1690">
        <v>1.0411424334562382E-2</v>
      </c>
      <c r="W1690">
        <v>4.0096650148650714E-2</v>
      </c>
      <c r="X1690">
        <v>9.1773970467348785E-3</v>
      </c>
      <c r="Y1690">
        <v>1.9064342631546676E-3</v>
      </c>
    </row>
    <row r="1691" spans="1:25">
      <c r="A1691" s="876"/>
      <c r="B1691" s="1202">
        <v>1441</v>
      </c>
      <c r="C1691" s="880">
        <v>1.0015253450902599</v>
      </c>
      <c r="D1691" s="880">
        <v>1.0116665742460269</v>
      </c>
      <c r="E1691" s="880">
        <v>0.9824889680294725</v>
      </c>
      <c r="F1691" s="880">
        <v>1.0158640198237767</v>
      </c>
      <c r="G1691" s="880">
        <v>0.99429446987750081</v>
      </c>
      <c r="H1691" s="880">
        <v>1.0254901031131773</v>
      </c>
      <c r="I1691" s="880">
        <v>1.0129123667782303</v>
      </c>
      <c r="K1691">
        <v>1.0772843899366962</v>
      </c>
      <c r="L1691">
        <v>0</v>
      </c>
      <c r="M1691">
        <v>7.2859715840764062E-4</v>
      </c>
      <c r="N1691">
        <v>6.8777960455095238E-2</v>
      </c>
      <c r="O1691">
        <v>8.7200815504680472E-3</v>
      </c>
      <c r="P1691">
        <v>1.2532552022622956E-2</v>
      </c>
      <c r="Q1691">
        <v>2.8827078563165285E-3</v>
      </c>
      <c r="R1691">
        <v>7.1658342233519299E-4</v>
      </c>
      <c r="S1691">
        <v>8.6866110919676054E-2</v>
      </c>
      <c r="T1691">
        <v>0.81725572170442273</v>
      </c>
      <c r="U1691">
        <v>1.6884873606896438E-2</v>
      </c>
      <c r="V1691">
        <v>1.0412986736768279E-2</v>
      </c>
      <c r="W1691">
        <v>4.1610304813922527E-2</v>
      </c>
      <c r="X1691">
        <v>9.4028001526448787E-3</v>
      </c>
      <c r="Y1691">
        <v>1.9503038539347092E-3</v>
      </c>
    </row>
    <row r="1692" spans="1:25">
      <c r="A1692" s="876"/>
      <c r="B1692" s="1202">
        <v>1442</v>
      </c>
      <c r="C1692" s="880">
        <v>0.97847496121670974</v>
      </c>
      <c r="D1692" s="880">
        <v>1.0239114494441726</v>
      </c>
      <c r="E1692" s="880">
        <v>0.97512215676622982</v>
      </c>
      <c r="F1692" s="880">
        <v>1.0075882123777491</v>
      </c>
      <c r="G1692" s="880">
        <v>1.0380919563640536</v>
      </c>
      <c r="H1692" s="880">
        <v>0.98440880823865584</v>
      </c>
      <c r="I1692" s="880">
        <v>1.0197854708112895</v>
      </c>
      <c r="K1692">
        <v>1.0755498173722331</v>
      </c>
      <c r="L1692">
        <v>0</v>
      </c>
      <c r="M1692">
        <v>7.2241018041624666E-4</v>
      </c>
      <c r="N1692">
        <v>6.6598711580388159E-2</v>
      </c>
      <c r="O1692">
        <v>8.868519446623228E-3</v>
      </c>
      <c r="P1692">
        <v>1.2483937177972752E-2</v>
      </c>
      <c r="Q1692">
        <v>2.9124904254012093E-3</v>
      </c>
      <c r="R1692">
        <v>7.0999047787328692E-4</v>
      </c>
      <c r="S1692">
        <v>8.7469867854723549E-2</v>
      </c>
      <c r="T1692">
        <v>0.81785577723999237</v>
      </c>
      <c r="U1692">
        <v>1.7282638326201444E-2</v>
      </c>
      <c r="V1692">
        <v>1.0415273360489074E-2</v>
      </c>
      <c r="W1692">
        <v>4.0498534356393105E-2</v>
      </c>
      <c r="X1692">
        <v>9.2441272741179466E-3</v>
      </c>
      <c r="Y1692">
        <v>1.9323600324729572E-3</v>
      </c>
    </row>
    <row r="1693" spans="1:25">
      <c r="A1693" s="876"/>
      <c r="B1693" s="1202">
        <v>1443</v>
      </c>
      <c r="C1693" s="880">
        <v>1.0252741279288653</v>
      </c>
      <c r="D1693" s="880">
        <v>1.0032352976428398</v>
      </c>
      <c r="E1693" s="880">
        <v>0.96254925256756785</v>
      </c>
      <c r="F1693" s="880">
        <v>1.0016258028262268</v>
      </c>
      <c r="G1693" s="880">
        <v>0.95699846562384427</v>
      </c>
      <c r="H1693" s="880">
        <v>0.99959476978500506</v>
      </c>
      <c r="I1693" s="880">
        <v>1.0190263193665918</v>
      </c>
      <c r="K1693">
        <v>1.0689845902472039</v>
      </c>
      <c r="L1693">
        <v>0</v>
      </c>
      <c r="M1693">
        <v>7.2659421655054367E-4</v>
      </c>
      <c r="N1693">
        <v>6.4427813865256894E-2</v>
      </c>
      <c r="O1693">
        <v>8.556168628732012E-3</v>
      </c>
      <c r="P1693">
        <v>1.2331667987659056E-2</v>
      </c>
      <c r="Q1693">
        <v>2.7698120070475327E-3</v>
      </c>
      <c r="R1693">
        <v>7.1431066301987534E-4</v>
      </c>
      <c r="S1693">
        <v>8.4804099816163256E-2</v>
      </c>
      <c r="T1693">
        <v>0.81888412354934437</v>
      </c>
      <c r="U1693">
        <v>1.6493763380251481E-2</v>
      </c>
      <c r="V1693">
        <v>1.0410738367623712E-2</v>
      </c>
      <c r="W1693">
        <v>3.9524431493760268E-2</v>
      </c>
      <c r="X1693">
        <v>8.8501365526010116E-3</v>
      </c>
      <c r="Y1693">
        <v>1.9441181522933209E-3</v>
      </c>
    </row>
    <row r="1694" spans="1:25">
      <c r="A1694" s="876"/>
      <c r="B1694" s="1202">
        <v>1444</v>
      </c>
      <c r="C1694" s="880">
        <v>0.99008937360726079</v>
      </c>
      <c r="D1694" s="880">
        <v>1.0067885868117958</v>
      </c>
      <c r="E1694" s="880">
        <v>0.99051622486220037</v>
      </c>
      <c r="F1694" s="880">
        <v>0.97643715139779896</v>
      </c>
      <c r="G1694" s="880">
        <v>0.99516067308888023</v>
      </c>
      <c r="H1694" s="880">
        <v>0.98534277978939522</v>
      </c>
      <c r="I1694" s="880">
        <v>0.98149166355507467</v>
      </c>
      <c r="K1694">
        <v>1.0718996568927295</v>
      </c>
      <c r="L1694">
        <v>0</v>
      </c>
      <c r="M1694">
        <v>6.981045076997432E-4</v>
      </c>
      <c r="N1694">
        <v>6.7521948566022102E-2</v>
      </c>
      <c r="O1694">
        <v>8.8435473018122455E-3</v>
      </c>
      <c r="P1694">
        <v>1.2562896813104289E-2</v>
      </c>
      <c r="Q1694">
        <v>2.9463273922624889E-3</v>
      </c>
      <c r="R1694">
        <v>6.8612878672672591E-4</v>
      </c>
      <c r="S1694">
        <v>8.3931039207581076E-2</v>
      </c>
      <c r="T1694">
        <v>0.81660396201458052</v>
      </c>
      <c r="U1694">
        <v>1.7079901387427984E-2</v>
      </c>
      <c r="V1694">
        <v>1.0414107889870928E-2</v>
      </c>
      <c r="W1694">
        <v>4.0624547827306713E-2</v>
      </c>
      <c r="X1694">
        <v>9.5159378385579196E-3</v>
      </c>
      <c r="Y1694">
        <v>1.867416375176391E-3</v>
      </c>
    </row>
    <row r="1695" spans="1:25">
      <c r="A1695" s="876"/>
      <c r="B1695" s="1202">
        <v>1445</v>
      </c>
      <c r="C1695" s="880">
        <v>0.98796360167003217</v>
      </c>
      <c r="D1695" s="880">
        <v>0.97701940469884407</v>
      </c>
      <c r="E1695" s="880">
        <v>1.0107708125054133</v>
      </c>
      <c r="F1695" s="880">
        <v>0.99524335138017639</v>
      </c>
      <c r="G1695" s="880">
        <v>1.019200062044145</v>
      </c>
      <c r="H1695" s="880">
        <v>1.0144669979061047</v>
      </c>
      <c r="I1695" s="880">
        <v>1.045002208586941</v>
      </c>
      <c r="K1695">
        <v>1.0866107764635788</v>
      </c>
      <c r="L1695">
        <v>0</v>
      </c>
      <c r="M1695">
        <v>7.0132307953734568E-4</v>
      </c>
      <c r="N1695">
        <v>7.2283958826482489E-2</v>
      </c>
      <c r="O1695">
        <v>9.0056822870777931E-3</v>
      </c>
      <c r="P1695">
        <v>1.2843581214444209E-2</v>
      </c>
      <c r="Q1695">
        <v>3.0551531162490695E-3</v>
      </c>
      <c r="R1695">
        <v>6.8966335757270362E-4</v>
      </c>
      <c r="S1695">
        <v>9.201915439016127E-2</v>
      </c>
      <c r="T1695">
        <v>0.81496914564422718</v>
      </c>
      <c r="U1695">
        <v>1.711665170393625E-2</v>
      </c>
      <c r="V1695">
        <v>1.0414319155831419E-2</v>
      </c>
      <c r="W1695">
        <v>4.2891303167030229E-2</v>
      </c>
      <c r="X1695">
        <v>1.0146450368256135E-2</v>
      </c>
      <c r="Y1695">
        <v>1.8770363118481763E-3</v>
      </c>
    </row>
    <row r="1696" spans="1:25">
      <c r="A1696" s="876"/>
      <c r="B1696" s="1202">
        <v>1446</v>
      </c>
      <c r="C1696" s="880">
        <v>1.0212698067043424</v>
      </c>
      <c r="D1696" s="880">
        <v>0.95499632540787915</v>
      </c>
      <c r="E1696" s="880">
        <v>1.0076571385271698</v>
      </c>
      <c r="F1696" s="880">
        <v>1.0263244572361079</v>
      </c>
      <c r="G1696" s="880">
        <v>0.9782964297057688</v>
      </c>
      <c r="H1696" s="880">
        <v>1.0112547073725406</v>
      </c>
      <c r="I1696" s="880">
        <v>1.0165089503660492</v>
      </c>
      <c r="K1696">
        <v>1.0781235799688123</v>
      </c>
      <c r="L1696">
        <v>0</v>
      </c>
      <c r="M1696">
        <v>6.890932742206283E-4</v>
      </c>
      <c r="N1696">
        <v>7.0337488615741822E-2</v>
      </c>
      <c r="O1696">
        <v>8.8189064042971874E-3</v>
      </c>
      <c r="P1696">
        <v>1.2747242765490184E-2</v>
      </c>
      <c r="Q1696">
        <v>2.9773374145668236E-3</v>
      </c>
      <c r="R1696">
        <v>6.7761999920780045E-4</v>
      </c>
      <c r="S1696">
        <v>8.7467133330804678E-2</v>
      </c>
      <c r="T1696">
        <v>0.81521955362844445</v>
      </c>
      <c r="U1696">
        <v>1.65584341717918E-2</v>
      </c>
      <c r="V1696">
        <v>1.0411110139575318E-2</v>
      </c>
      <c r="W1696">
        <v>4.1824765001526036E-2</v>
      </c>
      <c r="X1696">
        <v>9.928823511114411E-3</v>
      </c>
      <c r="Y1696">
        <v>1.8442582604709277E-3</v>
      </c>
    </row>
    <row r="1697" spans="1:25">
      <c r="A1697" s="876"/>
      <c r="B1697" s="1202">
        <v>1447</v>
      </c>
      <c r="C1697" s="880">
        <v>0.98202422280057433</v>
      </c>
      <c r="D1697" s="880">
        <v>0.96146171790041968</v>
      </c>
      <c r="E1697" s="880">
        <v>1.0190775588606431</v>
      </c>
      <c r="F1697" s="880">
        <v>0.98918272280340369</v>
      </c>
      <c r="G1697" s="880">
        <v>1.0212137778511952</v>
      </c>
      <c r="H1697" s="880">
        <v>1.0172875612266694</v>
      </c>
      <c r="I1697" s="880">
        <v>1.0081034843806413</v>
      </c>
      <c r="K1697">
        <v>1.0874197186918091</v>
      </c>
      <c r="L1697">
        <v>0</v>
      </c>
      <c r="M1697">
        <v>7.0120943631147843E-4</v>
      </c>
      <c r="N1697">
        <v>7.4167189155507435E-2</v>
      </c>
      <c r="O1697">
        <v>9.1382703718357536E-3</v>
      </c>
      <c r="P1697">
        <v>1.2888553761302194E-2</v>
      </c>
      <c r="Q1697">
        <v>3.122116461128296E-3</v>
      </c>
      <c r="R1697">
        <v>6.8959780755201768E-4</v>
      </c>
      <c r="S1697">
        <v>9.01323726107017E-2</v>
      </c>
      <c r="T1697">
        <v>0.81430271545298416</v>
      </c>
      <c r="U1697">
        <v>1.7220174893167073E-2</v>
      </c>
      <c r="V1697">
        <v>1.0414914277944212E-2</v>
      </c>
      <c r="W1697">
        <v>4.3761904503498664E-2</v>
      </c>
      <c r="X1697">
        <v>1.0406260926198752E-2</v>
      </c>
      <c r="Y1697">
        <v>1.8768579063004275E-3</v>
      </c>
    </row>
    <row r="1698" spans="1:25">
      <c r="A1698" s="876"/>
      <c r="B1698" s="1202">
        <v>1448</v>
      </c>
      <c r="C1698" s="880">
        <v>1.0045288598980802</v>
      </c>
      <c r="D1698" s="880">
        <v>1.030376530430841</v>
      </c>
      <c r="E1698" s="880">
        <v>1.0076278738400064</v>
      </c>
      <c r="F1698" s="880">
        <v>1.0166498680241547</v>
      </c>
      <c r="G1698" s="880">
        <v>0.98929695818516694</v>
      </c>
      <c r="H1698" s="880">
        <v>1.0103972270551473</v>
      </c>
      <c r="I1698" s="880">
        <v>1.0002733722894905</v>
      </c>
      <c r="K1698">
        <v>1.071907345659928</v>
      </c>
      <c r="L1698">
        <v>0</v>
      </c>
      <c r="M1698">
        <v>6.7227634917282723E-4</v>
      </c>
      <c r="N1698">
        <v>6.8607185298893744E-2</v>
      </c>
      <c r="O1698">
        <v>8.6096285196909077E-3</v>
      </c>
      <c r="P1698">
        <v>1.270625293114221E-2</v>
      </c>
      <c r="Q1698">
        <v>2.9231967534139071E-3</v>
      </c>
      <c r="R1698">
        <v>6.6101068204878579E-4</v>
      </c>
      <c r="S1698">
        <v>8.4220983864412527E-2</v>
      </c>
      <c r="T1698">
        <v>0.81522190871903666</v>
      </c>
      <c r="U1698">
        <v>1.6834388279962545E-2</v>
      </c>
      <c r="V1698">
        <v>1.0412696512571625E-2</v>
      </c>
      <c r="W1698">
        <v>4.0796687695805009E-2</v>
      </c>
      <c r="X1698">
        <v>9.7866295776985451E-3</v>
      </c>
      <c r="Y1698">
        <v>1.7990531744240198E-3</v>
      </c>
    </row>
    <row r="1699" spans="1:25">
      <c r="A1699" s="876"/>
      <c r="B1699" s="1202">
        <v>1449</v>
      </c>
      <c r="C1699" s="880">
        <v>0.97230983452791298</v>
      </c>
      <c r="D1699" s="880">
        <v>0.97923766517320787</v>
      </c>
      <c r="E1699" s="880">
        <v>1.017589650936686</v>
      </c>
      <c r="F1699" s="880">
        <v>1.0187986113471075</v>
      </c>
      <c r="G1699" s="880">
        <v>1.034278422412787</v>
      </c>
      <c r="H1699" s="880">
        <v>0.96274685601406673</v>
      </c>
      <c r="I1699" s="880">
        <v>0.99673820447528638</v>
      </c>
      <c r="K1699">
        <v>1.0778420858878865</v>
      </c>
      <c r="L1699">
        <v>0</v>
      </c>
      <c r="M1699">
        <v>6.6581483958018492E-4</v>
      </c>
      <c r="N1699">
        <v>7.0030120446005345E-2</v>
      </c>
      <c r="O1699">
        <v>9.1395865792319887E-3</v>
      </c>
      <c r="P1699">
        <v>1.2837472734365068E-2</v>
      </c>
      <c r="Q1699">
        <v>3.12227160180608E-3</v>
      </c>
      <c r="R1699">
        <v>6.5414882901680942E-4</v>
      </c>
      <c r="S1699">
        <v>8.7164290072182848E-2</v>
      </c>
      <c r="T1699">
        <v>0.81442191387346696</v>
      </c>
      <c r="U1699">
        <v>1.7392222381626975E-2</v>
      </c>
      <c r="V1699">
        <v>1.0415903324607057E-2</v>
      </c>
      <c r="W1699">
        <v>4.1362407341364295E-2</v>
      </c>
      <c r="X1699">
        <v>1.0187186071311631E-2</v>
      </c>
      <c r="Y1699">
        <v>1.7803774724802243E-3</v>
      </c>
    </row>
    <row r="1700" spans="1:25">
      <c r="A1700" s="876"/>
      <c r="B1700" s="1202">
        <v>1450</v>
      </c>
      <c r="C1700" s="880">
        <v>0.97227692424556211</v>
      </c>
      <c r="D1700" s="880">
        <v>1.0152249011273007</v>
      </c>
      <c r="E1700" s="880">
        <v>1.0063934960223466</v>
      </c>
      <c r="F1700" s="880">
        <v>0.9982577960301654</v>
      </c>
      <c r="G1700" s="880">
        <v>1.030380781420688</v>
      </c>
      <c r="H1700" s="880">
        <v>1.0143812792989724</v>
      </c>
      <c r="I1700" s="880">
        <v>0.99051182592368292</v>
      </c>
      <c r="K1700">
        <v>1.0809829190752702</v>
      </c>
      <c r="L1700">
        <v>0</v>
      </c>
      <c r="M1700">
        <v>7.0465251903809576E-4</v>
      </c>
      <c r="N1700">
        <v>7.1641857106654744E-2</v>
      </c>
      <c r="O1700">
        <v>8.9656212405537089E-3</v>
      </c>
      <c r="P1700">
        <v>1.2741052072432812E-2</v>
      </c>
      <c r="Q1700">
        <v>3.0369761039339841E-3</v>
      </c>
      <c r="R1700">
        <v>6.9290334894086354E-4</v>
      </c>
      <c r="S1700">
        <v>8.694624337800759E-2</v>
      </c>
      <c r="T1700">
        <v>0.81532127243614139</v>
      </c>
      <c r="U1700">
        <v>1.7392811085251422E-2</v>
      </c>
      <c r="V1700">
        <v>1.0415906708878209E-2</v>
      </c>
      <c r="W1700">
        <v>4.2637050870428302E-2</v>
      </c>
      <c r="X1700">
        <v>1.0010022742795138E-2</v>
      </c>
      <c r="Y1700">
        <v>1.8858545002894405E-3</v>
      </c>
    </row>
    <row r="1701" spans="1:25">
      <c r="A1701" s="876"/>
      <c r="B1701" s="1202">
        <v>1451</v>
      </c>
      <c r="C1701" s="880">
        <v>0.98949651009546846</v>
      </c>
      <c r="D1701" s="880">
        <v>0.96514133240437605</v>
      </c>
      <c r="E1701" s="880">
        <v>1.0304956469743281</v>
      </c>
      <c r="F1701" s="880">
        <v>0.98368730029965123</v>
      </c>
      <c r="G1701" s="880">
        <v>0.99122496378714642</v>
      </c>
      <c r="H1701" s="880">
        <v>0.96966473015107124</v>
      </c>
      <c r="I1701" s="880">
        <v>1.0176645284929469</v>
      </c>
      <c r="K1701">
        <v>1.0786988098420573</v>
      </c>
      <c r="L1701">
        <v>0</v>
      </c>
      <c r="M1701">
        <v>6.4619788991509858E-4</v>
      </c>
      <c r="N1701">
        <v>7.0756649738499641E-2</v>
      </c>
      <c r="O1701">
        <v>9.0507406830939562E-3</v>
      </c>
      <c r="P1701">
        <v>1.2956990708456465E-2</v>
      </c>
      <c r="Q1701">
        <v>3.1283256893863509E-3</v>
      </c>
      <c r="R1701">
        <v>6.3496848195754426E-4</v>
      </c>
      <c r="S1701">
        <v>8.8343027531047794E-2</v>
      </c>
      <c r="T1701">
        <v>0.81339050902215748</v>
      </c>
      <c r="U1701">
        <v>1.7090134925610619E-2</v>
      </c>
      <c r="V1701">
        <v>1.0414166719249267E-2</v>
      </c>
      <c r="W1701">
        <v>4.1430162776078944E-2</v>
      </c>
      <c r="X1701">
        <v>1.0421156565848605E-2</v>
      </c>
      <c r="Y1701">
        <v>1.7281748905846137E-3</v>
      </c>
    </row>
    <row r="1702" spans="1:25">
      <c r="A1702" s="876"/>
      <c r="B1702" s="1202">
        <v>1452</v>
      </c>
      <c r="C1702" s="880">
        <v>1.0157666757910409</v>
      </c>
      <c r="D1702" s="880">
        <v>0.98984251657916555</v>
      </c>
      <c r="E1702" s="880">
        <v>0.98147493894831395</v>
      </c>
      <c r="F1702" s="880">
        <v>0.99876197419958868</v>
      </c>
      <c r="G1702" s="880">
        <v>1.0423005282611884</v>
      </c>
      <c r="H1702" s="880">
        <v>1.0095035453039212</v>
      </c>
      <c r="I1702" s="880">
        <v>0.98483352679572167</v>
      </c>
      <c r="K1702">
        <v>1.0715724931098249</v>
      </c>
      <c r="L1702">
        <v>0</v>
      </c>
      <c r="M1702">
        <v>7.1696027473622736E-4</v>
      </c>
      <c r="N1702">
        <v>6.7449930055746538E-2</v>
      </c>
      <c r="O1702">
        <v>8.6983911003328113E-3</v>
      </c>
      <c r="P1702">
        <v>1.2477216216140992E-2</v>
      </c>
      <c r="Q1702">
        <v>2.8679045710180836E-3</v>
      </c>
      <c r="R1702">
        <v>7.0497041573388446E-4</v>
      </c>
      <c r="S1702">
        <v>8.3626909071849262E-2</v>
      </c>
      <c r="T1702">
        <v>0.8173382093640007</v>
      </c>
      <c r="U1702">
        <v>1.6648142992861052E-2</v>
      </c>
      <c r="V1702">
        <v>1.0411625847249372E-2</v>
      </c>
      <c r="W1702">
        <v>4.0835536276682398E-2</v>
      </c>
      <c r="X1702">
        <v>9.311920394753247E-3</v>
      </c>
      <c r="Y1702">
        <v>1.9186970781925443E-3</v>
      </c>
    </row>
    <row r="1703" spans="1:25">
      <c r="A1703" s="876"/>
      <c r="B1703" s="1202">
        <v>1453</v>
      </c>
      <c r="C1703" s="880">
        <v>1.0319746886219179</v>
      </c>
      <c r="D1703" s="880">
        <v>0.97272978165774482</v>
      </c>
      <c r="E1703" s="880">
        <v>1.0057622599126532</v>
      </c>
      <c r="F1703" s="880">
        <v>1.0003623199860328</v>
      </c>
      <c r="G1703" s="880">
        <v>0.98068676051040138</v>
      </c>
      <c r="H1703" s="880">
        <v>0.95263362808974017</v>
      </c>
      <c r="I1703" s="880">
        <v>0.99431411287631466</v>
      </c>
      <c r="K1703">
        <v>1.0627909037640364</v>
      </c>
      <c r="L1703">
        <v>0</v>
      </c>
      <c r="M1703">
        <v>6.3868063132595341E-4</v>
      </c>
      <c r="N1703">
        <v>6.4739621643491674E-2</v>
      </c>
      <c r="O1703">
        <v>8.6419164340078153E-3</v>
      </c>
      <c r="P1703">
        <v>1.2651979055025983E-2</v>
      </c>
      <c r="Q1703">
        <v>2.9161215968872491E-3</v>
      </c>
      <c r="R1703">
        <v>6.2737684474273227E-4</v>
      </c>
      <c r="S1703">
        <v>8.1844513713113687E-2</v>
      </c>
      <c r="T1703">
        <v>0.81537210508299507</v>
      </c>
      <c r="U1703">
        <v>1.6386670189105668E-2</v>
      </c>
      <c r="V1703">
        <v>1.041012272269763E-2</v>
      </c>
      <c r="W1703">
        <v>3.8545817884540569E-2</v>
      </c>
      <c r="X1703">
        <v>9.5858262720851326E-3</v>
      </c>
      <c r="Y1703">
        <v>1.7075129566684307E-3</v>
      </c>
    </row>
    <row r="1704" spans="1:25">
      <c r="A1704" s="876"/>
      <c r="B1704" s="1202">
        <v>1454</v>
      </c>
      <c r="C1704" s="880">
        <v>0.99675362460181849</v>
      </c>
      <c r="D1704" s="880">
        <v>0.96840300359769149</v>
      </c>
      <c r="E1704" s="880">
        <v>1.0143950155085169</v>
      </c>
      <c r="F1704" s="880">
        <v>1.0023265857709716</v>
      </c>
      <c r="G1704" s="880">
        <v>0.95371207838963401</v>
      </c>
      <c r="H1704" s="880">
        <v>0.96266916781189504</v>
      </c>
      <c r="I1704" s="880">
        <v>1.0249005178640982</v>
      </c>
      <c r="K1704">
        <v>1.07560945639253</v>
      </c>
      <c r="L1704">
        <v>0</v>
      </c>
      <c r="M1704">
        <v>6.5772046567374499E-4</v>
      </c>
      <c r="N1704">
        <v>6.8496320820278733E-2</v>
      </c>
      <c r="O1704">
        <v>8.9686419642428586E-3</v>
      </c>
      <c r="P1704">
        <v>1.2815255739550462E-2</v>
      </c>
      <c r="Q1704">
        <v>3.0515705597686628E-3</v>
      </c>
      <c r="R1704">
        <v>6.4620487047272563E-4</v>
      </c>
      <c r="S1704">
        <v>8.7913035950005408E-2</v>
      </c>
      <c r="T1704">
        <v>0.81467809554358817</v>
      </c>
      <c r="U1704">
        <v>1.6965705916251673E-2</v>
      </c>
      <c r="V1704">
        <v>1.0413451416180525E-2</v>
      </c>
      <c r="W1704">
        <v>4.0544036561499484E-2</v>
      </c>
      <c r="X1704">
        <v>1.0016100880315923E-2</v>
      </c>
      <c r="Y1704">
        <v>1.7587566360484589E-3</v>
      </c>
    </row>
    <row r="1705" spans="1:25">
      <c r="A1705" s="876"/>
      <c r="B1705" s="1202">
        <v>1455</v>
      </c>
      <c r="C1705" s="880">
        <v>0.99072589236153452</v>
      </c>
      <c r="D1705" s="880">
        <v>0.99217791022134461</v>
      </c>
      <c r="E1705" s="880">
        <v>1.0045665688545902</v>
      </c>
      <c r="F1705" s="880">
        <v>1.0136381960307064</v>
      </c>
      <c r="G1705" s="880">
        <v>1.0181704162800018</v>
      </c>
      <c r="H1705" s="880">
        <v>1.0023404015492037</v>
      </c>
      <c r="I1705" s="880">
        <v>1.0042563822970525</v>
      </c>
      <c r="K1705">
        <v>1.078408587544941</v>
      </c>
      <c r="L1705">
        <v>0</v>
      </c>
      <c r="M1705">
        <v>6.9438688297608912E-4</v>
      </c>
      <c r="N1705">
        <v>7.0185915790014514E-2</v>
      </c>
      <c r="O1705">
        <v>8.9070345204133056E-3</v>
      </c>
      <c r="P1705">
        <v>1.2722987184937546E-2</v>
      </c>
      <c r="Q1705">
        <v>3.0064591183570975E-3</v>
      </c>
      <c r="R1705">
        <v>6.8268950430896687E-4</v>
      </c>
      <c r="S1705">
        <v>8.7068166556767926E-2</v>
      </c>
      <c r="T1705">
        <v>0.81546842972283662</v>
      </c>
      <c r="U1705">
        <v>1.7068927940949948E-2</v>
      </c>
      <c r="V1705">
        <v>1.0414044806993547E-2</v>
      </c>
      <c r="W1705">
        <v>4.1822608373731696E-2</v>
      </c>
      <c r="X1705">
        <v>9.8976551264114664E-3</v>
      </c>
      <c r="Y1705">
        <v>1.8580557821943956E-3</v>
      </c>
    </row>
    <row r="1706" spans="1:25">
      <c r="A1706" s="876"/>
      <c r="B1706" s="1202">
        <v>1456</v>
      </c>
      <c r="C1706" s="880">
        <v>0.97752245911533009</v>
      </c>
      <c r="D1706" s="880">
        <v>0.99596293143513859</v>
      </c>
      <c r="E1706" s="880">
        <v>0.9891634180428357</v>
      </c>
      <c r="F1706" s="880">
        <v>0.96916685477368558</v>
      </c>
      <c r="G1706" s="880">
        <v>1.0222395648430385</v>
      </c>
      <c r="H1706" s="880">
        <v>1.0072705737392649</v>
      </c>
      <c r="I1706" s="880">
        <v>0.95981609602494289</v>
      </c>
      <c r="K1706">
        <v>1.077481595286494</v>
      </c>
      <c r="L1706">
        <v>0</v>
      </c>
      <c r="M1706">
        <v>7.2905403676942271E-4</v>
      </c>
      <c r="N1706">
        <v>7.0246695898826289E-2</v>
      </c>
      <c r="O1706">
        <v>9.009020637938828E-3</v>
      </c>
      <c r="P1706">
        <v>1.2560276062361687E-2</v>
      </c>
      <c r="Q1706">
        <v>2.9949371595870871E-3</v>
      </c>
      <c r="R1706">
        <v>7.168293543528924E-4</v>
      </c>
      <c r="S1706">
        <v>8.4352750789014039E-2</v>
      </c>
      <c r="T1706">
        <v>0.8167136479020265</v>
      </c>
      <c r="U1706">
        <v>1.7299478603547098E-2</v>
      </c>
      <c r="V1706">
        <v>1.0415370169923846E-2</v>
      </c>
      <c r="W1706">
        <v>4.2303309437236945E-2</v>
      </c>
      <c r="X1706">
        <v>9.6473601086307249E-3</v>
      </c>
      <c r="Y1706">
        <v>1.9509731998154187E-3</v>
      </c>
    </row>
    <row r="1707" spans="1:25">
      <c r="A1707" s="876"/>
      <c r="B1707" s="1202">
        <v>1457</v>
      </c>
      <c r="C1707" s="880">
        <v>0.95891411850319974</v>
      </c>
      <c r="D1707" s="880">
        <v>1.0275620270033219</v>
      </c>
      <c r="E1707" s="880">
        <v>1.0006413740952296</v>
      </c>
      <c r="F1707" s="880">
        <v>0.99916988332057333</v>
      </c>
      <c r="G1707" s="880">
        <v>1.0309143806185734</v>
      </c>
      <c r="H1707" s="880">
        <v>0.99405748985186482</v>
      </c>
      <c r="I1707" s="880">
        <v>1.0238262303086771</v>
      </c>
      <c r="K1707">
        <v>1.0825213792696</v>
      </c>
      <c r="L1707">
        <v>0</v>
      </c>
      <c r="M1707">
        <v>7.041643852633881E-4</v>
      </c>
      <c r="N1707">
        <v>7.0297324715992995E-2</v>
      </c>
      <c r="O1707">
        <v>9.0323108179081422E-3</v>
      </c>
      <c r="P1707">
        <v>1.2735401253132786E-2</v>
      </c>
      <c r="Q1707">
        <v>3.0446819001198663E-3</v>
      </c>
      <c r="R1707">
        <v>6.9217277154106716E-4</v>
      </c>
      <c r="S1707">
        <v>8.9812685108013116E-2</v>
      </c>
      <c r="T1707">
        <v>0.81578498436268221</v>
      </c>
      <c r="U1707">
        <v>1.7635186029327364E-2</v>
      </c>
      <c r="V1707">
        <v>1.0417300045867536E-2</v>
      </c>
      <c r="W1707">
        <v>4.200144608091106E-2</v>
      </c>
      <c r="X1707">
        <v>9.8881844599233507E-3</v>
      </c>
      <c r="Y1707">
        <v>1.8838661094419701E-3</v>
      </c>
    </row>
    <row r="1708" spans="1:25">
      <c r="A1708" s="876"/>
      <c r="B1708" s="1202">
        <v>1458</v>
      </c>
      <c r="C1708" s="880">
        <v>0.97823524657419825</v>
      </c>
      <c r="D1708" s="880">
        <v>1.0073544501587119</v>
      </c>
      <c r="E1708" s="880">
        <v>0.98027710991375805</v>
      </c>
      <c r="F1708" s="880">
        <v>1.0101500042622564</v>
      </c>
      <c r="G1708" s="880">
        <v>1.0212009286630783</v>
      </c>
      <c r="H1708" s="880">
        <v>0.97108921180311714</v>
      </c>
      <c r="I1708" s="880">
        <v>0.96575715434727794</v>
      </c>
      <c r="K1708">
        <v>1.0707755578568321</v>
      </c>
      <c r="L1708">
        <v>0</v>
      </c>
      <c r="M1708">
        <v>7.1127387350667954E-4</v>
      </c>
      <c r="N1708">
        <v>6.6619343028196373E-2</v>
      </c>
      <c r="O1708">
        <v>8.9480324859794874E-3</v>
      </c>
      <c r="P1708">
        <v>1.2468213095153967E-2</v>
      </c>
      <c r="Q1708">
        <v>2.9504893226215039E-3</v>
      </c>
      <c r="R1708">
        <v>6.9889263311650465E-4</v>
      </c>
      <c r="S1708">
        <v>8.3061752327859506E-2</v>
      </c>
      <c r="T1708">
        <v>0.81743569333037558</v>
      </c>
      <c r="U1708">
        <v>1.7286873403073305E-2</v>
      </c>
      <c r="V1708">
        <v>1.0415297706608173E-2</v>
      </c>
      <c r="W1708">
        <v>4.0366198582107375E-2</v>
      </c>
      <c r="X1708">
        <v>9.3338904577984511E-3</v>
      </c>
      <c r="Y1708">
        <v>1.9021553574485373E-3</v>
      </c>
    </row>
    <row r="1709" spans="1:25">
      <c r="A1709" s="876"/>
      <c r="B1709" s="1202">
        <v>1459</v>
      </c>
      <c r="C1709" s="880">
        <v>1.0013402966151084</v>
      </c>
      <c r="D1709" s="880">
        <v>1.0186305979809254</v>
      </c>
      <c r="E1709" s="880">
        <v>1.009572937601525</v>
      </c>
      <c r="F1709" s="880">
        <v>1.0196696615016989</v>
      </c>
      <c r="G1709" s="880">
        <v>0.97251145377421688</v>
      </c>
      <c r="H1709" s="880">
        <v>0.99529808964723021</v>
      </c>
      <c r="I1709" s="880">
        <v>1.0167406716033542</v>
      </c>
      <c r="K1709">
        <v>1.0730950056007071</v>
      </c>
      <c r="L1709">
        <v>0</v>
      </c>
      <c r="M1709">
        <v>6.6565808950852566E-4</v>
      </c>
      <c r="N1709">
        <v>6.8327151717004347E-2</v>
      </c>
      <c r="O1709">
        <v>8.6898903697622959E-3</v>
      </c>
      <c r="P1709">
        <v>1.2745262465752413E-2</v>
      </c>
      <c r="Q1709">
        <v>2.9536904919456285E-3</v>
      </c>
      <c r="R1709">
        <v>6.5434353458848431E-4</v>
      </c>
      <c r="S1709">
        <v>8.5827935996714066E-2</v>
      </c>
      <c r="T1709">
        <v>0.81506544212380871</v>
      </c>
      <c r="U1709">
        <v>1.6887993944832147E-2</v>
      </c>
      <c r="V1709">
        <v>1.041300467460538E-2</v>
      </c>
      <c r="W1709">
        <v>4.057645260176633E-2</v>
      </c>
      <c r="X1709">
        <v>9.8385883725734587E-3</v>
      </c>
      <c r="Y1709">
        <v>1.780907396861649E-3</v>
      </c>
    </row>
    <row r="1710" spans="1:25">
      <c r="A1710" s="876"/>
      <c r="B1710" s="1202">
        <v>1460</v>
      </c>
      <c r="C1710" s="880">
        <v>1.0076898274024266</v>
      </c>
      <c r="D1710" s="880">
        <v>0.96269056663710051</v>
      </c>
      <c r="E1710" s="880">
        <v>1.0144658875845185</v>
      </c>
      <c r="F1710" s="880">
        <v>0.96626779822203424</v>
      </c>
      <c r="G1710" s="880">
        <v>1.0295401578824732</v>
      </c>
      <c r="H1710" s="880">
        <v>1.0124674004083198</v>
      </c>
      <c r="I1710" s="880">
        <v>1.0032131159982607</v>
      </c>
      <c r="K1710">
        <v>1.0796264642212265</v>
      </c>
      <c r="L1710">
        <v>0</v>
      </c>
      <c r="M1710">
        <v>6.8629815103413486E-4</v>
      </c>
      <c r="N1710">
        <v>7.155139502645784E-2</v>
      </c>
      <c r="O1710">
        <v>8.8994346827426206E-3</v>
      </c>
      <c r="P1710">
        <v>1.2803175713141742E-2</v>
      </c>
      <c r="Q1710">
        <v>3.0268786237037017E-3</v>
      </c>
      <c r="R1710">
        <v>6.7487825042117247E-4</v>
      </c>
      <c r="S1710">
        <v>8.7179667280231063E-2</v>
      </c>
      <c r="T1710">
        <v>0.81467240845505462</v>
      </c>
      <c r="U1710">
        <v>1.6781581401435555E-2</v>
      </c>
      <c r="V1710">
        <v>1.0412392942508206E-2</v>
      </c>
      <c r="W1710">
        <v>4.2350349232385252E-2</v>
      </c>
      <c r="X1710">
        <v>1.0123804640087906E-2</v>
      </c>
      <c r="Y1710">
        <v>1.8367961240909714E-3</v>
      </c>
    </row>
    <row r="1711" spans="1:25">
      <c r="A1711" s="876"/>
      <c r="B1711" s="1202">
        <v>1461</v>
      </c>
      <c r="C1711" s="880">
        <v>1.0408062609363529</v>
      </c>
      <c r="D1711" s="880">
        <v>0.98306484192835808</v>
      </c>
      <c r="E1711" s="880">
        <v>1.0309833153297061</v>
      </c>
      <c r="F1711" s="880">
        <v>1.0186788401547155</v>
      </c>
      <c r="G1711" s="880">
        <v>1.0025814990542397</v>
      </c>
      <c r="H1711" s="880">
        <v>0.98140174822967396</v>
      </c>
      <c r="I1711" s="880">
        <v>0.9826031729942869</v>
      </c>
      <c r="K1711">
        <v>1.0637432593039777</v>
      </c>
      <c r="L1711">
        <v>0</v>
      </c>
      <c r="M1711">
        <v>6.1507068640926309E-4</v>
      </c>
      <c r="N1711">
        <v>6.7462997676502517E-2</v>
      </c>
      <c r="O1711">
        <v>8.5203278617265593E-3</v>
      </c>
      <c r="P1711">
        <v>1.284323152967675E-2</v>
      </c>
      <c r="Q1711">
        <v>2.9505103314615309E-3</v>
      </c>
      <c r="R1711">
        <v>6.0449558287678528E-4</v>
      </c>
      <c r="S1711">
        <v>8.0752629892727287E-2</v>
      </c>
      <c r="T1711">
        <v>0.81335164760934664</v>
      </c>
      <c r="U1711">
        <v>1.6247624078220731E-2</v>
      </c>
      <c r="V1711">
        <v>1.0409323390529631E-2</v>
      </c>
      <c r="W1711">
        <v>3.9488729486956704E-2</v>
      </c>
      <c r="X1711">
        <v>1.0081574845685743E-2</v>
      </c>
      <c r="Y1711">
        <v>1.6452377046752699E-3</v>
      </c>
    </row>
    <row r="1712" spans="1:25">
      <c r="A1712" s="876"/>
      <c r="B1712" s="1202">
        <v>1462</v>
      </c>
      <c r="C1712" s="880">
        <v>0.98961706705823693</v>
      </c>
      <c r="D1712" s="880">
        <v>1.0100704998188996</v>
      </c>
      <c r="E1712" s="880">
        <v>1.0031215602130639</v>
      </c>
      <c r="F1712" s="880">
        <v>0.99554818337393469</v>
      </c>
      <c r="G1712" s="880">
        <v>1.0133639950564002</v>
      </c>
      <c r="H1712" s="880">
        <v>0.9617402841156879</v>
      </c>
      <c r="I1712" s="880">
        <v>1.0294000245212254</v>
      </c>
      <c r="K1712">
        <v>1.0725117251805709</v>
      </c>
      <c r="L1712">
        <v>0</v>
      </c>
      <c r="M1712">
        <v>6.627103043235818E-4</v>
      </c>
      <c r="N1712">
        <v>6.6634001901058462E-2</v>
      </c>
      <c r="O1712">
        <v>8.8324381813826482E-3</v>
      </c>
      <c r="P1712">
        <v>1.2710976294216147E-2</v>
      </c>
      <c r="Q1712">
        <v>2.9809369499853352E-3</v>
      </c>
      <c r="R1712">
        <v>6.5105998343096627E-4</v>
      </c>
      <c r="S1712">
        <v>8.705426793479619E-2</v>
      </c>
      <c r="T1712">
        <v>0.81558490421842555</v>
      </c>
      <c r="U1712">
        <v>1.7088052974087619E-2</v>
      </c>
      <c r="V1712">
        <v>1.0414154750767627E-2</v>
      </c>
      <c r="W1712">
        <v>3.9745255437174512E-2</v>
      </c>
      <c r="X1712">
        <v>9.7064162065360685E-3</v>
      </c>
      <c r="Y1712">
        <v>1.7719706530332333E-3</v>
      </c>
    </row>
    <row r="1713" spans="1:25">
      <c r="A1713" s="876"/>
      <c r="B1713" s="1202">
        <v>1463</v>
      </c>
      <c r="C1713" s="880">
        <v>0.99016537785835801</v>
      </c>
      <c r="D1713" s="880">
        <v>0.96819018917830635</v>
      </c>
      <c r="E1713" s="880">
        <v>0.97334164685848734</v>
      </c>
      <c r="F1713" s="880">
        <v>1.0162760506935713</v>
      </c>
      <c r="G1713" s="880">
        <v>1.0228403396224421</v>
      </c>
      <c r="H1713" s="880">
        <v>1.0105781123106223</v>
      </c>
      <c r="I1713" s="880">
        <v>1.0220732703115827</v>
      </c>
      <c r="K1713">
        <v>1.0832577846397309</v>
      </c>
      <c r="L1713">
        <v>0</v>
      </c>
      <c r="M1713">
        <v>7.5783749882426339E-4</v>
      </c>
      <c r="N1713">
        <v>6.951440579449264E-2</v>
      </c>
      <c r="O1713">
        <v>9.0293779351757787E-3</v>
      </c>
      <c r="P1713">
        <v>1.2500831235221414E-2</v>
      </c>
      <c r="Q1713">
        <v>2.947570415220585E-3</v>
      </c>
      <c r="R1713">
        <v>7.4519825206013132E-4</v>
      </c>
      <c r="S1713">
        <v>9.0062407255862578E-2</v>
      </c>
      <c r="T1713">
        <v>0.8180010820448339</v>
      </c>
      <c r="U1713">
        <v>1.707859034874417E-2</v>
      </c>
      <c r="V1713">
        <v>1.0414100353123694E-2</v>
      </c>
      <c r="W1713">
        <v>4.2324032033805324E-2</v>
      </c>
      <c r="X1713">
        <v>9.3698424824444349E-3</v>
      </c>
      <c r="Y1713">
        <v>2.0281839875699067E-3</v>
      </c>
    </row>
    <row r="1714" spans="1:25">
      <c r="A1714" s="876"/>
      <c r="B1714" s="1202">
        <v>1464</v>
      </c>
      <c r="C1714" s="880">
        <v>1.0122521044035653</v>
      </c>
      <c r="D1714" s="880">
        <v>1.0021226349684385</v>
      </c>
      <c r="E1714" s="880">
        <v>1.0041447665321652</v>
      </c>
      <c r="F1714" s="880">
        <v>1.0053650668076362</v>
      </c>
      <c r="G1714" s="880">
        <v>1.0369770824602718</v>
      </c>
      <c r="H1714" s="880">
        <v>1.0357174693572127</v>
      </c>
      <c r="I1714" s="880">
        <v>0.987764129821044</v>
      </c>
      <c r="K1714">
        <v>1.0758542237732194</v>
      </c>
      <c r="L1714">
        <v>0</v>
      </c>
      <c r="M1714">
        <v>6.9915509305315331E-4</v>
      </c>
      <c r="N1714">
        <v>7.0613334010779433E-2</v>
      </c>
      <c r="O1714">
        <v>8.6713672228908318E-3</v>
      </c>
      <c r="P1714">
        <v>1.2680191667651733E-2</v>
      </c>
      <c r="Q1714">
        <v>2.927857684008205E-3</v>
      </c>
      <c r="R1714">
        <v>6.8774857902866406E-4</v>
      </c>
      <c r="S1714">
        <v>8.4564817808616216E-2</v>
      </c>
      <c r="T1714">
        <v>0.81550242163719644</v>
      </c>
      <c r="U1714">
        <v>1.6705945872956589E-2</v>
      </c>
      <c r="V1714">
        <v>1.04119581377476E-2</v>
      </c>
      <c r="W1714">
        <v>4.2089408713856677E-2</v>
      </c>
      <c r="X1714">
        <v>9.8265026156822664E-3</v>
      </c>
      <c r="Y1714">
        <v>1.8718249158578778E-3</v>
      </c>
    </row>
    <row r="1715" spans="1:25">
      <c r="A1715" s="876"/>
      <c r="B1715" s="1202">
        <v>1465</v>
      </c>
      <c r="C1715" s="880">
        <v>1.0033854869061825</v>
      </c>
      <c r="D1715" s="880">
        <v>0.99789737168423098</v>
      </c>
      <c r="E1715" s="880">
        <v>0.9999185280788514</v>
      </c>
      <c r="F1715" s="880">
        <v>0.98771665719874091</v>
      </c>
      <c r="G1715" s="880">
        <v>1.0340686221956363</v>
      </c>
      <c r="H1715" s="880">
        <v>0.97827838284358726</v>
      </c>
      <c r="I1715" s="880">
        <v>1.0070020552441015</v>
      </c>
      <c r="K1715">
        <v>1.0711940415828589</v>
      </c>
      <c r="L1715">
        <v>0</v>
      </c>
      <c r="M1715">
        <v>6.7368718741385133E-4</v>
      </c>
      <c r="N1715">
        <v>6.708746052203024E-2</v>
      </c>
      <c r="O1715">
        <v>8.7677264759591488E-3</v>
      </c>
      <c r="P1715">
        <v>1.2654196568958331E-2</v>
      </c>
      <c r="Q1715">
        <v>2.9469275259748741E-3</v>
      </c>
      <c r="R1715">
        <v>6.6205445320883724E-4</v>
      </c>
      <c r="S1715">
        <v>8.5093673959068444E-2</v>
      </c>
      <c r="T1715">
        <v>0.81584333672238429</v>
      </c>
      <c r="U1715">
        <v>1.6853571320922987E-2</v>
      </c>
      <c r="V1715">
        <v>1.0412806789814358E-2</v>
      </c>
      <c r="W1715">
        <v>4.0103433679855395E-2</v>
      </c>
      <c r="X1715">
        <v>9.6406467766514802E-3</v>
      </c>
      <c r="Y1715">
        <v>1.8018939754426099E-3</v>
      </c>
    </row>
    <row r="1716" spans="1:25">
      <c r="A1716" s="876"/>
      <c r="B1716" s="1202">
        <v>1466</v>
      </c>
      <c r="C1716" s="880">
        <v>1.0097489670381998</v>
      </c>
      <c r="D1716" s="880">
        <v>1.0002295710813141</v>
      </c>
      <c r="E1716" s="880">
        <v>1.0183888041209352</v>
      </c>
      <c r="F1716" s="880">
        <v>1.0021635573582595</v>
      </c>
      <c r="G1716" s="880">
        <v>0.97251033326079295</v>
      </c>
      <c r="H1716" s="880">
        <v>0.95429170942741715</v>
      </c>
      <c r="I1716" s="880">
        <v>1.0259537786147626</v>
      </c>
      <c r="K1716">
        <v>1.0679098733298573</v>
      </c>
      <c r="L1716">
        <v>0</v>
      </c>
      <c r="M1716">
        <v>6.2730019951966534E-4</v>
      </c>
      <c r="N1716">
        <v>6.613087873352147E-2</v>
      </c>
      <c r="O1716">
        <v>8.7016319379566772E-3</v>
      </c>
      <c r="P1716">
        <v>1.2807669531700623E-2</v>
      </c>
      <c r="Q1716">
        <v>2.979760544897867E-3</v>
      </c>
      <c r="R1716">
        <v>6.1619427488382602E-4</v>
      </c>
      <c r="S1716">
        <v>8.5177430864349937E-2</v>
      </c>
      <c r="T1716">
        <v>0.81435788319465396</v>
      </c>
      <c r="U1716">
        <v>1.6747359411076915E-2</v>
      </c>
      <c r="V1716">
        <v>1.0412196211096084E-2</v>
      </c>
      <c r="W1716">
        <v>3.9038282854257991E-2</v>
      </c>
      <c r="X1716">
        <v>9.8908082831355472E-3</v>
      </c>
      <c r="Y1716">
        <v>1.6770776878456512E-3</v>
      </c>
    </row>
    <row r="1717" spans="1:25">
      <c r="A1717" s="876"/>
      <c r="B1717" s="1202">
        <v>1467</v>
      </c>
      <c r="C1717" s="880">
        <v>0.95633926433971195</v>
      </c>
      <c r="D1717" s="880">
        <v>1.0258211895059883</v>
      </c>
      <c r="E1717" s="880">
        <v>1.035039909707985</v>
      </c>
      <c r="F1717" s="880">
        <v>1.0084818455929718</v>
      </c>
      <c r="G1717" s="880">
        <v>1.0001857835651422</v>
      </c>
      <c r="H1717" s="880">
        <v>1.0130465634062065</v>
      </c>
      <c r="I1717" s="880">
        <v>0.97822827593893968</v>
      </c>
      <c r="K1717">
        <v>1.0834687827234526</v>
      </c>
      <c r="L1717">
        <v>0</v>
      </c>
      <c r="M1717">
        <v>6.6973688500650784E-4</v>
      </c>
      <c r="N1717">
        <v>7.4426354211521953E-2</v>
      </c>
      <c r="O1717">
        <v>9.0648016349446654E-3</v>
      </c>
      <c r="P1717">
        <v>1.298146901608719E-2</v>
      </c>
      <c r="Q1717">
        <v>3.1616703964234779E-3</v>
      </c>
      <c r="R1717">
        <v>6.5854672154239461E-4</v>
      </c>
      <c r="S1717">
        <v>8.6801364726385999E-2</v>
      </c>
      <c r="T1717">
        <v>0.8130286996741255</v>
      </c>
      <c r="U1717">
        <v>1.7682667120886269E-2</v>
      </c>
      <c r="V1717">
        <v>1.0417572999664032E-2</v>
      </c>
      <c r="W1717">
        <v>4.3446635313323996E-2</v>
      </c>
      <c r="X1717">
        <v>1.0676390707382955E-2</v>
      </c>
      <c r="Y1717">
        <v>1.7923470861699858E-3</v>
      </c>
    </row>
    <row r="1718" spans="1:25">
      <c r="A1718" s="876"/>
      <c r="B1718" s="1202">
        <v>1468</v>
      </c>
      <c r="C1718" s="880">
        <v>0.98592914129548725</v>
      </c>
      <c r="D1718" s="880">
        <v>1.037244829167556</v>
      </c>
      <c r="E1718" s="880">
        <v>0.97288811911219486</v>
      </c>
      <c r="F1718" s="880">
        <v>0.99193595274345669</v>
      </c>
      <c r="G1718" s="880">
        <v>0.99901523961212557</v>
      </c>
      <c r="H1718" s="880">
        <v>0.99020796072217243</v>
      </c>
      <c r="I1718" s="880">
        <v>1.0018044483427759</v>
      </c>
      <c r="K1718">
        <v>1.0716388621080619</v>
      </c>
      <c r="L1718">
        <v>0</v>
      </c>
      <c r="M1718">
        <v>7.1960287597584304E-4</v>
      </c>
      <c r="N1718">
        <v>6.5885212032356366E-2</v>
      </c>
      <c r="O1718">
        <v>8.7411251714099962E-3</v>
      </c>
      <c r="P1718">
        <v>1.242946457633461E-2</v>
      </c>
      <c r="Q1718">
        <v>2.8668536540545782E-3</v>
      </c>
      <c r="R1718">
        <v>7.0729235225139363E-4</v>
      </c>
      <c r="S1718">
        <v>8.4938856226525028E-2</v>
      </c>
      <c r="T1718">
        <v>0.81803811089405087</v>
      </c>
      <c r="U1718">
        <v>1.7151971838191383E-2</v>
      </c>
      <c r="V1718">
        <v>1.0414522200125955E-2</v>
      </c>
      <c r="W1718">
        <v>4.012707487158669E-2</v>
      </c>
      <c r="X1718">
        <v>9.1329645431821628E-3</v>
      </c>
      <c r="Y1718">
        <v>1.9250166239670366E-3</v>
      </c>
    </row>
    <row r="1719" spans="1:25">
      <c r="A1719" s="876"/>
      <c r="B1719" s="1202">
        <v>1469</v>
      </c>
      <c r="C1719" s="880">
        <v>0.97124420327056904</v>
      </c>
      <c r="D1719" s="880">
        <v>0.99656063158976393</v>
      </c>
      <c r="E1719" s="880">
        <v>0.98504446012554869</v>
      </c>
      <c r="F1719" s="880">
        <v>1.0048411281418632</v>
      </c>
      <c r="G1719" s="880">
        <v>1.005751117795441</v>
      </c>
      <c r="H1719" s="880">
        <v>1.0194832914420904</v>
      </c>
      <c r="I1719" s="880">
        <v>0.98562800483197721</v>
      </c>
      <c r="K1719">
        <v>1.0830296578529399</v>
      </c>
      <c r="L1719">
        <v>0</v>
      </c>
      <c r="M1719">
        <v>7.4888118622371002E-4</v>
      </c>
      <c r="N1719">
        <v>7.1251972370222766E-2</v>
      </c>
      <c r="O1719">
        <v>9.0643547251723529E-3</v>
      </c>
      <c r="P1719">
        <v>1.257108316427257E-2</v>
      </c>
      <c r="Q1719">
        <v>3.0009275409074235E-3</v>
      </c>
      <c r="R1719">
        <v>7.3647392334408161E-4</v>
      </c>
      <c r="S1719">
        <v>8.7599013489891631E-2</v>
      </c>
      <c r="T1719">
        <v>0.81704799592916644</v>
      </c>
      <c r="U1719">
        <v>1.7411304807799659E-2</v>
      </c>
      <c r="V1719">
        <v>1.041601302344715E-2</v>
      </c>
      <c r="W1719">
        <v>4.3030899375459279E-2</v>
      </c>
      <c r="X1719">
        <v>9.6440614486998401E-3</v>
      </c>
      <c r="Y1719">
        <v>2.0044392407790081E-3</v>
      </c>
    </row>
    <row r="1720" spans="1:25">
      <c r="A1720" s="876"/>
      <c r="B1720" s="1202">
        <v>1470</v>
      </c>
      <c r="C1720" s="880">
        <v>1.0228964693893285</v>
      </c>
      <c r="D1720" s="880">
        <v>0.98759235585699068</v>
      </c>
      <c r="E1720" s="880">
        <v>1.0218074234274603</v>
      </c>
      <c r="F1720" s="880">
        <v>0.95997142367268073</v>
      </c>
      <c r="G1720" s="880">
        <v>0.97874652256869643</v>
      </c>
      <c r="H1720" s="880">
        <v>0.96098678801774695</v>
      </c>
      <c r="I1720" s="880">
        <v>1.0122522113663555</v>
      </c>
      <c r="K1720">
        <v>1.0663121342665878</v>
      </c>
      <c r="L1720">
        <v>0</v>
      </c>
      <c r="M1720">
        <v>6.2329925399110062E-4</v>
      </c>
      <c r="N1720">
        <v>6.6420086679169321E-2</v>
      </c>
      <c r="O1720">
        <v>8.6482623562275113E-3</v>
      </c>
      <c r="P1720">
        <v>1.2812889129669552E-2</v>
      </c>
      <c r="Q1720">
        <v>2.9687381468876616E-3</v>
      </c>
      <c r="R1720">
        <v>6.1235129685842881E-4</v>
      </c>
      <c r="S1720">
        <v>8.3724929019234812E-2</v>
      </c>
      <c r="T1720">
        <v>0.81408421837529532</v>
      </c>
      <c r="U1720">
        <v>1.6532102096361787E-2</v>
      </c>
      <c r="V1720">
        <v>1.0410958764791743E-2</v>
      </c>
      <c r="W1720">
        <v>3.9118670305895165E-2</v>
      </c>
      <c r="X1720">
        <v>9.9356089816881842E-3</v>
      </c>
      <c r="Y1720">
        <v>1.6666183684978853E-3</v>
      </c>
    </row>
    <row r="1721" spans="1:25">
      <c r="A1721" s="876"/>
      <c r="B1721" s="1202">
        <v>1471</v>
      </c>
      <c r="C1721" s="880">
        <v>1.0342231871668155</v>
      </c>
      <c r="D1721" s="880">
        <v>0.98725354646754027</v>
      </c>
      <c r="E1721" s="880">
        <v>0.95660702764088068</v>
      </c>
      <c r="F1721" s="880">
        <v>1.0162818709829966</v>
      </c>
      <c r="G1721" s="880">
        <v>1.004889717858138</v>
      </c>
      <c r="H1721" s="880">
        <v>0.97824776849576001</v>
      </c>
      <c r="I1721" s="880">
        <v>1.020601244648851</v>
      </c>
      <c r="K1721">
        <v>1.0656501694498204</v>
      </c>
      <c r="L1721">
        <v>0</v>
      </c>
      <c r="M1721">
        <v>7.1987042748504623E-4</v>
      </c>
      <c r="N1721">
        <v>6.2636708108378736E-2</v>
      </c>
      <c r="O1721">
        <v>8.5551145178453646E-3</v>
      </c>
      <c r="P1721">
        <v>1.2270504490103905E-2</v>
      </c>
      <c r="Q1721">
        <v>2.7492976016556931E-3</v>
      </c>
      <c r="R1721">
        <v>7.0744966197737523E-4</v>
      </c>
      <c r="S1721">
        <v>8.4118452654698014E-2</v>
      </c>
      <c r="T1721">
        <v>0.81937199619301659</v>
      </c>
      <c r="U1721">
        <v>1.6351044025881768E-2</v>
      </c>
      <c r="V1721">
        <v>1.0409917919139247E-2</v>
      </c>
      <c r="W1721">
        <v>3.8586714540366863E-2</v>
      </c>
      <c r="X1721">
        <v>8.6873953950574768E-3</v>
      </c>
      <c r="Y1721">
        <v>1.9254447691840206E-3</v>
      </c>
    </row>
    <row r="1722" spans="1:25">
      <c r="A1722" s="876"/>
      <c r="B1722" s="1202">
        <v>1472</v>
      </c>
      <c r="C1722" s="880">
        <v>1.0057899910639332</v>
      </c>
      <c r="D1722" s="880">
        <v>0.99794546360892566</v>
      </c>
      <c r="E1722" s="880">
        <v>1.0080361017470705</v>
      </c>
      <c r="F1722" s="880">
        <v>1.0227399866604756</v>
      </c>
      <c r="G1722" s="880">
        <v>0.97785775339622649</v>
      </c>
      <c r="H1722" s="880">
        <v>1.0237270238949678</v>
      </c>
      <c r="I1722" s="880">
        <v>0.9910349403852039</v>
      </c>
      <c r="K1722">
        <v>1.0764223520724339</v>
      </c>
      <c r="L1722">
        <v>0</v>
      </c>
      <c r="M1722">
        <v>6.913540713227328E-4</v>
      </c>
      <c r="N1722">
        <v>7.0662165145141356E-2</v>
      </c>
      <c r="O1722">
        <v>8.7465409760892482E-3</v>
      </c>
      <c r="P1722">
        <v>1.2722046060357758E-2</v>
      </c>
      <c r="Q1722">
        <v>2.9638502373583119E-3</v>
      </c>
      <c r="R1722">
        <v>6.7994621955326355E-4</v>
      </c>
      <c r="S1722">
        <v>8.5145106719991065E-2</v>
      </c>
      <c r="T1722">
        <v>0.8151890590023817</v>
      </c>
      <c r="U1722">
        <v>1.6813280124277411E-2</v>
      </c>
      <c r="V1722">
        <v>1.041257516845248E-2</v>
      </c>
      <c r="W1722">
        <v>4.2006992883675813E-2</v>
      </c>
      <c r="X1722">
        <v>9.9215541410647597E-3</v>
      </c>
      <c r="Y1722">
        <v>1.8505894654129479E-3</v>
      </c>
    </row>
    <row r="1723" spans="1:25">
      <c r="A1723" s="876"/>
      <c r="B1723" s="1202">
        <v>1473</v>
      </c>
      <c r="C1723" s="880">
        <v>1.0191379510172598</v>
      </c>
      <c r="D1723" s="880">
        <v>0.99899075277478788</v>
      </c>
      <c r="E1723" s="880">
        <v>0.97221971653291883</v>
      </c>
      <c r="F1723" s="880">
        <v>1.0118059771580834</v>
      </c>
      <c r="G1723" s="880">
        <v>1.0086672343204115</v>
      </c>
      <c r="H1723" s="880">
        <v>0.99742765921760546</v>
      </c>
      <c r="I1723" s="880">
        <v>1.0299906598580666</v>
      </c>
      <c r="K1723">
        <v>1.0716486095678075</v>
      </c>
      <c r="L1723">
        <v>0</v>
      </c>
      <c r="M1723">
        <v>7.1636925152401072E-4</v>
      </c>
      <c r="N1723">
        <v>6.5463960571676874E-2</v>
      </c>
      <c r="O1723">
        <v>8.6271664961872063E-3</v>
      </c>
      <c r="P1723">
        <v>1.2435001893316401E-2</v>
      </c>
      <c r="Q1723">
        <v>2.8196843841394683E-3</v>
      </c>
      <c r="R1723">
        <v>7.0423602100249327E-4</v>
      </c>
      <c r="S1723">
        <v>8.6336588549518256E-2</v>
      </c>
      <c r="T1723">
        <v>0.81809269613591129</v>
      </c>
      <c r="U1723">
        <v>1.6593071476803431E-2</v>
      </c>
      <c r="V1723">
        <v>1.0411309258500196E-2</v>
      </c>
      <c r="W1723">
        <v>3.9889106901184086E-2</v>
      </c>
      <c r="X1723">
        <v>9.0754588332641745E-3</v>
      </c>
      <c r="Y1723">
        <v>1.9166982978268555E-3</v>
      </c>
    </row>
    <row r="1724" spans="1:25">
      <c r="A1724" s="876"/>
      <c r="B1724" s="1202">
        <v>1474</v>
      </c>
      <c r="C1724" s="880">
        <v>1.0125457512330593</v>
      </c>
      <c r="D1724" s="880">
        <v>0.98447263704079369</v>
      </c>
      <c r="E1724" s="880">
        <v>1.0034433723072818</v>
      </c>
      <c r="F1724" s="880">
        <v>0.98238660810535805</v>
      </c>
      <c r="G1724" s="880">
        <v>0.97820665185395794</v>
      </c>
      <c r="H1724" s="880">
        <v>0.98238193944592567</v>
      </c>
      <c r="I1724" s="880">
        <v>0.98792317764712567</v>
      </c>
      <c r="K1724">
        <v>1.069678046924061</v>
      </c>
      <c r="L1724">
        <v>0</v>
      </c>
      <c r="M1724">
        <v>6.7024985950444422E-4</v>
      </c>
      <c r="N1724">
        <v>6.7487169282698045E-2</v>
      </c>
      <c r="O1724">
        <v>8.75144184552064E-3</v>
      </c>
      <c r="P1724">
        <v>1.2658763419334312E-2</v>
      </c>
      <c r="Q1724">
        <v>2.9488885342982846E-3</v>
      </c>
      <c r="R1724">
        <v>6.5873632287053059E-4</v>
      </c>
      <c r="S1724">
        <v>8.343081092420343E-2</v>
      </c>
      <c r="T1724">
        <v>0.81555895850452587</v>
      </c>
      <c r="U1724">
        <v>1.6701101007395396E-2</v>
      </c>
      <c r="V1724">
        <v>1.0411930286145956E-2</v>
      </c>
      <c r="W1724">
        <v>4.0245302523549215E-2</v>
      </c>
      <c r="X1724">
        <v>9.702331014540452E-3</v>
      </c>
      <c r="Y1724">
        <v>1.7928631184831111E-3</v>
      </c>
    </row>
    <row r="1725" spans="1:25">
      <c r="A1725" s="876"/>
      <c r="B1725" s="1202">
        <v>1475</v>
      </c>
      <c r="C1725" s="880">
        <v>1.0025510607354504</v>
      </c>
      <c r="D1725" s="880">
        <v>1.0114528543799925</v>
      </c>
      <c r="E1725" s="880">
        <v>0.97337044444248388</v>
      </c>
      <c r="F1725" s="880">
        <v>1.0107632722185136</v>
      </c>
      <c r="G1725" s="880">
        <v>1.0113534219080567</v>
      </c>
      <c r="H1725" s="880">
        <v>1.0140382436303623</v>
      </c>
      <c r="I1725" s="880">
        <v>1.0212845263306418</v>
      </c>
      <c r="K1725">
        <v>1.0758212618999614</v>
      </c>
      <c r="L1725">
        <v>0</v>
      </c>
      <c r="M1725">
        <v>7.3371161243460797E-4</v>
      </c>
      <c r="N1725">
        <v>6.7307665614811205E-2</v>
      </c>
      <c r="O1725">
        <v>8.712140430806984E-3</v>
      </c>
      <c r="P1725">
        <v>1.2458464102658424E-2</v>
      </c>
      <c r="Q1725">
        <v>2.8534378894641975E-3</v>
      </c>
      <c r="R1725">
        <v>7.214771063477959E-4</v>
      </c>
      <c r="S1725">
        <v>8.70891069422675E-2</v>
      </c>
      <c r="T1725">
        <v>0.81799873106407439</v>
      </c>
      <c r="U1725">
        <v>1.6867598597469027E-2</v>
      </c>
      <c r="V1725">
        <v>1.0412887428196098E-2</v>
      </c>
      <c r="W1725">
        <v>4.0979629658375982E-2</v>
      </c>
      <c r="X1725">
        <v>9.1902118293103376E-3</v>
      </c>
      <c r="Y1725">
        <v>1.9636228486145128E-3</v>
      </c>
    </row>
    <row r="1726" spans="1:25">
      <c r="A1726" s="876"/>
      <c r="B1726" s="1202">
        <v>1476</v>
      </c>
      <c r="C1726" s="880">
        <v>0.97382553626496338</v>
      </c>
      <c r="D1726" s="880">
        <v>0.98173999665195655</v>
      </c>
      <c r="E1726" s="880">
        <v>1.0233084733941147</v>
      </c>
      <c r="F1726" s="880">
        <v>1.0330556317921136</v>
      </c>
      <c r="G1726" s="880">
        <v>1.0190328653196725</v>
      </c>
      <c r="H1726" s="880">
        <v>0.97672385821462337</v>
      </c>
      <c r="I1726" s="880">
        <v>1.0051315258635654</v>
      </c>
      <c r="K1726">
        <v>1.0803550629825764</v>
      </c>
      <c r="L1726">
        <v>0</v>
      </c>
      <c r="M1726">
        <v>6.6542510009437786E-4</v>
      </c>
      <c r="N1726">
        <v>7.1261538207726363E-2</v>
      </c>
      <c r="O1726">
        <v>9.1129271341293151E-3</v>
      </c>
      <c r="P1726">
        <v>1.2898670626170642E-2</v>
      </c>
      <c r="Q1726">
        <v>3.1315115514483779E-3</v>
      </c>
      <c r="R1726">
        <v>6.539305898855041E-4</v>
      </c>
      <c r="S1726">
        <v>8.81707357025905E-2</v>
      </c>
      <c r="T1726">
        <v>0.81396418332190279</v>
      </c>
      <c r="U1726">
        <v>1.7365152418175309E-2</v>
      </c>
      <c r="V1726">
        <v>1.0415747707938343E-2</v>
      </c>
      <c r="W1726">
        <v>4.1927670393950074E-2</v>
      </c>
      <c r="X1726">
        <v>1.0338636931244751E-2</v>
      </c>
      <c r="Y1726">
        <v>1.7797834975073216E-3</v>
      </c>
    </row>
    <row r="1727" spans="1:25">
      <c r="A1727" s="876"/>
      <c r="B1727" s="1202">
        <v>1477</v>
      </c>
      <c r="C1727" s="880">
        <v>1.0245998996108525</v>
      </c>
      <c r="D1727" s="880">
        <v>0.99631324289981216</v>
      </c>
      <c r="E1727" s="880">
        <v>1.0081614878428118</v>
      </c>
      <c r="F1727" s="880">
        <v>1.003504960717577</v>
      </c>
      <c r="G1727" s="880">
        <v>1.0262227610157828</v>
      </c>
      <c r="H1727" s="880">
        <v>1.0044025352751875</v>
      </c>
      <c r="I1727" s="880">
        <v>1.0117298784592628</v>
      </c>
      <c r="K1727">
        <v>1.0711487772711945</v>
      </c>
      <c r="L1727">
        <v>0</v>
      </c>
      <c r="M1727">
        <v>6.6625525255304806E-4</v>
      </c>
      <c r="N1727">
        <v>6.8101559375988191E-2</v>
      </c>
      <c r="O1727">
        <v>8.5934695444619368E-3</v>
      </c>
      <c r="P1727">
        <v>1.2712900648153388E-2</v>
      </c>
      <c r="Q1727">
        <v>2.9119894034046099E-3</v>
      </c>
      <c r="R1727">
        <v>6.5505138174708449E-4</v>
      </c>
      <c r="S1727">
        <v>8.4713435099513762E-2</v>
      </c>
      <c r="T1727">
        <v>0.81517897043921606</v>
      </c>
      <c r="U1727">
        <v>1.6504616945966031E-2</v>
      </c>
      <c r="V1727">
        <v>1.0410800761344428E-2</v>
      </c>
      <c r="W1727">
        <v>4.0481319412472017E-2</v>
      </c>
      <c r="X1727">
        <v>9.7680855879943174E-3</v>
      </c>
      <c r="Y1727">
        <v>1.7828339234856054E-3</v>
      </c>
    </row>
    <row r="1728" spans="1:25">
      <c r="A1728" s="876"/>
      <c r="B1728" s="1202">
        <v>1478</v>
      </c>
      <c r="C1728" s="880">
        <v>0.99043278928521861</v>
      </c>
      <c r="D1728" s="880">
        <v>1.0195805022733424</v>
      </c>
      <c r="E1728" s="880">
        <v>0.99424063112211991</v>
      </c>
      <c r="F1728" s="880">
        <v>1.0048419962058306</v>
      </c>
      <c r="G1728" s="880">
        <v>0.96279835303589389</v>
      </c>
      <c r="H1728" s="880">
        <v>0.99582903861120575</v>
      </c>
      <c r="I1728" s="880">
        <v>0.99814659100664149</v>
      </c>
      <c r="K1728">
        <v>1.0735749034598185</v>
      </c>
      <c r="L1728">
        <v>0</v>
      </c>
      <c r="M1728">
        <v>6.9510672583451263E-4</v>
      </c>
      <c r="N1728">
        <v>6.8027411115249126E-2</v>
      </c>
      <c r="O1728">
        <v>8.7812330099758286E-3</v>
      </c>
      <c r="P1728">
        <v>1.2610732996716485E-2</v>
      </c>
      <c r="Q1728">
        <v>2.9393410651585325E-3</v>
      </c>
      <c r="R1728">
        <v>6.8329711418242071E-4</v>
      </c>
      <c r="S1728">
        <v>8.5165730537399412E-2</v>
      </c>
      <c r="T1728">
        <v>0.81630230698905748</v>
      </c>
      <c r="U1728">
        <v>1.707397922291784E-2</v>
      </c>
      <c r="V1728">
        <v>1.0414073845217931E-2</v>
      </c>
      <c r="W1728">
        <v>4.0823933913646929E-2</v>
      </c>
      <c r="X1728">
        <v>9.5882608801591863E-3</v>
      </c>
      <c r="Y1728">
        <v>1.8597094959713959E-3</v>
      </c>
    </row>
    <row r="1729" spans="1:25">
      <c r="A1729" s="876"/>
      <c r="B1729" s="1202">
        <v>1479</v>
      </c>
      <c r="C1729" s="880">
        <v>0.97546594010221876</v>
      </c>
      <c r="D1729" s="880">
        <v>0.97083243417985288</v>
      </c>
      <c r="E1729" s="880">
        <v>1.0192494195800428</v>
      </c>
      <c r="F1729" s="880">
        <v>1.0324142633634636</v>
      </c>
      <c r="G1729" s="880">
        <v>1.0200306833340123</v>
      </c>
      <c r="H1729" s="880">
        <v>0.98962570294105145</v>
      </c>
      <c r="I1729" s="880">
        <v>0.97219130105857099</v>
      </c>
      <c r="K1729">
        <v>1.080221234741453</v>
      </c>
      <c r="L1729">
        <v>0</v>
      </c>
      <c r="M1729">
        <v>6.8293462401767472E-4</v>
      </c>
      <c r="N1729">
        <v>7.2237912302879778E-2</v>
      </c>
      <c r="O1729">
        <v>9.1520927491173555E-3</v>
      </c>
      <c r="P1729">
        <v>1.2835516455848671E-2</v>
      </c>
      <c r="Q1729">
        <v>3.129673789523496E-3</v>
      </c>
      <c r="R1729">
        <v>6.7130110142527163E-4</v>
      </c>
      <c r="S1729">
        <v>8.6080958435623176E-2</v>
      </c>
      <c r="T1729">
        <v>0.81428895230773546</v>
      </c>
      <c r="U1729">
        <v>1.7335950104193611E-2</v>
      </c>
      <c r="V1729">
        <v>1.0415579833060009E-2</v>
      </c>
      <c r="W1729">
        <v>4.261860073738525E-2</v>
      </c>
      <c r="X1729">
        <v>1.0310571244947492E-2</v>
      </c>
      <c r="Y1729">
        <v>1.8270603037309791E-3</v>
      </c>
    </row>
    <row r="1730" spans="1:25">
      <c r="A1730" s="876"/>
      <c r="B1730" s="1202">
        <v>1480</v>
      </c>
      <c r="C1730" s="880">
        <v>0.9829342953936141</v>
      </c>
      <c r="D1730" s="880">
        <v>0.98542484059167978</v>
      </c>
      <c r="E1730" s="880">
        <v>1.0253382391750963</v>
      </c>
      <c r="F1730" s="880">
        <v>1.0218516285045138</v>
      </c>
      <c r="G1730" s="880">
        <v>0.97732762379628968</v>
      </c>
      <c r="H1730" s="880">
        <v>0.96768492979090615</v>
      </c>
      <c r="I1730" s="880">
        <v>0.99307213085484092</v>
      </c>
      <c r="K1730">
        <v>1.0752573030095014</v>
      </c>
      <c r="L1730">
        <v>0</v>
      </c>
      <c r="M1730">
        <v>6.4906441022620324E-4</v>
      </c>
      <c r="N1730">
        <v>6.9937149129208037E-2</v>
      </c>
      <c r="O1730">
        <v>9.0104308633884092E-3</v>
      </c>
      <c r="P1730">
        <v>1.2880564599348469E-2</v>
      </c>
      <c r="Q1730">
        <v>3.1034042203179693E-3</v>
      </c>
      <c r="R1730">
        <v>6.3774464977140257E-4</v>
      </c>
      <c r="S1730">
        <v>8.5815434745452238E-2</v>
      </c>
      <c r="T1730">
        <v>0.81380199047203661</v>
      </c>
      <c r="U1730">
        <v>1.7204231193480277E-2</v>
      </c>
      <c r="V1730">
        <v>1.0414822622651204E-2</v>
      </c>
      <c r="W1730">
        <v>4.1092297069369843E-2</v>
      </c>
      <c r="X1730">
        <v>1.0272567150492075E-2</v>
      </c>
      <c r="Y1730">
        <v>1.7357307042104612E-3</v>
      </c>
    </row>
    <row r="1731" spans="1:25">
      <c r="A1731" s="876"/>
      <c r="B1731" s="1202">
        <v>1481</v>
      </c>
      <c r="C1731" s="880">
        <v>1.0182424791536884</v>
      </c>
      <c r="D1731" s="880">
        <v>0.99516824615887367</v>
      </c>
      <c r="E1731" s="880">
        <v>1.0350713781825267</v>
      </c>
      <c r="F1731" s="880">
        <v>1.0376680887321392</v>
      </c>
      <c r="G1731" s="880">
        <v>1.0425088851460795</v>
      </c>
      <c r="H1731" s="880">
        <v>0.97887840437669726</v>
      </c>
      <c r="I1731" s="880">
        <v>0.99570217467000455</v>
      </c>
      <c r="K1731">
        <v>1.0682198250497799</v>
      </c>
      <c r="L1731">
        <v>0</v>
      </c>
      <c r="M1731">
        <v>6.1764341258500671E-4</v>
      </c>
      <c r="N1731">
        <v>6.860598625747158E-2</v>
      </c>
      <c r="O1731">
        <v>8.6524292829500572E-3</v>
      </c>
      <c r="P1731">
        <v>1.2913991538262981E-2</v>
      </c>
      <c r="Q1731">
        <v>3.0111344373255759E-3</v>
      </c>
      <c r="R1731">
        <v>6.0698708468471662E-4</v>
      </c>
      <c r="S1731">
        <v>8.3045344392591494E-2</v>
      </c>
      <c r="T1731">
        <v>0.81302619664683395</v>
      </c>
      <c r="U1731">
        <v>1.6607663903403066E-2</v>
      </c>
      <c r="V1731">
        <v>1.0411393145751076E-2</v>
      </c>
      <c r="W1731">
        <v>4.0048134312212713E-2</v>
      </c>
      <c r="X1731">
        <v>1.0256188709604565E-2</v>
      </c>
      <c r="Y1731">
        <v>1.6520187512731089E-3</v>
      </c>
    </row>
    <row r="1732" spans="1:25">
      <c r="A1732" s="876"/>
      <c r="B1732" s="1202">
        <v>1482</v>
      </c>
      <c r="C1732" s="880">
        <v>1.0127757627058469</v>
      </c>
      <c r="D1732" s="880">
        <v>0.97570733749131189</v>
      </c>
      <c r="E1732" s="880">
        <v>0.96318935730506083</v>
      </c>
      <c r="F1732" s="880">
        <v>1.0047514437230722</v>
      </c>
      <c r="G1732" s="880">
        <v>1.0046469106168012</v>
      </c>
      <c r="H1732" s="880">
        <v>1.0292899446576369</v>
      </c>
      <c r="I1732" s="880">
        <v>0.98042061466206387</v>
      </c>
      <c r="K1732">
        <v>1.0758951074296659</v>
      </c>
      <c r="L1732">
        <v>0</v>
      </c>
      <c r="M1732">
        <v>7.6768890282899525E-4</v>
      </c>
      <c r="N1732">
        <v>6.8243964443341965E-2</v>
      </c>
      <c r="O1732">
        <v>8.7913628065536681E-3</v>
      </c>
      <c r="P1732">
        <v>1.2339649801818306E-2</v>
      </c>
      <c r="Q1732">
        <v>2.8418800618064174E-3</v>
      </c>
      <c r="R1732">
        <v>7.5511088462634952E-4</v>
      </c>
      <c r="S1732">
        <v>8.4793645304031634E-2</v>
      </c>
      <c r="T1732">
        <v>0.81883164015673338</v>
      </c>
      <c r="U1732">
        <v>1.6697308020851565E-2</v>
      </c>
      <c r="V1732">
        <v>1.0411908481464493E-2</v>
      </c>
      <c r="W1732">
        <v>4.184670310240169E-2</v>
      </c>
      <c r="X1732">
        <v>9.0544603631475973E-3</v>
      </c>
      <c r="Y1732">
        <v>2.0551629057167058E-3</v>
      </c>
    </row>
    <row r="1733" spans="1:25">
      <c r="A1733" s="876"/>
      <c r="B1733" s="1202">
        <v>1483</v>
      </c>
      <c r="C1733" s="880">
        <v>1.0465796346040082</v>
      </c>
      <c r="D1733" s="880">
        <v>1.008770980140995</v>
      </c>
      <c r="E1733" s="880">
        <v>0.98036179041928617</v>
      </c>
      <c r="F1733" s="880">
        <v>1.0086205968935538</v>
      </c>
      <c r="G1733" s="880">
        <v>1.0401875195023351</v>
      </c>
      <c r="H1733" s="880">
        <v>1.0274826552757355</v>
      </c>
      <c r="I1733" s="880">
        <v>1.0091618914601785</v>
      </c>
      <c r="K1733">
        <v>1.067408671665268</v>
      </c>
      <c r="L1733">
        <v>0</v>
      </c>
      <c r="M1733">
        <v>7.0278360841364792E-4</v>
      </c>
      <c r="N1733">
        <v>6.5905402149954426E-2</v>
      </c>
      <c r="O1733">
        <v>8.3574423748755764E-3</v>
      </c>
      <c r="P1733">
        <v>1.2452897968048613E-2</v>
      </c>
      <c r="Q1733">
        <v>2.7562758628648398E-3</v>
      </c>
      <c r="R1733">
        <v>6.9122040386326454E-4</v>
      </c>
      <c r="S1733">
        <v>8.3005468762651566E-2</v>
      </c>
      <c r="T1733">
        <v>0.81742880010798269</v>
      </c>
      <c r="U1733">
        <v>1.6157995346766735E-2</v>
      </c>
      <c r="V1733">
        <v>1.0408808143265459E-2</v>
      </c>
      <c r="W1733">
        <v>3.9931259452024734E-2</v>
      </c>
      <c r="X1733">
        <v>9.1346106228117896E-3</v>
      </c>
      <c r="Y1733">
        <v>1.8812740785709118E-3</v>
      </c>
    </row>
    <row r="1734" spans="1:25">
      <c r="A1734" s="876"/>
      <c r="B1734" s="1202">
        <v>1484</v>
      </c>
      <c r="C1734" s="880">
        <v>1.002964356150341</v>
      </c>
      <c r="D1734" s="880">
        <v>1.0126914603467785</v>
      </c>
      <c r="E1734" s="880">
        <v>1.0238272678178857</v>
      </c>
      <c r="F1734" s="880">
        <v>0.99717015724429403</v>
      </c>
      <c r="G1734" s="880">
        <v>0.97428196644317677</v>
      </c>
      <c r="H1734" s="880">
        <v>0.97118920771244877</v>
      </c>
      <c r="I1734" s="880">
        <v>0.97118094156501855</v>
      </c>
      <c r="K1734">
        <v>1.0661817654753409</v>
      </c>
      <c r="L1734">
        <v>0</v>
      </c>
      <c r="M1734">
        <v>6.3121444632287618E-4</v>
      </c>
      <c r="N1734">
        <v>6.7697344933312309E-2</v>
      </c>
      <c r="O1734">
        <v>8.7028752717121169E-3</v>
      </c>
      <c r="P1734">
        <v>1.2799932473013673E-2</v>
      </c>
      <c r="Q1734">
        <v>2.9990974606947853E-3</v>
      </c>
      <c r="R1734">
        <v>6.2022369732065482E-4</v>
      </c>
      <c r="S1734">
        <v>8.1258471851488365E-2</v>
      </c>
      <c r="T1734">
        <v>0.81392271455451493</v>
      </c>
      <c r="U1734">
        <v>1.6860647900649364E-2</v>
      </c>
      <c r="V1734">
        <v>1.0412847470835771E-2</v>
      </c>
      <c r="W1734">
        <v>3.9816723403618068E-2</v>
      </c>
      <c r="X1734">
        <v>1.0034056457082375E-2</v>
      </c>
      <c r="Y1734">
        <v>1.6880444474199497E-3</v>
      </c>
    </row>
    <row r="1735" spans="1:25">
      <c r="A1735" s="876"/>
      <c r="B1735" s="1202">
        <v>1485</v>
      </c>
      <c r="C1735" s="880">
        <v>1.004601413390052</v>
      </c>
      <c r="D1735" s="880">
        <v>1.0035360887355798</v>
      </c>
      <c r="E1735" s="880">
        <v>0.96457767180988907</v>
      </c>
      <c r="F1735" s="880">
        <v>1.0248715663556682</v>
      </c>
      <c r="G1735" s="880">
        <v>1.0013465448897139</v>
      </c>
      <c r="H1735" s="880">
        <v>0.99736260923944209</v>
      </c>
      <c r="I1735" s="880">
        <v>0.99635255456163407</v>
      </c>
      <c r="K1735">
        <v>1.0713412772884345</v>
      </c>
      <c r="L1735">
        <v>0</v>
      </c>
      <c r="M1735">
        <v>7.3663702968576074E-4</v>
      </c>
      <c r="N1735">
        <v>6.5730391333217703E-2</v>
      </c>
      <c r="O1735">
        <v>8.7308423123109123E-3</v>
      </c>
      <c r="P1735">
        <v>1.2349704974437272E-2</v>
      </c>
      <c r="Q1735">
        <v>2.8323077043568641E-3</v>
      </c>
      <c r="R1735">
        <v>7.2415555010163361E-4</v>
      </c>
      <c r="S1735">
        <v>8.4531809030012478E-2</v>
      </c>
      <c r="T1735">
        <v>0.81871785707675848</v>
      </c>
      <c r="U1735">
        <v>1.6833172480702627E-2</v>
      </c>
      <c r="V1735">
        <v>1.0412689523325741E-2</v>
      </c>
      <c r="W1735">
        <v>4.0266146914920843E-2</v>
      </c>
      <c r="X1735">
        <v>8.9779247284118169E-3</v>
      </c>
      <c r="Y1735">
        <v>1.9709126895637117E-3</v>
      </c>
    </row>
    <row r="1736" spans="1:25">
      <c r="A1736" s="876"/>
      <c r="B1736" s="1202">
        <v>1486</v>
      </c>
      <c r="C1736" s="880">
        <v>1.0473856382162812</v>
      </c>
      <c r="D1736" s="880">
        <v>0.95573770558439175</v>
      </c>
      <c r="E1736" s="880">
        <v>0.9584648677065537</v>
      </c>
      <c r="F1736" s="880">
        <v>0.98468085512999048</v>
      </c>
      <c r="G1736" s="880">
        <v>0.9989167457716438</v>
      </c>
      <c r="H1736" s="880">
        <v>0.99813443421424131</v>
      </c>
      <c r="I1736" s="880">
        <v>0.97845428779090504</v>
      </c>
      <c r="K1736">
        <v>1.0656690484696982</v>
      </c>
      <c r="L1736">
        <v>0</v>
      </c>
      <c r="M1736">
        <v>7.350741014247777E-4</v>
      </c>
      <c r="N1736">
        <v>6.4356693829014655E-2</v>
      </c>
      <c r="O1736">
        <v>8.5954398012305245E-3</v>
      </c>
      <c r="P1736">
        <v>1.2250326487828441E-2</v>
      </c>
      <c r="Q1736">
        <v>2.7607608184963286E-3</v>
      </c>
      <c r="R1736">
        <v>7.226736563655323E-4</v>
      </c>
      <c r="S1736">
        <v>8.1612534187199812E-2</v>
      </c>
      <c r="T1736">
        <v>0.81921933484685217</v>
      </c>
      <c r="U1736">
        <v>1.6145561146658011E-2</v>
      </c>
      <c r="V1736">
        <v>1.0408736662976903E-2</v>
      </c>
      <c r="W1736">
        <v>3.959440393174208E-2</v>
      </c>
      <c r="X1736">
        <v>8.7707777394367276E-3</v>
      </c>
      <c r="Y1736">
        <v>1.9668794633201829E-3</v>
      </c>
    </row>
    <row r="1737" spans="1:25">
      <c r="A1737" s="876"/>
      <c r="B1737" s="1202">
        <v>1487</v>
      </c>
      <c r="C1737" s="880">
        <v>0.9704550799534496</v>
      </c>
      <c r="D1737" s="880">
        <v>0.98158985559445355</v>
      </c>
      <c r="E1737" s="880">
        <v>1.0392553387244088</v>
      </c>
      <c r="F1737" s="880">
        <v>1.0097930126523882</v>
      </c>
      <c r="G1737" s="880">
        <v>0.99502211570877652</v>
      </c>
      <c r="H1737" s="880">
        <v>0.99183902302788851</v>
      </c>
      <c r="I1737" s="880">
        <v>1.0138316299165473</v>
      </c>
      <c r="K1737">
        <v>1.0849984981360909</v>
      </c>
      <c r="L1737">
        <v>0</v>
      </c>
      <c r="M1737">
        <v>6.5562519831851532E-4</v>
      </c>
      <c r="N1737">
        <v>7.3794614687744828E-2</v>
      </c>
      <c r="O1737">
        <v>9.1453241360716364E-3</v>
      </c>
      <c r="P1737">
        <v>1.3055136543383574E-2</v>
      </c>
      <c r="Q1737">
        <v>3.1925137594289305E-3</v>
      </c>
      <c r="R1737">
        <v>6.4447268842825092E-4</v>
      </c>
      <c r="S1737">
        <v>8.9819796986916209E-2</v>
      </c>
      <c r="T1737">
        <v>0.81269370243563721</v>
      </c>
      <c r="U1737">
        <v>1.7425462770274302E-2</v>
      </c>
      <c r="V1737">
        <v>1.0416094413101035E-2</v>
      </c>
      <c r="W1737">
        <v>4.2956937919968782E-2</v>
      </c>
      <c r="X1737">
        <v>1.0756024785915683E-2</v>
      </c>
      <c r="Y1737">
        <v>1.7540422075370558E-3</v>
      </c>
    </row>
    <row r="1738" spans="1:25">
      <c r="A1738" s="876"/>
      <c r="B1738" s="1202">
        <v>1488</v>
      </c>
      <c r="C1738" s="880">
        <v>1.0166749844134133</v>
      </c>
      <c r="D1738" s="880">
        <v>1.0017837740727269</v>
      </c>
      <c r="E1738" s="880">
        <v>1.0026412685017454</v>
      </c>
      <c r="F1738" s="880">
        <v>1.0080948349302039</v>
      </c>
      <c r="G1738" s="880">
        <v>1.0084691272621105</v>
      </c>
      <c r="H1738" s="880">
        <v>0.99003998893387346</v>
      </c>
      <c r="I1738" s="880">
        <v>1.011083555711775</v>
      </c>
      <c r="K1738">
        <v>1.0699573564454898</v>
      </c>
      <c r="L1738">
        <v>0</v>
      </c>
      <c r="M1738">
        <v>6.67644765905735E-4</v>
      </c>
      <c r="N1738">
        <v>6.7064927010419079E-2</v>
      </c>
      <c r="O1738">
        <v>8.635200781493501E-3</v>
      </c>
      <c r="P1738">
        <v>1.2666821857780994E-2</v>
      </c>
      <c r="Q1738">
        <v>2.9111779380689203E-3</v>
      </c>
      <c r="R1738">
        <v>6.5625007232990426E-4</v>
      </c>
      <c r="S1738">
        <v>8.4576568027315613E-2</v>
      </c>
      <c r="T1738">
        <v>0.81562363370976987</v>
      </c>
      <c r="U1738">
        <v>1.6633269358652756E-2</v>
      </c>
      <c r="V1738">
        <v>1.0411540343424782E-2</v>
      </c>
      <c r="W1738">
        <v>4.001541170700737E-2</v>
      </c>
      <c r="X1738">
        <v>9.6441040410276575E-3</v>
      </c>
      <c r="Y1738">
        <v>1.7860963641037968E-3</v>
      </c>
    </row>
    <row r="1739" spans="1:25">
      <c r="A1739" s="876"/>
      <c r="B1739" s="1202">
        <v>1489</v>
      </c>
      <c r="C1739" s="880">
        <v>0.97531119808772104</v>
      </c>
      <c r="D1739" s="880">
        <v>1.0228893928604177</v>
      </c>
      <c r="E1739" s="880">
        <v>0.98317485178062436</v>
      </c>
      <c r="F1739" s="880">
        <v>1.0210866025717442</v>
      </c>
      <c r="G1739" s="880">
        <v>0.97930858794516307</v>
      </c>
      <c r="H1739" s="880">
        <v>0.97616111050463228</v>
      </c>
      <c r="I1739" s="880">
        <v>0.96755594215956275</v>
      </c>
      <c r="K1739">
        <v>1.0708002589682257</v>
      </c>
      <c r="L1739">
        <v>0</v>
      </c>
      <c r="M1739">
        <v>7.0701032231843919E-4</v>
      </c>
      <c r="N1739">
        <v>6.6825347331986445E-2</v>
      </c>
      <c r="O1739">
        <v>8.9020168301899589E-3</v>
      </c>
      <c r="P1739">
        <v>1.2492526358161884E-2</v>
      </c>
      <c r="Q1739">
        <v>2.9473112387587608E-3</v>
      </c>
      <c r="R1739">
        <v>6.9475356601246085E-4</v>
      </c>
      <c r="S1739">
        <v>8.3011454485257832E-2</v>
      </c>
      <c r="T1739">
        <v>0.8171999472351904</v>
      </c>
      <c r="U1739">
        <v>1.7338700610747441E-2</v>
      </c>
      <c r="V1739">
        <v>1.0415595644853335E-2</v>
      </c>
      <c r="W1739">
        <v>4.0409785607106209E-2</v>
      </c>
      <c r="X1739">
        <v>9.3789402010435539E-3</v>
      </c>
      <c r="Y1739">
        <v>1.8908901812344351E-3</v>
      </c>
    </row>
    <row r="1740" spans="1:25">
      <c r="A1740" s="876"/>
      <c r="B1740" s="1202">
        <v>1490</v>
      </c>
      <c r="C1740" s="880">
        <v>0.99562101737198216</v>
      </c>
      <c r="D1740" s="880">
        <v>1.0003666925013659</v>
      </c>
      <c r="E1740" s="880">
        <v>1.0125772459912568</v>
      </c>
      <c r="F1740" s="880">
        <v>0.97374344826381654</v>
      </c>
      <c r="G1740" s="880">
        <v>0.98954447256342781</v>
      </c>
      <c r="H1740" s="880">
        <v>0.9896787873192936</v>
      </c>
      <c r="I1740" s="880">
        <v>0.99188344424477415</v>
      </c>
      <c r="K1740">
        <v>1.073517818274951</v>
      </c>
      <c r="L1740">
        <v>0</v>
      </c>
      <c r="M1740">
        <v>6.6788863272111644E-4</v>
      </c>
      <c r="N1740">
        <v>6.9194154933801016E-2</v>
      </c>
      <c r="O1740">
        <v>8.8244637806371134E-3</v>
      </c>
      <c r="P1740">
        <v>1.275708268056965E-2</v>
      </c>
      <c r="Q1740">
        <v>3.0044018970258519E-3</v>
      </c>
      <c r="R1740">
        <v>6.5648680149038791E-4</v>
      </c>
      <c r="S1740">
        <v>8.4771904433082176E-2</v>
      </c>
      <c r="T1740">
        <v>0.81482401986747244</v>
      </c>
      <c r="U1740">
        <v>1.6985005911776804E-2</v>
      </c>
      <c r="V1740">
        <v>1.0413562365758083E-2</v>
      </c>
      <c r="W1740">
        <v>4.1007592080618147E-2</v>
      </c>
      <c r="X1740">
        <v>9.9602914925999708E-3</v>
      </c>
      <c r="Y1740">
        <v>1.7867406628408868E-3</v>
      </c>
    </row>
    <row r="1741" spans="1:25">
      <c r="A1741" s="876"/>
      <c r="B1741" s="1202">
        <v>1491</v>
      </c>
      <c r="C1741" s="880">
        <v>0.9570513788569931</v>
      </c>
      <c r="D1741" s="880">
        <v>0.97630363354853833</v>
      </c>
      <c r="E1741" s="880">
        <v>0.96070073245964238</v>
      </c>
      <c r="F1741" s="880">
        <v>1.020105835365178</v>
      </c>
      <c r="G1741" s="880">
        <v>1.0110538143788967</v>
      </c>
      <c r="H1741" s="880">
        <v>1.0054665603486972</v>
      </c>
      <c r="I1741" s="880">
        <v>1.0005499694910969</v>
      </c>
      <c r="K1741">
        <v>1.0873566183977208</v>
      </c>
      <c r="L1741">
        <v>0</v>
      </c>
      <c r="M1741">
        <v>7.9746947785564392E-4</v>
      </c>
      <c r="N1741">
        <v>7.0315213444641395E-2</v>
      </c>
      <c r="O1741">
        <v>9.3002029598842819E-3</v>
      </c>
      <c r="P1741">
        <v>1.2409072570487713E-2</v>
      </c>
      <c r="Q1741">
        <v>2.9988335310682603E-3</v>
      </c>
      <c r="R1741">
        <v>7.8409333760319109E-4</v>
      </c>
      <c r="S1741">
        <v>9.0643142946082111E-2</v>
      </c>
      <c r="T1741">
        <v>0.81903576466298622</v>
      </c>
      <c r="U1741">
        <v>1.766950995478294E-2</v>
      </c>
      <c r="V1741">
        <v>1.0417497363272334E-2</v>
      </c>
      <c r="W1741">
        <v>4.3192251579373203E-2</v>
      </c>
      <c r="X1741">
        <v>9.2544619367374362E-3</v>
      </c>
      <c r="Y1741">
        <v>2.1340435886566117E-3</v>
      </c>
    </row>
    <row r="1742" spans="1:25">
      <c r="A1742" s="876"/>
      <c r="B1742" s="1202">
        <v>1492</v>
      </c>
      <c r="C1742" s="880">
        <v>1.0405086845068288</v>
      </c>
      <c r="D1742" s="880">
        <v>0.9890246436869532</v>
      </c>
      <c r="E1742" s="880">
        <v>1.0384663214479093</v>
      </c>
      <c r="F1742" s="880">
        <v>1.015074579561938</v>
      </c>
      <c r="G1742" s="880">
        <v>0.97961110671360174</v>
      </c>
      <c r="H1742" s="880">
        <v>1.0247986583763418</v>
      </c>
      <c r="I1742" s="880">
        <v>1.0123272814492172</v>
      </c>
      <c r="K1742">
        <v>1.0724298430498513</v>
      </c>
      <c r="L1742">
        <v>0</v>
      </c>
      <c r="M1742">
        <v>6.3032237561695507E-4</v>
      </c>
      <c r="N1742">
        <v>7.0811914119097472E-2</v>
      </c>
      <c r="O1742">
        <v>8.4953018478415854E-3</v>
      </c>
      <c r="P1742">
        <v>1.2957163436247848E-2</v>
      </c>
      <c r="Q1742">
        <v>2.9649793622723896E-3</v>
      </c>
      <c r="R1742">
        <v>6.1993933565013802E-4</v>
      </c>
      <c r="S1742">
        <v>8.448727477429184E-2</v>
      </c>
      <c r="T1742">
        <v>0.81275635890254727</v>
      </c>
      <c r="U1742">
        <v>1.6252270757324348E-2</v>
      </c>
      <c r="V1742">
        <v>1.040935010281994E-2</v>
      </c>
      <c r="W1742">
        <v>4.1242331027866383E-2</v>
      </c>
      <c r="X1742">
        <v>1.0376011250816577E-2</v>
      </c>
      <c r="Y1742">
        <v>1.6872705086926026E-3</v>
      </c>
    </row>
    <row r="1743" spans="1:25">
      <c r="A1743" s="876"/>
      <c r="B1743" s="1202">
        <v>1493</v>
      </c>
      <c r="C1743" s="880">
        <v>0.98642396134643873</v>
      </c>
      <c r="D1743" s="880">
        <v>0.97610925880284516</v>
      </c>
      <c r="E1743" s="880">
        <v>1.0056317973321023</v>
      </c>
      <c r="F1743" s="880">
        <v>1.0032778458051939</v>
      </c>
      <c r="G1743" s="880">
        <v>1.021567978856017</v>
      </c>
      <c r="H1743" s="880">
        <v>1.0143001890607142</v>
      </c>
      <c r="I1743" s="880">
        <v>0.99817992828712032</v>
      </c>
      <c r="K1743">
        <v>1.082696910011264</v>
      </c>
      <c r="L1743">
        <v>0</v>
      </c>
      <c r="M1743">
        <v>7.1030670035413619E-4</v>
      </c>
      <c r="N1743">
        <v>7.2049289960104915E-2</v>
      </c>
      <c r="O1743">
        <v>9.0242327101235052E-3</v>
      </c>
      <c r="P1743">
        <v>1.2746623835875995E-2</v>
      </c>
      <c r="Q1743">
        <v>3.0455297440763283E-3</v>
      </c>
      <c r="R1743">
        <v>6.9849649731188888E-4</v>
      </c>
      <c r="S1743">
        <v>8.8068234345389088E-2</v>
      </c>
      <c r="T1743">
        <v>0.81538261275992585</v>
      </c>
      <c r="U1743">
        <v>1.7143367891094077E-2</v>
      </c>
      <c r="V1743">
        <v>1.0414472738751974E-2</v>
      </c>
      <c r="W1743">
        <v>4.2901791531363503E-2</v>
      </c>
      <c r="X1743">
        <v>1.0031487491227021E-2</v>
      </c>
      <c r="Y1743">
        <v>1.9010772063745057E-3</v>
      </c>
    </row>
    <row r="1744" spans="1:25">
      <c r="A1744" s="876"/>
      <c r="B1744" s="1202">
        <v>1494</v>
      </c>
      <c r="C1744" s="880">
        <v>0.98554807377265063</v>
      </c>
      <c r="D1744" s="880">
        <v>0.97017588767195173</v>
      </c>
      <c r="E1744" s="880">
        <v>1.0177605889724928</v>
      </c>
      <c r="F1744" s="880">
        <v>1.0275652716410149</v>
      </c>
      <c r="G1744" s="880">
        <v>0.97729102307481108</v>
      </c>
      <c r="H1744" s="880">
        <v>1.0112520273130414</v>
      </c>
      <c r="I1744" s="880">
        <v>1.0279185552096091</v>
      </c>
      <c r="K1744">
        <v>1.0862383348174023</v>
      </c>
      <c r="L1744">
        <v>0</v>
      </c>
      <c r="M1744">
        <v>6.9314507840181102E-4</v>
      </c>
      <c r="N1744">
        <v>7.3006685286156933E-2</v>
      </c>
      <c r="O1744">
        <v>9.061744903235849E-3</v>
      </c>
      <c r="P1744">
        <v>1.2887778888416371E-2</v>
      </c>
      <c r="Q1744">
        <v>3.0940329113885905E-3</v>
      </c>
      <c r="R1744">
        <v>6.8159071676222502E-4</v>
      </c>
      <c r="S1744">
        <v>9.0934191440685708E-2</v>
      </c>
      <c r="T1744">
        <v>0.81440821594783241</v>
      </c>
      <c r="U1744">
        <v>1.7158603741387245E-2</v>
      </c>
      <c r="V1744">
        <v>1.041456032484246E-2</v>
      </c>
      <c r="W1744">
        <v>4.3115496327539561E-2</v>
      </c>
      <c r="X1744">
        <v>1.0313514162848434E-2</v>
      </c>
      <c r="Y1744">
        <v>1.8550652447073815E-3</v>
      </c>
    </row>
    <row r="1745" spans="1:25">
      <c r="A1745" s="876"/>
      <c r="B1745" s="1202">
        <v>1495</v>
      </c>
      <c r="C1745" s="880">
        <v>0.97277767591012398</v>
      </c>
      <c r="D1745" s="880">
        <v>1.0270246573025408</v>
      </c>
      <c r="E1745" s="880">
        <v>1.0010840784040864</v>
      </c>
      <c r="F1745" s="880">
        <v>1.0172238233940685</v>
      </c>
      <c r="G1745" s="880">
        <v>0.95753095566853974</v>
      </c>
      <c r="H1745" s="880">
        <v>1.0052956975863261</v>
      </c>
      <c r="I1745" s="880">
        <v>0.98057272222659964</v>
      </c>
      <c r="K1745">
        <v>1.0770802524073033</v>
      </c>
      <c r="L1745">
        <v>0</v>
      </c>
      <c r="M1745">
        <v>7.0151683560299273E-4</v>
      </c>
      <c r="N1745">
        <v>7.014316223806398E-2</v>
      </c>
      <c r="O1745">
        <v>8.9060643169690066E-3</v>
      </c>
      <c r="P1745">
        <v>1.2672853851695096E-2</v>
      </c>
      <c r="Q1745">
        <v>3.0033453579803157E-3</v>
      </c>
      <c r="R1745">
        <v>6.8970430726236797E-4</v>
      </c>
      <c r="S1745">
        <v>8.521384300210566E-2</v>
      </c>
      <c r="T1745">
        <v>0.81574925544758492</v>
      </c>
      <c r="U1745">
        <v>1.7383857879068737E-2</v>
      </c>
      <c r="V1745">
        <v>1.041585523972411E-2</v>
      </c>
      <c r="W1745">
        <v>4.1896651182323295E-2</v>
      </c>
      <c r="X1745">
        <v>9.83002865672368E-3</v>
      </c>
      <c r="Y1745">
        <v>1.8771477634043812E-3</v>
      </c>
    </row>
    <row r="1746" spans="1:25">
      <c r="A1746" s="876"/>
      <c r="B1746" s="1202">
        <v>1496</v>
      </c>
      <c r="C1746" s="880">
        <v>1.0269029778603112</v>
      </c>
      <c r="D1746" s="880">
        <v>1.0070029754416812</v>
      </c>
      <c r="E1746" s="880">
        <v>0.99131989074127935</v>
      </c>
      <c r="F1746" s="880">
        <v>0.99380478668993322</v>
      </c>
      <c r="G1746" s="880">
        <v>0.99639054881883049</v>
      </c>
      <c r="H1746" s="880">
        <v>0.97541552009352617</v>
      </c>
      <c r="I1746" s="880">
        <v>1.0323172834165444</v>
      </c>
      <c r="K1746">
        <v>1.06644516805833</v>
      </c>
      <c r="L1746">
        <v>0</v>
      </c>
      <c r="M1746">
        <v>6.6509640333917695E-4</v>
      </c>
      <c r="N1746">
        <v>6.4479022535002317E-2</v>
      </c>
      <c r="O1746">
        <v>8.5255461605862112E-3</v>
      </c>
      <c r="P1746">
        <v>1.2572348551843462E-2</v>
      </c>
      <c r="Q1746">
        <v>2.8427338578568941E-3</v>
      </c>
      <c r="R1746">
        <v>6.535706247499084E-4</v>
      </c>
      <c r="S1746">
        <v>8.4748154609016468E-2</v>
      </c>
      <c r="T1746">
        <v>0.81653882998609761</v>
      </c>
      <c r="U1746">
        <v>1.6467601351383671E-2</v>
      </c>
      <c r="V1746">
        <v>1.0410587970384098E-2</v>
      </c>
      <c r="W1746">
        <v>3.877231016414847E-2</v>
      </c>
      <c r="X1746">
        <v>9.3207548595287352E-3</v>
      </c>
      <c r="Y1746">
        <v>1.7788037910707053E-3</v>
      </c>
    </row>
    <row r="1747" spans="1:25">
      <c r="A1747" s="876"/>
      <c r="B1747" s="1202">
        <v>1497</v>
      </c>
      <c r="C1747" s="880">
        <v>1.0288676224709441</v>
      </c>
      <c r="D1747" s="880">
        <v>1.0244102998341236</v>
      </c>
      <c r="E1747" s="880">
        <v>1.0178743737975076</v>
      </c>
      <c r="F1747" s="880">
        <v>1.0293377573073537</v>
      </c>
      <c r="G1747" s="880">
        <v>1.0041369848795412</v>
      </c>
      <c r="H1747" s="880">
        <v>0.99823171483670248</v>
      </c>
      <c r="I1747" s="880">
        <v>1.0192762773303623</v>
      </c>
      <c r="K1747">
        <v>1.0671279375869793</v>
      </c>
      <c r="L1747">
        <v>0</v>
      </c>
      <c r="M1747">
        <v>6.3655883716876558E-4</v>
      </c>
      <c r="N1747">
        <v>6.7050904329835001E-2</v>
      </c>
      <c r="O1747">
        <v>8.4319648811438126E-3</v>
      </c>
      <c r="P1747">
        <v>1.277735772931734E-2</v>
      </c>
      <c r="Q1747">
        <v>2.8910652757838159E-3</v>
      </c>
      <c r="R1747">
        <v>6.257662543876708E-4</v>
      </c>
      <c r="S1747">
        <v>8.3607444980975457E-2</v>
      </c>
      <c r="T1747">
        <v>0.81439909848198877</v>
      </c>
      <c r="U1747">
        <v>1.6436156116313126E-2</v>
      </c>
      <c r="V1747">
        <v>1.0410407201660934E-2</v>
      </c>
      <c r="W1747">
        <v>3.9595150984350867E-2</v>
      </c>
      <c r="X1747">
        <v>9.8360507277389445E-3</v>
      </c>
      <c r="Y1747">
        <v>1.7031294606529212E-3</v>
      </c>
    </row>
    <row r="1748" spans="1:25">
      <c r="A1748" s="876"/>
      <c r="B1748" s="1202">
        <v>1498</v>
      </c>
      <c r="C1748" s="880">
        <v>1.0097359578560137</v>
      </c>
      <c r="D1748" s="880">
        <v>1.0049886330035516</v>
      </c>
      <c r="E1748" s="880">
        <v>0.99144604294517935</v>
      </c>
      <c r="F1748" s="880">
        <v>0.98402759810080154</v>
      </c>
      <c r="G1748" s="880">
        <v>1.0277423193638078</v>
      </c>
      <c r="H1748" s="880">
        <v>1.0400077944471195</v>
      </c>
      <c r="I1748" s="880">
        <v>1.0344605055412341</v>
      </c>
      <c r="K1748">
        <v>1.0804475749232856</v>
      </c>
      <c r="L1748">
        <v>0</v>
      </c>
      <c r="M1748">
        <v>7.2177240158981834E-4</v>
      </c>
      <c r="N1748">
        <v>7.0077909509957473E-2</v>
      </c>
      <c r="O1748">
        <v>8.6797510391605978E-3</v>
      </c>
      <c r="P1748">
        <v>1.2632355342811765E-2</v>
      </c>
      <c r="Q1748">
        <v>2.8940885275401357E-3</v>
      </c>
      <c r="R1748">
        <v>7.1004301436183533E-4</v>
      </c>
      <c r="S1748">
        <v>8.8813747162238887E-2</v>
      </c>
      <c r="T1748">
        <v>0.81652860813830097</v>
      </c>
      <c r="U1748">
        <v>1.674757517981133E-2</v>
      </c>
      <c r="V1748">
        <v>1.0412197451482383E-2</v>
      </c>
      <c r="W1748">
        <v>4.2135354957321368E-2</v>
      </c>
      <c r="X1748">
        <v>9.6052139824114938E-3</v>
      </c>
      <c r="Y1748">
        <v>1.9325030194761381E-3</v>
      </c>
    </row>
    <row r="1749" spans="1:25">
      <c r="A1749" s="876"/>
      <c r="B1749" s="1202">
        <v>1499</v>
      </c>
      <c r="C1749" s="880">
        <v>0.97076823534175172</v>
      </c>
      <c r="D1749" s="880">
        <v>0.95652610564207519</v>
      </c>
      <c r="E1749" s="880">
        <v>0.9977455435364615</v>
      </c>
      <c r="F1749" s="880">
        <v>1.0095707709875854</v>
      </c>
      <c r="G1749" s="880">
        <v>1.0102229371846145</v>
      </c>
      <c r="H1749" s="880">
        <v>0.96361793490143133</v>
      </c>
      <c r="I1749" s="880">
        <v>1.0104892944570205</v>
      </c>
      <c r="K1749">
        <v>1.0816771696468928</v>
      </c>
      <c r="L1749">
        <v>0</v>
      </c>
      <c r="M1749">
        <v>7.0476564590202077E-4</v>
      </c>
      <c r="N1749">
        <v>6.9694694942580057E-2</v>
      </c>
      <c r="O1749">
        <v>9.2697361378224E-3</v>
      </c>
      <c r="P1749">
        <v>1.2704981788921913E-2</v>
      </c>
      <c r="Q1749">
        <v>3.0989405483239025E-3</v>
      </c>
      <c r="R1749">
        <v>6.9244986792121172E-4</v>
      </c>
      <c r="S1749">
        <v>8.9583738489426981E-2</v>
      </c>
      <c r="T1749">
        <v>0.81601885963896281</v>
      </c>
      <c r="U1749">
        <v>1.7419841575264453E-2</v>
      </c>
      <c r="V1749">
        <v>1.0416062098626585E-2</v>
      </c>
      <c r="W1749">
        <v>4.1724023670755207E-2</v>
      </c>
      <c r="X1749">
        <v>9.873986259745773E-3</v>
      </c>
      <c r="Y1749">
        <v>1.8846202744439262E-3</v>
      </c>
    </row>
    <row r="1750" spans="1:25">
      <c r="A1750" s="876"/>
      <c r="B1750" s="1202">
        <v>1500</v>
      </c>
      <c r="C1750" s="880">
        <v>1.0360814737911013</v>
      </c>
      <c r="D1750" s="880">
        <v>1.0204572754756198</v>
      </c>
      <c r="E1750" s="880">
        <v>1.0002045426911772</v>
      </c>
      <c r="F1750" s="880">
        <v>1.033165344000309</v>
      </c>
      <c r="G1750" s="880">
        <v>0.988279613107508</v>
      </c>
      <c r="H1750" s="880">
        <v>1.0037437449208739</v>
      </c>
      <c r="I1750" s="880">
        <v>0.98037268961542967</v>
      </c>
      <c r="K1750">
        <v>1.0630861096135313</v>
      </c>
      <c r="L1750">
        <v>0</v>
      </c>
      <c r="M1750">
        <v>6.6110466029197857E-4</v>
      </c>
      <c r="N1750">
        <v>6.5920594605302071E-2</v>
      </c>
      <c r="O1750">
        <v>8.390501261333793E-3</v>
      </c>
      <c r="P1750">
        <v>1.2582408903201444E-2</v>
      </c>
      <c r="Q1750">
        <v>2.8256446778751462E-3</v>
      </c>
      <c r="R1750">
        <v>6.4996059995044305E-4</v>
      </c>
      <c r="S1750">
        <v>8.0194448044028019E-2</v>
      </c>
      <c r="T1750">
        <v>0.81582024582679258</v>
      </c>
      <c r="U1750">
        <v>1.6321717252674228E-2</v>
      </c>
      <c r="V1750">
        <v>1.0409749328784152E-2</v>
      </c>
      <c r="W1750">
        <v>3.939819569410874E-2</v>
      </c>
      <c r="X1750">
        <v>9.4647695861615044E-3</v>
      </c>
      <c r="Y1750">
        <v>1.7689784936109156E-3</v>
      </c>
    </row>
    <row r="1751" spans="1:25">
      <c r="A1751" s="876"/>
      <c r="B1751" s="1202">
        <v>1501</v>
      </c>
      <c r="C1751" s="880">
        <v>0.98593078512109344</v>
      </c>
      <c r="D1751" s="880">
        <v>0.98565295769865402</v>
      </c>
      <c r="E1751" s="880">
        <v>0.99787223707440231</v>
      </c>
      <c r="F1751" s="880">
        <v>0.97316612325137197</v>
      </c>
      <c r="G1751" s="880">
        <v>1.0029945592627658</v>
      </c>
      <c r="H1751" s="880">
        <v>1.0037274868178154</v>
      </c>
      <c r="I1751" s="880">
        <v>0.99460993368544792</v>
      </c>
      <c r="K1751">
        <v>1.0794661097421328</v>
      </c>
      <c r="L1751">
        <v>0</v>
      </c>
      <c r="M1751">
        <v>7.1114639800241841E-4</v>
      </c>
      <c r="N1751">
        <v>7.0400740194193637E-2</v>
      </c>
      <c r="O1751">
        <v>8.9819356424045114E-3</v>
      </c>
      <c r="P1751">
        <v>1.2666995418549818E-2</v>
      </c>
      <c r="Q1751">
        <v>3.0099317274691942E-3</v>
      </c>
      <c r="R1751">
        <v>6.991890727372211E-4</v>
      </c>
      <c r="S1751">
        <v>8.6987275790487067E-2</v>
      </c>
      <c r="T1751">
        <v>0.81600862156012688</v>
      </c>
      <c r="U1751">
        <v>1.7151943241000851E-2</v>
      </c>
      <c r="V1751">
        <v>1.0414522035729736E-2</v>
      </c>
      <c r="W1751">
        <v>4.2143051685750693E-2</v>
      </c>
      <c r="X1751">
        <v>9.8100876033084695E-3</v>
      </c>
      <c r="Y1751">
        <v>1.9029621683748328E-3</v>
      </c>
    </row>
    <row r="1752" spans="1:25">
      <c r="A1752" s="876"/>
      <c r="B1752" s="1202">
        <v>1502</v>
      </c>
      <c r="C1752" s="880">
        <v>0.98970287404076862</v>
      </c>
      <c r="D1752" s="880">
        <v>0.96989582223395843</v>
      </c>
      <c r="E1752" s="880">
        <v>1.0276696766785742</v>
      </c>
      <c r="F1752" s="880">
        <v>1.0327861135335432</v>
      </c>
      <c r="G1752" s="880">
        <v>1.009696507511479</v>
      </c>
      <c r="H1752" s="880">
        <v>0.97805703963789958</v>
      </c>
      <c r="I1752" s="880">
        <v>0.99479442036802679</v>
      </c>
      <c r="K1752">
        <v>1.0773163327152302</v>
      </c>
      <c r="L1752">
        <v>0</v>
      </c>
      <c r="M1752">
        <v>6.5384472843071982E-4</v>
      </c>
      <c r="N1752">
        <v>7.0978921191732339E-2</v>
      </c>
      <c r="O1752">
        <v>9.0250969153356734E-3</v>
      </c>
      <c r="P1752">
        <v>1.2906873231801119E-2</v>
      </c>
      <c r="Q1752">
        <v>3.1119124075254332E-3</v>
      </c>
      <c r="R1752">
        <v>6.425758074917403E-4</v>
      </c>
      <c r="S1752">
        <v>8.6434540366231716E-2</v>
      </c>
      <c r="T1752">
        <v>0.81361586534851116</v>
      </c>
      <c r="U1752">
        <v>1.7086571444326022E-2</v>
      </c>
      <c r="V1752">
        <v>1.0414146233921038E-2</v>
      </c>
      <c r="W1752">
        <v>4.1639138016182735E-2</v>
      </c>
      <c r="X1752">
        <v>1.0365656957666794E-2</v>
      </c>
      <c r="Y1752">
        <v>1.7488795229345067E-3</v>
      </c>
    </row>
    <row r="1753" spans="1:25">
      <c r="A1753" s="876"/>
      <c r="B1753" s="1202">
        <v>1503</v>
      </c>
      <c r="C1753" s="880">
        <v>1.0246755711518856</v>
      </c>
      <c r="D1753" s="880">
        <v>0.98415005654167675</v>
      </c>
      <c r="E1753" s="880">
        <v>1.0136806135991243</v>
      </c>
      <c r="F1753" s="880">
        <v>1.0224784618595553</v>
      </c>
      <c r="G1753" s="880">
        <v>1.005271720123194</v>
      </c>
      <c r="H1753" s="880">
        <v>1.0005290417951511</v>
      </c>
      <c r="I1753" s="880">
        <v>0.98966238937749873</v>
      </c>
      <c r="K1753">
        <v>1.0701747343887078</v>
      </c>
      <c r="L1753">
        <v>0</v>
      </c>
      <c r="M1753">
        <v>6.6025988774414388E-4</v>
      </c>
      <c r="N1753">
        <v>6.8653137990880617E-2</v>
      </c>
      <c r="O1753">
        <v>8.6493584920771718E-3</v>
      </c>
      <c r="P1753">
        <v>1.2738373147118065E-2</v>
      </c>
      <c r="Q1753">
        <v>2.944420617003657E-3</v>
      </c>
      <c r="R1753">
        <v>6.4912394275475863E-4</v>
      </c>
      <c r="S1753">
        <v>8.3233838105985378E-2</v>
      </c>
      <c r="T1753">
        <v>0.81473543186384934</v>
      </c>
      <c r="U1753">
        <v>1.6503398092083288E-2</v>
      </c>
      <c r="V1753">
        <v>1.0410793754538492E-2</v>
      </c>
      <c r="W1753">
        <v>4.0656534695996893E-2</v>
      </c>
      <c r="X1753">
        <v>9.8938821856355431E-3</v>
      </c>
      <c r="Y1753">
        <v>1.7667013885282329E-3</v>
      </c>
    </row>
    <row r="1754" spans="1:25">
      <c r="A1754" s="876"/>
      <c r="B1754" s="1202">
        <v>1504</v>
      </c>
      <c r="C1754" s="880">
        <v>1.0399566988399933</v>
      </c>
      <c r="D1754" s="880">
        <v>0.95636308974260709</v>
      </c>
      <c r="E1754" s="880">
        <v>1.0154012341530441</v>
      </c>
      <c r="F1754" s="880">
        <v>1.0134200844965489</v>
      </c>
      <c r="G1754" s="880">
        <v>0.98027864582241742</v>
      </c>
      <c r="H1754" s="880">
        <v>0.98637664977062867</v>
      </c>
      <c r="I1754" s="880">
        <v>0.97628329331993813</v>
      </c>
      <c r="K1754">
        <v>1.0667073540584957</v>
      </c>
      <c r="L1754">
        <v>0</v>
      </c>
      <c r="M1754">
        <v>6.4887100642719762E-4</v>
      </c>
      <c r="N1754">
        <v>6.781649209850682E-2</v>
      </c>
      <c r="O1754">
        <v>8.6538091706809053E-3</v>
      </c>
      <c r="P1754">
        <v>1.2726469953868396E-2</v>
      </c>
      <c r="Q1754">
        <v>2.9446054607549172E-3</v>
      </c>
      <c r="R1754">
        <v>6.3779375419359104E-4</v>
      </c>
      <c r="S1754">
        <v>8.1582153698666074E-2</v>
      </c>
      <c r="T1754">
        <v>0.8145973681438996</v>
      </c>
      <c r="U1754">
        <v>1.6260897097749479E-2</v>
      </c>
      <c r="V1754">
        <v>1.040939969292607E-2</v>
      </c>
      <c r="W1754">
        <v>4.0114292760331668E-2</v>
      </c>
      <c r="X1754">
        <v>9.8770788830839056E-3</v>
      </c>
      <c r="Y1754">
        <v>1.7358643502603905E-3</v>
      </c>
    </row>
    <row r="1755" spans="1:25">
      <c r="A1755" s="876"/>
      <c r="B1755" s="1202">
        <v>1505</v>
      </c>
      <c r="C1755" s="880">
        <v>1.0006468883226327</v>
      </c>
      <c r="D1755" s="880">
        <v>1.0133255210247789</v>
      </c>
      <c r="E1755" s="880">
        <v>0.97565392747101198</v>
      </c>
      <c r="F1755" s="880">
        <v>0.99727513758005926</v>
      </c>
      <c r="G1755" s="880">
        <v>1.01204185834824</v>
      </c>
      <c r="H1755" s="880">
        <v>0.9979153737938995</v>
      </c>
      <c r="I1755" s="880">
        <v>0.96749529854043859</v>
      </c>
      <c r="K1755">
        <v>1.0690561429539949</v>
      </c>
      <c r="L1755">
        <v>0</v>
      </c>
      <c r="M1755">
        <v>7.1925593639399243E-4</v>
      </c>
      <c r="N1755">
        <v>6.6434506688544309E-2</v>
      </c>
      <c r="O1755">
        <v>8.7201233446024488E-3</v>
      </c>
      <c r="P1755">
        <v>1.2410369727866726E-2</v>
      </c>
      <c r="Q1755">
        <v>2.8631026441428942E-3</v>
      </c>
      <c r="R1755">
        <v>7.0706705648849837E-4</v>
      </c>
      <c r="S1755">
        <v>8.2029773301558098E-2</v>
      </c>
      <c r="T1755">
        <v>0.81781240098633645</v>
      </c>
      <c r="U1755">
        <v>1.6899696649533742E-2</v>
      </c>
      <c r="V1755">
        <v>1.0413071949757916E-2</v>
      </c>
      <c r="W1755">
        <v>4.038372937112937E-2</v>
      </c>
      <c r="X1755">
        <v>9.1771537272592792E-3</v>
      </c>
      <c r="Y1755">
        <v>1.9244034431691638E-3</v>
      </c>
    </row>
    <row r="1756" spans="1:25">
      <c r="A1756" s="876"/>
      <c r="B1756" s="1202">
        <v>1506</v>
      </c>
      <c r="C1756" s="880">
        <v>1.003738258699777</v>
      </c>
      <c r="D1756" s="880">
        <v>0.97321782190576378</v>
      </c>
      <c r="E1756" s="880">
        <v>0.96948765888200283</v>
      </c>
      <c r="F1756" s="880">
        <v>0.97464032698768643</v>
      </c>
      <c r="G1756" s="880">
        <v>1.0003370183786124</v>
      </c>
      <c r="H1756" s="880">
        <v>0.96850909369044347</v>
      </c>
      <c r="I1756" s="880">
        <v>0.98181824659618155</v>
      </c>
      <c r="K1756">
        <v>1.0694102647834587</v>
      </c>
      <c r="L1756">
        <v>0</v>
      </c>
      <c r="M1756">
        <v>7.2028779184923127E-4</v>
      </c>
      <c r="N1756">
        <v>6.5232409143475278E-2</v>
      </c>
      <c r="O1756">
        <v>8.8826419803034774E-3</v>
      </c>
      <c r="P1756">
        <v>1.2379294317633415E-2</v>
      </c>
      <c r="Q1756">
        <v>2.8894110189420503E-3</v>
      </c>
      <c r="R1756">
        <v>7.0774816395313808E-4</v>
      </c>
      <c r="S1756">
        <v>8.3631915088212425E-2</v>
      </c>
      <c r="T1756">
        <v>0.81831596705451648</v>
      </c>
      <c r="U1756">
        <v>1.6847647999248389E-2</v>
      </c>
      <c r="V1756">
        <v>1.0412772738509154E-2</v>
      </c>
      <c r="W1756">
        <v>3.9823926535262386E-2</v>
      </c>
      <c r="X1756">
        <v>9.0805613420914255E-3</v>
      </c>
      <c r="Y1756">
        <v>1.9262571931608977E-3</v>
      </c>
    </row>
    <row r="1757" spans="1:25">
      <c r="A1757" s="876"/>
      <c r="B1757" s="1202">
        <v>1507</v>
      </c>
      <c r="C1757" s="880">
        <v>1.0467144768271948</v>
      </c>
      <c r="D1757" s="880">
        <v>1.0073522452807038</v>
      </c>
      <c r="E1757" s="880">
        <v>0.95980631623214208</v>
      </c>
      <c r="F1757" s="880">
        <v>0.99575023136091068</v>
      </c>
      <c r="G1757" s="880">
        <v>0.96911844992488005</v>
      </c>
      <c r="H1757" s="880">
        <v>0.99728882482780334</v>
      </c>
      <c r="I1757" s="880">
        <v>0.99465273913164376</v>
      </c>
      <c r="K1757">
        <v>1.0615428690278901</v>
      </c>
      <c r="L1757">
        <v>0</v>
      </c>
      <c r="M1757">
        <v>7.1260386494217639E-4</v>
      </c>
      <c r="N1757">
        <v>6.2645999435015323E-2</v>
      </c>
      <c r="O1757">
        <v>8.3626348625369662E-3</v>
      </c>
      <c r="P1757">
        <v>1.2251486662630092E-2</v>
      </c>
      <c r="Q1757">
        <v>2.700368764923564E-3</v>
      </c>
      <c r="R1757">
        <v>7.0052534891053438E-4</v>
      </c>
      <c r="S1757">
        <v>8.0837009807671584E-2</v>
      </c>
      <c r="T1757">
        <v>0.81910917831929708</v>
      </c>
      <c r="U1757">
        <v>1.6155913804891616E-2</v>
      </c>
      <c r="V1757">
        <v>1.0408796177138756E-2</v>
      </c>
      <c r="W1757">
        <v>3.8505537909805362E-2</v>
      </c>
      <c r="X1757">
        <v>8.6714227283956734E-3</v>
      </c>
      <c r="Y1757">
        <v>1.9065990716152692E-3</v>
      </c>
    </row>
    <row r="1758" spans="1:25">
      <c r="A1758" s="876"/>
      <c r="B1758" s="1202">
        <v>1508</v>
      </c>
      <c r="C1758" s="880">
        <v>1.0106510129383921</v>
      </c>
      <c r="D1758" s="880">
        <v>1.035768821361162</v>
      </c>
      <c r="E1758" s="880">
        <v>0.9897031216323674</v>
      </c>
      <c r="F1758" s="880">
        <v>1.0277008434447894</v>
      </c>
      <c r="G1758" s="880">
        <v>0.99646166106240364</v>
      </c>
      <c r="H1758" s="880">
        <v>1.0293419207086008</v>
      </c>
      <c r="I1758" s="880">
        <v>0.96344720174487652</v>
      </c>
      <c r="K1758">
        <v>1.069090262238561</v>
      </c>
      <c r="L1758">
        <v>0</v>
      </c>
      <c r="M1758">
        <v>7.0496038226980058E-4</v>
      </c>
      <c r="N1758">
        <v>6.8061061961146321E-2</v>
      </c>
      <c r="O1758">
        <v>8.5337614917437524E-3</v>
      </c>
      <c r="P1758">
        <v>1.251239696231606E-2</v>
      </c>
      <c r="Q1758">
        <v>2.8467564196511239E-3</v>
      </c>
      <c r="R1758">
        <v>6.9336005092482877E-4</v>
      </c>
      <c r="S1758">
        <v>8.1054022736266745E-2</v>
      </c>
      <c r="T1758">
        <v>0.81666988117124273</v>
      </c>
      <c r="U1758">
        <v>1.6732411732103252E-2</v>
      </c>
      <c r="V1758">
        <v>1.0412110281611514E-2</v>
      </c>
      <c r="W1758">
        <v>4.0971851936897098E-2</v>
      </c>
      <c r="X1758">
        <v>9.4205103843879295E-3</v>
      </c>
      <c r="Y1758">
        <v>1.8870974925380252E-3</v>
      </c>
    </row>
    <row r="1759" spans="1:25">
      <c r="A1759" s="876"/>
      <c r="B1759" s="1202">
        <v>1509</v>
      </c>
      <c r="C1759" s="880">
        <v>0.96851562918379919</v>
      </c>
      <c r="D1759" s="880">
        <v>1.0117722644784519</v>
      </c>
      <c r="E1759" s="880">
        <v>0.97610612535964958</v>
      </c>
      <c r="F1759" s="880">
        <v>0.9850804036430808</v>
      </c>
      <c r="G1759" s="880">
        <v>0.98858810335923797</v>
      </c>
      <c r="H1759" s="880">
        <v>1.006312993073438</v>
      </c>
      <c r="I1759" s="880">
        <v>0.99800926256531708</v>
      </c>
      <c r="K1759">
        <v>1.0807586672934286</v>
      </c>
      <c r="L1759">
        <v>0</v>
      </c>
      <c r="M1759">
        <v>7.4927119601936147E-4</v>
      </c>
      <c r="N1759">
        <v>6.9314592623203275E-2</v>
      </c>
      <c r="O1759">
        <v>9.0167845024509037E-3</v>
      </c>
      <c r="P1759">
        <v>1.2499043979992623E-2</v>
      </c>
      <c r="Q1759">
        <v>2.9615328510995908E-3</v>
      </c>
      <c r="R1759">
        <v>7.3668103284031282E-4</v>
      </c>
      <c r="S1759">
        <v>8.7798356293493987E-2</v>
      </c>
      <c r="T1759">
        <v>0.81777552296419131</v>
      </c>
      <c r="U1759">
        <v>1.7460357227485842E-2</v>
      </c>
      <c r="V1759">
        <v>1.0416295010312653E-2</v>
      </c>
      <c r="W1759">
        <v>4.2121198259468945E-2</v>
      </c>
      <c r="X1759">
        <v>9.4025708203555169E-3</v>
      </c>
      <c r="Y1759">
        <v>2.0050029245541221E-3</v>
      </c>
    </row>
    <row r="1760" spans="1:25">
      <c r="A1760" s="876"/>
      <c r="B1760" s="1202">
        <v>1510</v>
      </c>
      <c r="C1760" s="880">
        <v>0.98061113223882623</v>
      </c>
      <c r="D1760" s="880">
        <v>0.96626786427479405</v>
      </c>
      <c r="E1760" s="880">
        <v>1.0108362655913079</v>
      </c>
      <c r="F1760" s="880">
        <v>0.97216466800120149</v>
      </c>
      <c r="G1760" s="880">
        <v>0.98587342548178969</v>
      </c>
      <c r="H1760" s="880">
        <v>1.0165054414491215</v>
      </c>
      <c r="I1760" s="880">
        <v>1.0024987677812902</v>
      </c>
      <c r="K1760">
        <v>1.0862483796426039</v>
      </c>
      <c r="L1760">
        <v>0</v>
      </c>
      <c r="M1760">
        <v>7.1209462394647817E-4</v>
      </c>
      <c r="N1760">
        <v>7.3412602572451996E-2</v>
      </c>
      <c r="O1760">
        <v>9.1270515222387008E-3</v>
      </c>
      <c r="P1760">
        <v>1.281135261527677E-2</v>
      </c>
      <c r="Q1760">
        <v>3.0939396704273586E-3</v>
      </c>
      <c r="R1760">
        <v>7.0028927879045284E-4</v>
      </c>
      <c r="S1760">
        <v>8.9507605275509397E-2</v>
      </c>
      <c r="T1760">
        <v>0.81496388531541519</v>
      </c>
      <c r="U1760">
        <v>1.7244989690606363E-2</v>
      </c>
      <c r="V1760">
        <v>1.041505693037593E-2</v>
      </c>
      <c r="W1760">
        <v>4.3559072942179887E-2</v>
      </c>
      <c r="X1760">
        <v>1.0218671886707812E-2</v>
      </c>
      <c r="Y1760">
        <v>1.9059565665689019E-3</v>
      </c>
    </row>
    <row r="1761" spans="1:25">
      <c r="A1761" s="876"/>
      <c r="B1761" s="1202">
        <v>1511</v>
      </c>
      <c r="C1761" s="880">
        <v>1.0027559647195519</v>
      </c>
      <c r="D1761" s="880">
        <v>1.001195045211237</v>
      </c>
      <c r="E1761" s="880">
        <v>1.0009191745083406</v>
      </c>
      <c r="F1761" s="880">
        <v>1.0292082273478595</v>
      </c>
      <c r="G1761" s="880">
        <v>1.0066262825318426</v>
      </c>
      <c r="H1761" s="880">
        <v>0.97689650960763219</v>
      </c>
      <c r="I1761" s="880">
        <v>1.0437874319527816</v>
      </c>
      <c r="K1761">
        <v>1.0739517424866141</v>
      </c>
      <c r="L1761">
        <v>0</v>
      </c>
      <c r="M1761">
        <v>6.705627236622319E-4</v>
      </c>
      <c r="N1761">
        <v>6.698256837748813E-2</v>
      </c>
      <c r="O1761">
        <v>8.7578085766200926E-3</v>
      </c>
      <c r="P1761">
        <v>1.2703225394550032E-2</v>
      </c>
      <c r="Q1761">
        <v>2.947281880488518E-3</v>
      </c>
      <c r="R1761">
        <v>6.589647517142894E-4</v>
      </c>
      <c r="S1761">
        <v>8.8061249586357818E-2</v>
      </c>
      <c r="T1761">
        <v>0.81576256341089037</v>
      </c>
      <c r="U1761">
        <v>1.6864151858405473E-2</v>
      </c>
      <c r="V1761">
        <v>1.0412867613982048E-2</v>
      </c>
      <c r="W1761">
        <v>4.0013333598045979E-2</v>
      </c>
      <c r="X1761">
        <v>9.664805335237784E-3</v>
      </c>
      <c r="Y1761">
        <v>1.7934848264942742E-3</v>
      </c>
    </row>
    <row r="1762" spans="1:25">
      <c r="A1762" s="876"/>
      <c r="B1762" s="1202">
        <v>1512</v>
      </c>
      <c r="C1762" s="880">
        <v>0.99673922844527163</v>
      </c>
      <c r="D1762" s="880">
        <v>0.995402328509427</v>
      </c>
      <c r="E1762" s="880">
        <v>0.97856315968432417</v>
      </c>
      <c r="F1762" s="880">
        <v>0.98353657010088047</v>
      </c>
      <c r="G1762" s="880">
        <v>1.0124301518832652</v>
      </c>
      <c r="H1762" s="880">
        <v>1.0189090059047972</v>
      </c>
      <c r="I1762" s="880">
        <v>1.0219786151039756</v>
      </c>
      <c r="K1762">
        <v>1.0799310096506902</v>
      </c>
      <c r="L1762">
        <v>0</v>
      </c>
      <c r="M1762">
        <v>7.3976669144235237E-4</v>
      </c>
      <c r="N1762">
        <v>6.8977316209226577E-2</v>
      </c>
      <c r="O1762">
        <v>8.8379842803611997E-3</v>
      </c>
      <c r="P1762">
        <v>1.2523027703109495E-2</v>
      </c>
      <c r="Q1762">
        <v>2.9065377542589672E-3</v>
      </c>
      <c r="R1762">
        <v>7.2750457610899831E-4</v>
      </c>
      <c r="S1762">
        <v>8.8536674288359207E-2</v>
      </c>
      <c r="T1762">
        <v>0.81757526566587435</v>
      </c>
      <c r="U1762">
        <v>1.6965950956229388E-2</v>
      </c>
      <c r="V1762">
        <v>1.041345282483796E-2</v>
      </c>
      <c r="W1762">
        <v>4.1844705289268785E-2</v>
      </c>
      <c r="X1762">
        <v>9.3823291601470623E-3</v>
      </c>
      <c r="Y1762">
        <v>1.9800276343496319E-3</v>
      </c>
    </row>
    <row r="1763" spans="1:25">
      <c r="A1763" s="876"/>
      <c r="B1763" s="1202">
        <v>1513</v>
      </c>
      <c r="C1763" s="880">
        <v>1.0120851051941775</v>
      </c>
      <c r="D1763" s="880">
        <v>1.014113853107959</v>
      </c>
      <c r="E1763" s="880">
        <v>1.0455416174530989</v>
      </c>
      <c r="F1763" s="880">
        <v>1.0043403702556846</v>
      </c>
      <c r="G1763" s="880">
        <v>0.99432602954166904</v>
      </c>
      <c r="H1763" s="880">
        <v>1.031858195616852</v>
      </c>
      <c r="I1763" s="880">
        <v>1.0420906702591055</v>
      </c>
      <c r="K1763">
        <v>1.0800230990137414</v>
      </c>
      <c r="L1763">
        <v>0</v>
      </c>
      <c r="M1763">
        <v>6.3426935891023825E-4</v>
      </c>
      <c r="N1763">
        <v>7.2842335863817262E-2</v>
      </c>
      <c r="O1763">
        <v>8.6180016824047995E-3</v>
      </c>
      <c r="P1763">
        <v>1.3079366270677021E-2</v>
      </c>
      <c r="Q1763">
        <v>3.034447475383892E-3</v>
      </c>
      <c r="R1763">
        <v>6.2387369038966465E-4</v>
      </c>
      <c r="S1763">
        <v>8.8562370584892039E-2</v>
      </c>
      <c r="T1763">
        <v>0.81219526446132773</v>
      </c>
      <c r="U1763">
        <v>1.6708702439315062E-2</v>
      </c>
      <c r="V1763">
        <v>1.0411973984376844E-2</v>
      </c>
      <c r="W1763">
        <v>4.2225873181378382E-2</v>
      </c>
      <c r="X1763">
        <v>1.0657180213353479E-2</v>
      </c>
      <c r="Y1763">
        <v>1.6979785253339022E-3</v>
      </c>
    </row>
    <row r="1764" spans="1:25">
      <c r="A1764" s="876"/>
      <c r="B1764" s="1202">
        <v>1514</v>
      </c>
      <c r="C1764" s="880">
        <v>1.0361158833965476</v>
      </c>
      <c r="D1764" s="880">
        <v>1.0180198583916793</v>
      </c>
      <c r="E1764" s="880">
        <v>0.9572675093127363</v>
      </c>
      <c r="F1764" s="880">
        <v>0.97311130019182024</v>
      </c>
      <c r="G1764" s="880">
        <v>0.97942645755470392</v>
      </c>
      <c r="H1764" s="880">
        <v>1.0143662700184823</v>
      </c>
      <c r="I1764" s="880">
        <v>1.0158535454642157</v>
      </c>
      <c r="K1764">
        <v>1.066813556661844</v>
      </c>
      <c r="L1764">
        <v>0</v>
      </c>
      <c r="M1764">
        <v>7.3201103285373782E-4</v>
      </c>
      <c r="N1764">
        <v>6.3861973143637174E-2</v>
      </c>
      <c r="O1764">
        <v>8.4009097419942332E-3</v>
      </c>
      <c r="P1764">
        <v>1.2268332313220703E-2</v>
      </c>
      <c r="Q1764">
        <v>2.7077709904827132E-3</v>
      </c>
      <c r="R1764">
        <v>7.1980306764695605E-4</v>
      </c>
      <c r="S1764">
        <v>8.356171143978762E-2</v>
      </c>
      <c r="T1764">
        <v>0.8193177101794431</v>
      </c>
      <c r="U1764">
        <v>1.6321175205341622E-2</v>
      </c>
      <c r="V1764">
        <v>1.0409746212725265E-2</v>
      </c>
      <c r="W1764">
        <v>3.9323205464216311E-2</v>
      </c>
      <c r="X1764">
        <v>8.6941632690848251E-3</v>
      </c>
      <c r="Y1764">
        <v>1.9590666671175355E-3</v>
      </c>
    </row>
    <row r="1765" spans="1:25">
      <c r="A1765" s="876"/>
      <c r="B1765" s="1202">
        <v>1515</v>
      </c>
      <c r="C1765" s="880">
        <v>1.0237691773583555</v>
      </c>
      <c r="D1765" s="880">
        <v>0.99716564247447836</v>
      </c>
      <c r="E1765" s="880">
        <v>0.98682624314813239</v>
      </c>
      <c r="F1765" s="880">
        <v>1.0118627549049692</v>
      </c>
      <c r="G1765" s="880">
        <v>1.0035577279410735</v>
      </c>
      <c r="H1765" s="880">
        <v>1.0176450286044316</v>
      </c>
      <c r="I1765" s="880">
        <v>1.0249843243620991</v>
      </c>
      <c r="K1765">
        <v>1.0737690415013432</v>
      </c>
      <c r="L1765">
        <v>0</v>
      </c>
      <c r="M1765">
        <v>7.063000148113314E-4</v>
      </c>
      <c r="N1765">
        <v>6.7572438001026996E-2</v>
      </c>
      <c r="O1765">
        <v>8.5965200815431055E-3</v>
      </c>
      <c r="P1765">
        <v>1.255680646424062E-2</v>
      </c>
      <c r="Q1765">
        <v>2.851313224795374E-3</v>
      </c>
      <c r="R1765">
        <v>6.9457656423402184E-4</v>
      </c>
      <c r="S1765">
        <v>8.6331041030949046E-2</v>
      </c>
      <c r="T1765">
        <v>0.81690329275965168</v>
      </c>
      <c r="U1765">
        <v>1.6518009371592045E-2</v>
      </c>
      <c r="V1765">
        <v>1.0410877750168827E-2</v>
      </c>
      <c r="W1765">
        <v>4.07585200978356E-2</v>
      </c>
      <c r="X1765">
        <v>9.3915377293738514E-3</v>
      </c>
      <c r="Y1765">
        <v>1.8904084407421438E-3</v>
      </c>
    </row>
    <row r="1766" spans="1:25">
      <c r="A1766" s="876"/>
      <c r="B1766" s="1202">
        <v>1516</v>
      </c>
      <c r="C1766" s="880">
        <v>0.99234948910994614</v>
      </c>
      <c r="D1766" s="880">
        <v>1.0203215497079121</v>
      </c>
      <c r="E1766" s="880">
        <v>0.98772018125051408</v>
      </c>
      <c r="F1766" s="880">
        <v>0.98210429844093561</v>
      </c>
      <c r="G1766" s="880">
        <v>0.98874280041676432</v>
      </c>
      <c r="H1766" s="880">
        <v>1.0170888038813108</v>
      </c>
      <c r="I1766" s="880">
        <v>1.0190594640239241</v>
      </c>
      <c r="K1766">
        <v>1.0779098034811654</v>
      </c>
      <c r="L1766">
        <v>0</v>
      </c>
      <c r="M1766">
        <v>7.1808123315233595E-4</v>
      </c>
      <c r="N1766">
        <v>6.8888477652830987E-2</v>
      </c>
      <c r="O1766">
        <v>8.7608836139593926E-3</v>
      </c>
      <c r="P1766">
        <v>1.2587542391279027E-2</v>
      </c>
      <c r="Q1766">
        <v>2.9134329785853283E-3</v>
      </c>
      <c r="R1766">
        <v>7.0613567115535112E-4</v>
      </c>
      <c r="S1766">
        <v>8.7523112449763157E-2</v>
      </c>
      <c r="T1766">
        <v>0.81683073427681119</v>
      </c>
      <c r="U1766">
        <v>1.7041001231451004E-2</v>
      </c>
      <c r="V1766">
        <v>1.0413884265162451E-2</v>
      </c>
      <c r="W1766">
        <v>4.1526696705044781E-2</v>
      </c>
      <c r="X1766">
        <v>9.5141149589516132E-3</v>
      </c>
      <c r="Y1766">
        <v>1.9218685193234295E-3</v>
      </c>
    </row>
    <row r="1767" spans="1:25">
      <c r="A1767" s="876"/>
      <c r="B1767" s="1202">
        <v>1517</v>
      </c>
      <c r="C1767" s="880">
        <v>0.97712878040889395</v>
      </c>
      <c r="D1767" s="880">
        <v>0.96719728764151414</v>
      </c>
      <c r="E1767" s="880">
        <v>1.002086003540839</v>
      </c>
      <c r="F1767" s="880">
        <v>1.0183034593049174</v>
      </c>
      <c r="G1767" s="880">
        <v>1.0186177409356967</v>
      </c>
      <c r="H1767" s="880">
        <v>1.0089130209214674</v>
      </c>
      <c r="I1767" s="880">
        <v>0.96443949610357316</v>
      </c>
      <c r="K1767">
        <v>1.0820272315749802</v>
      </c>
      <c r="L1767">
        <v>0</v>
      </c>
      <c r="M1767">
        <v>7.2212902364751815E-4</v>
      </c>
      <c r="N1767">
        <v>7.2439413831741767E-2</v>
      </c>
      <c r="O1767">
        <v>9.1548690755229173E-3</v>
      </c>
      <c r="P1767">
        <v>1.2692300069849541E-2</v>
      </c>
      <c r="Q1767">
        <v>3.0765137940110196E-3</v>
      </c>
      <c r="R1767">
        <v>7.1006636954790592E-4</v>
      </c>
      <c r="S1767">
        <v>8.6102091730623137E-2</v>
      </c>
      <c r="T1767">
        <v>0.81566841862496975</v>
      </c>
      <c r="U1767">
        <v>1.730644844876628E-2</v>
      </c>
      <c r="V1767">
        <v>1.0415410237362296E-2</v>
      </c>
      <c r="W1767">
        <v>4.3238586927035326E-2</v>
      </c>
      <c r="X1767">
        <v>1.0012674904602999E-2</v>
      </c>
      <c r="Y1767">
        <v>1.9325665845935868E-3</v>
      </c>
    </row>
    <row r="1768" spans="1:25">
      <c r="A1768" s="876"/>
      <c r="B1768" s="1202">
        <v>1518</v>
      </c>
      <c r="C1768" s="880">
        <v>1.0143624479016047</v>
      </c>
      <c r="D1768" s="880">
        <v>0.97628109583433975</v>
      </c>
      <c r="E1768" s="880">
        <v>1.0194495318457912</v>
      </c>
      <c r="F1768" s="880">
        <v>1.00539424591761</v>
      </c>
      <c r="G1768" s="880">
        <v>1.0125514176686679</v>
      </c>
      <c r="H1768" s="880">
        <v>0.96444575066038574</v>
      </c>
      <c r="I1768" s="880">
        <v>0.9591028627696101</v>
      </c>
      <c r="K1768">
        <v>1.0654076418998601</v>
      </c>
      <c r="L1768">
        <v>0</v>
      </c>
      <c r="M1768">
        <v>6.3785940803220704E-4</v>
      </c>
      <c r="N1768">
        <v>6.7480960964189846E-2</v>
      </c>
      <c r="O1768">
        <v>8.7748535147980523E-3</v>
      </c>
      <c r="P1768">
        <v>1.2751698265957283E-2</v>
      </c>
      <c r="Q1768">
        <v>3.00253874698013E-3</v>
      </c>
      <c r="R1768">
        <v>6.2670540410644782E-4</v>
      </c>
      <c r="S1768">
        <v>8.0575491759698512E-2</v>
      </c>
      <c r="T1768">
        <v>0.81427292795880757</v>
      </c>
      <c r="U1768">
        <v>1.6671189771402865E-2</v>
      </c>
      <c r="V1768">
        <v>1.0411758335898946E-2</v>
      </c>
      <c r="W1768">
        <v>3.9806737889975276E-2</v>
      </c>
      <c r="X1768">
        <v>9.964953179479397E-3</v>
      </c>
      <c r="Y1768">
        <v>1.7056855165968109E-3</v>
      </c>
    </row>
    <row r="1769" spans="1:25">
      <c r="A1769" s="876"/>
      <c r="B1769" s="1202">
        <v>1519</v>
      </c>
      <c r="C1769" s="880">
        <v>1.02903640701248</v>
      </c>
      <c r="D1769" s="880">
        <v>1.0206918059739405</v>
      </c>
      <c r="E1769" s="880">
        <v>1.0416740589930107</v>
      </c>
      <c r="F1769" s="880">
        <v>1.0024720977523323</v>
      </c>
      <c r="G1769" s="880">
        <v>0.98505256281612852</v>
      </c>
      <c r="H1769" s="880">
        <v>1.0290585506179446</v>
      </c>
      <c r="I1769" s="880">
        <v>1.007874693802234</v>
      </c>
      <c r="K1769">
        <v>1.0718485078074087</v>
      </c>
      <c r="L1769">
        <v>0</v>
      </c>
      <c r="M1769">
        <v>6.2509949444243735E-4</v>
      </c>
      <c r="N1769">
        <v>7.0929580324572319E-2</v>
      </c>
      <c r="O1769">
        <v>8.4469117506020888E-3</v>
      </c>
      <c r="P1769">
        <v>1.2977541132278969E-2</v>
      </c>
      <c r="Q1769">
        <v>2.9643592480462287E-3</v>
      </c>
      <c r="R1769">
        <v>6.1482140449479669E-4</v>
      </c>
      <c r="S1769">
        <v>8.3875966166343796E-2</v>
      </c>
      <c r="T1769">
        <v>0.81250176260226403</v>
      </c>
      <c r="U1769">
        <v>1.643346022620101E-2</v>
      </c>
      <c r="V1769">
        <v>1.0410391703840309E-2</v>
      </c>
      <c r="W1769">
        <v>4.1222772441911394E-2</v>
      </c>
      <c r="X1769">
        <v>1.0422699114082112E-2</v>
      </c>
      <c r="Y1769">
        <v>1.673341187213315E-3</v>
      </c>
    </row>
    <row r="1770" spans="1:25">
      <c r="A1770" s="876"/>
      <c r="B1770" s="1202">
        <v>1520</v>
      </c>
      <c r="C1770" s="880">
        <v>0.99398504965688816</v>
      </c>
      <c r="D1770" s="880">
        <v>1.0229832079139425</v>
      </c>
      <c r="E1770" s="880">
        <v>1.0061521271664295</v>
      </c>
      <c r="F1770" s="880">
        <v>1.023158471607662</v>
      </c>
      <c r="G1770" s="880">
        <v>0.97677956850244774</v>
      </c>
      <c r="H1770" s="880">
        <v>1.019754250972714</v>
      </c>
      <c r="I1770" s="880">
        <v>0.9687600585111068</v>
      </c>
      <c r="K1770">
        <v>1.07379600670763</v>
      </c>
      <c r="L1770">
        <v>0</v>
      </c>
      <c r="M1770">
        <v>6.9046967097620643E-4</v>
      </c>
      <c r="N1770">
        <v>7.0152830520071596E-2</v>
      </c>
      <c r="O1770">
        <v>8.7343496855919987E-3</v>
      </c>
      <c r="P1770">
        <v>1.268038354296951E-2</v>
      </c>
      <c r="Q1770">
        <v>2.9595895769502899E-3</v>
      </c>
      <c r="R1770">
        <v>6.7901128949607965E-4</v>
      </c>
      <c r="S1770">
        <v>8.3050433691308129E-2</v>
      </c>
      <c r="T1770">
        <v>0.81534070796488012</v>
      </c>
      <c r="U1770">
        <v>1.7012960981445068E-2</v>
      </c>
      <c r="V1770">
        <v>1.0413723070622844E-2</v>
      </c>
      <c r="W1770">
        <v>4.1757734973111443E-2</v>
      </c>
      <c r="X1770">
        <v>9.8567061881622599E-3</v>
      </c>
      <c r="Y1770">
        <v>1.8480448939969037E-3</v>
      </c>
    </row>
    <row r="1771" spans="1:25">
      <c r="A1771" s="876"/>
      <c r="B1771" s="1202">
        <v>1521</v>
      </c>
      <c r="C1771" s="880">
        <v>1.0158051914848099</v>
      </c>
      <c r="D1771" s="880">
        <v>0.99052862151826082</v>
      </c>
      <c r="E1771" s="880">
        <v>0.96228825266831231</v>
      </c>
      <c r="F1771" s="880">
        <v>0.98709900244262938</v>
      </c>
      <c r="G1771" s="880">
        <v>0.96675967867056212</v>
      </c>
      <c r="H1771" s="880">
        <v>1.0014206983386762</v>
      </c>
      <c r="I1771" s="880">
        <v>1.0017087522393582</v>
      </c>
      <c r="K1771">
        <v>1.0712454042694006</v>
      </c>
      <c r="L1771">
        <v>0</v>
      </c>
      <c r="M1771">
        <v>7.4011178927041541E-4</v>
      </c>
      <c r="N1771">
        <v>6.5576124956763279E-2</v>
      </c>
      <c r="O1771">
        <v>8.6948448903122512E-3</v>
      </c>
      <c r="P1771">
        <v>1.2330675989058041E-2</v>
      </c>
      <c r="Q1771">
        <v>2.8112691094571065E-3</v>
      </c>
      <c r="R1771">
        <v>7.2763422598743147E-4</v>
      </c>
      <c r="S1771">
        <v>8.4740814374139897E-2</v>
      </c>
      <c r="T1771">
        <v>0.81890552738368749</v>
      </c>
      <c r="U1771">
        <v>1.6647511754920234E-2</v>
      </c>
      <c r="V1771">
        <v>1.041162221846186E-2</v>
      </c>
      <c r="W1771">
        <v>4.0236261174933716E-2</v>
      </c>
      <c r="X1771">
        <v>8.9228494823695541E-3</v>
      </c>
      <c r="Y1771">
        <v>1.9803804985796562E-3</v>
      </c>
    </row>
    <row r="1772" spans="1:25">
      <c r="A1772" s="876"/>
      <c r="B1772" s="1202">
        <v>1522</v>
      </c>
      <c r="C1772" s="880">
        <v>1.0059345306683805</v>
      </c>
      <c r="D1772" s="880">
        <v>0.98175694837538963</v>
      </c>
      <c r="E1772" s="880">
        <v>1.022776685378822</v>
      </c>
      <c r="F1772" s="880">
        <v>0.98725012210185892</v>
      </c>
      <c r="G1772" s="880">
        <v>1.0266143392960678</v>
      </c>
      <c r="H1772" s="880">
        <v>1.0113389492935396</v>
      </c>
      <c r="I1772" s="880">
        <v>0.99729857510500775</v>
      </c>
      <c r="K1772">
        <v>1.0773629041379664</v>
      </c>
      <c r="L1772">
        <v>0</v>
      </c>
      <c r="M1772">
        <v>6.6775883121586476E-4</v>
      </c>
      <c r="N1772">
        <v>7.1436399087864949E-2</v>
      </c>
      <c r="O1772">
        <v>8.8219650733719294E-3</v>
      </c>
      <c r="P1772">
        <v>1.2855399577461624E-2</v>
      </c>
      <c r="Q1772">
        <v>3.029931448871918E-3</v>
      </c>
      <c r="R1772">
        <v>6.5661879635190139E-4</v>
      </c>
      <c r="S1772">
        <v>8.5929554407133166E-2</v>
      </c>
      <c r="T1772">
        <v>0.81400670023356825</v>
      </c>
      <c r="U1772">
        <v>1.6810864276342447E-2</v>
      </c>
      <c r="V1772">
        <v>1.0412561280505843E-2</v>
      </c>
      <c r="W1772">
        <v>4.2045605188173095E-2</v>
      </c>
      <c r="X1772">
        <v>1.0237963690195268E-2</v>
      </c>
      <c r="Y1772">
        <v>1.7870999093418315E-3</v>
      </c>
    </row>
    <row r="1773" spans="1:25">
      <c r="A1773" s="876"/>
      <c r="B1773" s="1202">
        <v>1523</v>
      </c>
      <c r="C1773" s="880">
        <v>0.97894120984354949</v>
      </c>
      <c r="D1773" s="880">
        <v>0.98533644757339822</v>
      </c>
      <c r="E1773" s="880">
        <v>1.0033174273466874</v>
      </c>
      <c r="F1773" s="880">
        <v>0.99950830399089374</v>
      </c>
      <c r="G1773" s="880">
        <v>1.0030219099011084</v>
      </c>
      <c r="H1773" s="880">
        <v>0.96112202739381858</v>
      </c>
      <c r="I1773" s="880">
        <v>0.96222593551974533</v>
      </c>
      <c r="K1773">
        <v>1.0718140443860358</v>
      </c>
      <c r="L1773">
        <v>0</v>
      </c>
      <c r="M1773">
        <v>6.7811797063670241E-4</v>
      </c>
      <c r="N1773">
        <v>6.8226197465697511E-2</v>
      </c>
      <c r="O1773">
        <v>9.0476176712143471E-3</v>
      </c>
      <c r="P1773">
        <v>1.2663271484230824E-2</v>
      </c>
      <c r="Q1773">
        <v>3.0485038305458224E-3</v>
      </c>
      <c r="R1773">
        <v>6.6621083606876531E-4</v>
      </c>
      <c r="S1773">
        <v>8.3260323179182916E-2</v>
      </c>
      <c r="T1773">
        <v>0.81556911224649109</v>
      </c>
      <c r="U1773">
        <v>1.7274406977570152E-2</v>
      </c>
      <c r="V1773">
        <v>1.0415226041066003E-2</v>
      </c>
      <c r="W1773">
        <v>4.0689512708454438E-2</v>
      </c>
      <c r="X1773">
        <v>9.8185736367143745E-3</v>
      </c>
      <c r="Y1773">
        <v>1.8132062794360918E-3</v>
      </c>
    </row>
    <row r="1774" spans="1:25">
      <c r="A1774" s="876"/>
      <c r="B1774" s="1202">
        <v>1524</v>
      </c>
      <c r="C1774" s="880">
        <v>1.0168488191282801</v>
      </c>
      <c r="D1774" s="880">
        <v>0.9872572603702312</v>
      </c>
      <c r="E1774" s="880">
        <v>0.99140290419170318</v>
      </c>
      <c r="F1774" s="880">
        <v>0.97573141078806891</v>
      </c>
      <c r="G1774" s="880">
        <v>0.9658023863032914</v>
      </c>
      <c r="H1774" s="880">
        <v>0.98060375054996551</v>
      </c>
      <c r="I1774" s="880">
        <v>0.98821556113603359</v>
      </c>
      <c r="K1774">
        <v>1.0678453175040141</v>
      </c>
      <c r="L1774">
        <v>0</v>
      </c>
      <c r="M1774">
        <v>6.8227966685996356E-4</v>
      </c>
      <c r="N1774">
        <v>6.6169844138390804E-2</v>
      </c>
      <c r="O1774">
        <v>8.7012738428384542E-3</v>
      </c>
      <c r="P1774">
        <v>1.2550515925729521E-2</v>
      </c>
      <c r="Q1774">
        <v>2.8972772695417151E-3</v>
      </c>
      <c r="R1774">
        <v>6.7053577901348706E-4</v>
      </c>
      <c r="S1774">
        <v>8.2923158910372635E-2</v>
      </c>
      <c r="T1774">
        <v>0.81653210352004713</v>
      </c>
      <c r="U1774">
        <v>1.6630425829131098E-2</v>
      </c>
      <c r="V1774">
        <v>1.0411523996871815E-2</v>
      </c>
      <c r="W1774">
        <v>3.9786755665383686E-2</v>
      </c>
      <c r="X1774">
        <v>9.4292049451374631E-3</v>
      </c>
      <c r="Y1774">
        <v>1.8249773484145663E-3</v>
      </c>
    </row>
    <row r="1775" spans="1:25">
      <c r="A1775" s="876"/>
      <c r="B1775" s="1202">
        <v>1525</v>
      </c>
      <c r="C1775" s="880">
        <v>1.0112591222151239</v>
      </c>
      <c r="D1775" s="880">
        <v>0.97386069564917421</v>
      </c>
      <c r="E1775" s="880">
        <v>1.0035992169956283</v>
      </c>
      <c r="F1775" s="880">
        <v>1.0070793534320386</v>
      </c>
      <c r="G1775" s="880">
        <v>1.0222671786576656</v>
      </c>
      <c r="H1775" s="880">
        <v>0.99222051431013103</v>
      </c>
      <c r="I1775" s="880">
        <v>1.020408793610031</v>
      </c>
      <c r="K1775">
        <v>1.0754991345293057</v>
      </c>
      <c r="L1775">
        <v>0</v>
      </c>
      <c r="M1775">
        <v>6.8152723323165591E-4</v>
      </c>
      <c r="N1775">
        <v>6.8668806749568892E-2</v>
      </c>
      <c r="O1775">
        <v>8.813468536239882E-3</v>
      </c>
      <c r="P1775">
        <v>1.2710725801224617E-2</v>
      </c>
      <c r="Q1775">
        <v>2.9678280659233367E-3</v>
      </c>
      <c r="R1775">
        <v>6.6994536512376393E-4</v>
      </c>
      <c r="S1775">
        <v>8.7111829754695447E-2</v>
      </c>
      <c r="T1775">
        <v>0.81554639497898684</v>
      </c>
      <c r="U1775">
        <v>1.6722349884874515E-2</v>
      </c>
      <c r="V1775">
        <v>1.0412052439230239E-2</v>
      </c>
      <c r="W1775">
        <v>4.0945604518394511E-2</v>
      </c>
      <c r="X1775">
        <v>9.7882852318379055E-3</v>
      </c>
      <c r="Y1775">
        <v>1.8233704364366266E-3</v>
      </c>
    </row>
    <row r="1776" spans="1:25">
      <c r="A1776" s="876"/>
      <c r="B1776" s="1202">
        <v>1526</v>
      </c>
      <c r="C1776" s="880">
        <v>0.97581549385357791</v>
      </c>
      <c r="D1776" s="880">
        <v>0.97348746117205398</v>
      </c>
      <c r="E1776" s="880">
        <v>0.99128430363773234</v>
      </c>
      <c r="F1776" s="880">
        <v>0.97671236470504108</v>
      </c>
      <c r="G1776" s="880">
        <v>0.9786504308853482</v>
      </c>
      <c r="H1776" s="880">
        <v>1.0127171060035884</v>
      </c>
      <c r="I1776" s="880">
        <v>1.0192061907175807</v>
      </c>
      <c r="K1776">
        <v>1.0868106388353644</v>
      </c>
      <c r="L1776">
        <v>0</v>
      </c>
      <c r="M1776">
        <v>7.39955094909227E-4</v>
      </c>
      <c r="N1776">
        <v>7.1778021389275456E-2</v>
      </c>
      <c r="O1776">
        <v>9.1354638653937947E-3</v>
      </c>
      <c r="P1776">
        <v>1.2668079764577832E-2</v>
      </c>
      <c r="Q1776">
        <v>3.038269337580485E-3</v>
      </c>
      <c r="R1776">
        <v>7.276351588108446E-4</v>
      </c>
      <c r="S1776">
        <v>9.0963243996091958E-2</v>
      </c>
      <c r="T1776">
        <v>0.81654171363187822</v>
      </c>
      <c r="U1776">
        <v>1.7329740071220741E-2</v>
      </c>
      <c r="V1776">
        <v>1.0415544133542162E-2</v>
      </c>
      <c r="W1776">
        <v>4.3162377149703238E-2</v>
      </c>
      <c r="X1776">
        <v>9.8101223947804263E-3</v>
      </c>
      <c r="Y1776">
        <v>1.9803830374174824E-3</v>
      </c>
    </row>
    <row r="1777" spans="1:25">
      <c r="A1777" s="876"/>
      <c r="B1777" s="1202">
        <v>1527</v>
      </c>
      <c r="C1777" s="880">
        <v>1.0253786489591057</v>
      </c>
      <c r="D1777" s="880">
        <v>1.0012318627671906</v>
      </c>
      <c r="E1777" s="880">
        <v>0.9881723559507346</v>
      </c>
      <c r="F1777" s="880">
        <v>1.0142650632471957</v>
      </c>
      <c r="G1777" s="880">
        <v>1.0136517679290515</v>
      </c>
      <c r="H1777" s="880">
        <v>1.0124682460059082</v>
      </c>
      <c r="I1777" s="880">
        <v>0.99258089248152681</v>
      </c>
      <c r="K1777">
        <v>1.0694580283738409</v>
      </c>
      <c r="L1777">
        <v>0</v>
      </c>
      <c r="M1777">
        <v>6.9810866818185589E-4</v>
      </c>
      <c r="N1777">
        <v>6.7063187212469164E-2</v>
      </c>
      <c r="O1777">
        <v>8.5644192088243261E-3</v>
      </c>
      <c r="P1777">
        <v>1.2524345512443266E-2</v>
      </c>
      <c r="Q1777">
        <v>2.8454039988598072E-3</v>
      </c>
      <c r="R1777">
        <v>6.8645845169385922E-4</v>
      </c>
      <c r="S1777">
        <v>8.3122399413612283E-2</v>
      </c>
      <c r="T1777">
        <v>0.81679404282166623</v>
      </c>
      <c r="U1777">
        <v>1.6492082103639359E-2</v>
      </c>
      <c r="V1777">
        <v>1.0410728702495552E-2</v>
      </c>
      <c r="W1777">
        <v>4.0413780778546335E-2</v>
      </c>
      <c r="X1777">
        <v>9.370975223228788E-3</v>
      </c>
      <c r="Y1777">
        <v>1.8683136145429009E-3</v>
      </c>
    </row>
    <row r="1778" spans="1:25">
      <c r="A1778" s="876"/>
      <c r="B1778" s="1202">
        <v>1528</v>
      </c>
      <c r="C1778" s="880">
        <v>0.9889378369793177</v>
      </c>
      <c r="D1778" s="880">
        <v>1.0153181021305806</v>
      </c>
      <c r="E1778" s="880">
        <v>1.0264158864659731</v>
      </c>
      <c r="F1778" s="880">
        <v>0.99291970123988782</v>
      </c>
      <c r="G1778" s="880">
        <v>0.99780189219983684</v>
      </c>
      <c r="H1778" s="880">
        <v>1.0002375251289006</v>
      </c>
      <c r="I1778" s="880">
        <v>1.0309957184181562</v>
      </c>
      <c r="K1778">
        <v>1.0789111222938346</v>
      </c>
      <c r="L1778">
        <v>0</v>
      </c>
      <c r="M1778">
        <v>6.5481471757621685E-4</v>
      </c>
      <c r="N1778">
        <v>7.0831470183643996E-2</v>
      </c>
      <c r="O1778">
        <v>8.8141440373821055E-3</v>
      </c>
      <c r="P1778">
        <v>1.2924678282839259E-2</v>
      </c>
      <c r="Q1778">
        <v>3.0458322413748008E-3</v>
      </c>
      <c r="R1778">
        <v>6.437420667505067E-4</v>
      </c>
      <c r="S1778">
        <v>8.8448181491546901E-2</v>
      </c>
      <c r="T1778">
        <v>0.81371593584581803</v>
      </c>
      <c r="U1778">
        <v>1.709978952530062E-2</v>
      </c>
      <c r="V1778">
        <v>1.0414222220493085E-2</v>
      </c>
      <c r="W1778">
        <v>4.1587635421877205E-2</v>
      </c>
      <c r="X1778">
        <v>1.028825199820378E-2</v>
      </c>
      <c r="Y1778">
        <v>1.752053696179608E-3</v>
      </c>
    </row>
    <row r="1779" spans="1:25">
      <c r="A1779" s="876"/>
      <c r="B1779" s="1202">
        <v>1529</v>
      </c>
      <c r="C1779" s="880">
        <v>1.0058766543632363</v>
      </c>
      <c r="D1779" s="880">
        <v>1.0043228178718919</v>
      </c>
      <c r="E1779" s="880">
        <v>1.0207554787730189</v>
      </c>
      <c r="F1779" s="880">
        <v>1.011733787812519</v>
      </c>
      <c r="G1779" s="880">
        <v>0.99899371117927838</v>
      </c>
      <c r="H1779" s="880">
        <v>0.99460351199287467</v>
      </c>
      <c r="I1779" s="880">
        <v>1.0040691286918337</v>
      </c>
      <c r="K1779">
        <v>1.0727460954073476</v>
      </c>
      <c r="L1779">
        <v>0</v>
      </c>
      <c r="M1779">
        <v>6.5162621685555878E-4</v>
      </c>
      <c r="N1779">
        <v>6.9252487810963007E-2</v>
      </c>
      <c r="O1779">
        <v>8.7161316066363976E-3</v>
      </c>
      <c r="P1779">
        <v>1.2825017224102127E-2</v>
      </c>
      <c r="Q1779">
        <v>2.9926700286839508E-3</v>
      </c>
      <c r="R1779">
        <v>6.405538844536146E-4</v>
      </c>
      <c r="S1779">
        <v>8.4947061467802815E-2</v>
      </c>
      <c r="T1779">
        <v>0.81416838544064063</v>
      </c>
      <c r="U1779">
        <v>1.6811831542762598E-2</v>
      </c>
      <c r="V1779">
        <v>1.0412566841014928E-2</v>
      </c>
      <c r="W1779">
        <v>4.0815773050712822E-2</v>
      </c>
      <c r="X1779">
        <v>1.0071866211479546E-2</v>
      </c>
      <c r="Y1779">
        <v>1.7433765149514791E-3</v>
      </c>
    </row>
    <row r="1780" spans="1:25">
      <c r="A1780" s="876"/>
      <c r="B1780" s="1202">
        <v>1530</v>
      </c>
      <c r="C1780" s="880">
        <v>1.0020431071097418</v>
      </c>
      <c r="D1780" s="880">
        <v>0.97592151260579729</v>
      </c>
      <c r="E1780" s="880">
        <v>1.0008168864226341</v>
      </c>
      <c r="F1780" s="880">
        <v>0.98435809465437407</v>
      </c>
      <c r="G1780" s="880">
        <v>1.0386069450532778</v>
      </c>
      <c r="H1780" s="880">
        <v>0.99741114674827869</v>
      </c>
      <c r="I1780" s="880">
        <v>0.96417036258611133</v>
      </c>
      <c r="K1780">
        <v>1.0731991154160725</v>
      </c>
      <c r="L1780">
        <v>0</v>
      </c>
      <c r="M1780">
        <v>6.9467434565466109E-4</v>
      </c>
      <c r="N1780">
        <v>6.939636881200334E-2</v>
      </c>
      <c r="O1780">
        <v>8.8844827267152565E-3</v>
      </c>
      <c r="P1780">
        <v>1.2635615169427865E-2</v>
      </c>
      <c r="Q1780">
        <v>2.9838722594378204E-3</v>
      </c>
      <c r="R1780">
        <v>6.8292864838560895E-4</v>
      </c>
      <c r="S1780">
        <v>8.3161062566361285E-2</v>
      </c>
      <c r="T1780">
        <v>0.81577081865958678</v>
      </c>
      <c r="U1780">
        <v>1.6876149085770162E-2</v>
      </c>
      <c r="V1780">
        <v>1.041293658225232E-2</v>
      </c>
      <c r="W1780">
        <v>4.1458163789125223E-2</v>
      </c>
      <c r="X1780">
        <v>9.772684809124162E-3</v>
      </c>
      <c r="Y1780">
        <v>1.8587066535371915E-3</v>
      </c>
    </row>
    <row r="1781" spans="1:25">
      <c r="A1781" s="876"/>
      <c r="B1781" s="1202">
        <v>1531</v>
      </c>
      <c r="C1781" s="880">
        <v>1.0161549334105464</v>
      </c>
      <c r="D1781" s="880">
        <v>0.97805456041009053</v>
      </c>
      <c r="E1781" s="880">
        <v>1.0158228871957837</v>
      </c>
      <c r="F1781" s="880">
        <v>1.0114289319960783</v>
      </c>
      <c r="G1781" s="880">
        <v>1.0167838619849294</v>
      </c>
      <c r="H1781" s="880">
        <v>0.96012916062084985</v>
      </c>
      <c r="I1781" s="880">
        <v>1.0096152075735407</v>
      </c>
      <c r="K1781">
        <v>1.0683628459132051</v>
      </c>
      <c r="L1781">
        <v>0</v>
      </c>
      <c r="M1781">
        <v>6.3813955406647957E-4</v>
      </c>
      <c r="N1781">
        <v>6.674864508757293E-2</v>
      </c>
      <c r="O1781">
        <v>8.7508825986958496E-3</v>
      </c>
      <c r="P1781">
        <v>1.2774676820959169E-2</v>
      </c>
      <c r="Q1781">
        <v>2.9839546335416927E-3</v>
      </c>
      <c r="R1781">
        <v>6.2692897375472877E-4</v>
      </c>
      <c r="S1781">
        <v>8.4437682474006251E-2</v>
      </c>
      <c r="T1781">
        <v>0.81456354981360812</v>
      </c>
      <c r="U1781">
        <v>1.6641781986133551E-2</v>
      </c>
      <c r="V1781">
        <v>1.0411589279831088E-2</v>
      </c>
      <c r="W1781">
        <v>3.9471381678399205E-2</v>
      </c>
      <c r="X1781">
        <v>9.8836181212881482E-3</v>
      </c>
      <c r="Y1781">
        <v>1.7062939994797164E-3</v>
      </c>
    </row>
    <row r="1782" spans="1:25">
      <c r="A1782" s="876"/>
      <c r="B1782" s="1202">
        <v>1532</v>
      </c>
      <c r="C1782" s="880">
        <v>0.97878807700491155</v>
      </c>
      <c r="D1782" s="880">
        <v>0.99909506128419578</v>
      </c>
      <c r="E1782" s="880">
        <v>0.99012497140172517</v>
      </c>
      <c r="F1782" s="880">
        <v>1.0065045504586376</v>
      </c>
      <c r="G1782" s="880">
        <v>0.96668574955258268</v>
      </c>
      <c r="H1782" s="880">
        <v>1.0037534519777433</v>
      </c>
      <c r="I1782" s="880">
        <v>0.97553934085547456</v>
      </c>
      <c r="K1782">
        <v>1.0777136385558521</v>
      </c>
      <c r="L1782">
        <v>0</v>
      </c>
      <c r="M1782">
        <v>7.2289472003524027E-4</v>
      </c>
      <c r="N1782">
        <v>6.9857615299352874E-2</v>
      </c>
      <c r="O1782">
        <v>8.9823154049117372E-3</v>
      </c>
      <c r="P1782">
        <v>1.258172953060558E-2</v>
      </c>
      <c r="Q1782">
        <v>2.989665290552659E-3</v>
      </c>
      <c r="R1782">
        <v>7.1072803539062586E-4</v>
      </c>
      <c r="S1782">
        <v>8.5364444922880672E-2</v>
      </c>
      <c r="T1782">
        <v>0.81663567855661845</v>
      </c>
      <c r="U1782">
        <v>1.7277109584026437E-2</v>
      </c>
      <c r="V1782">
        <v>1.0415241577496782E-2</v>
      </c>
      <c r="W1782">
        <v>4.2041130393978332E-2</v>
      </c>
      <c r="X1782">
        <v>9.6465072591744253E-3</v>
      </c>
      <c r="Y1782">
        <v>1.9343674208993846E-3</v>
      </c>
    </row>
    <row r="1783" spans="1:25">
      <c r="A1783" s="876"/>
      <c r="B1783" s="1202">
        <v>1533</v>
      </c>
      <c r="C1783" s="880">
        <v>0.9914945781143929</v>
      </c>
      <c r="D1783" s="880">
        <v>0.9971497895085617</v>
      </c>
      <c r="E1783" s="880">
        <v>1.0359061542999835</v>
      </c>
      <c r="F1783" s="880">
        <v>0.96914386135603914</v>
      </c>
      <c r="G1783" s="880">
        <v>0.97742324545111636</v>
      </c>
      <c r="H1783" s="880">
        <v>0.98066820671054478</v>
      </c>
      <c r="I1783" s="880">
        <v>0.98404781621280835</v>
      </c>
      <c r="K1783">
        <v>1.0734746154911792</v>
      </c>
      <c r="L1783">
        <v>0</v>
      </c>
      <c r="M1783">
        <v>6.336722496194674E-4</v>
      </c>
      <c r="N1783">
        <v>7.0571058109740681E-2</v>
      </c>
      <c r="O1783">
        <v>8.8764246625106513E-3</v>
      </c>
      <c r="P1783">
        <v>1.2944306453621287E-2</v>
      </c>
      <c r="Q1783">
        <v>3.0920901919725689E-3</v>
      </c>
      <c r="R1783">
        <v>6.2275772959255319E-4</v>
      </c>
      <c r="S1783">
        <v>8.4267596582439999E-2</v>
      </c>
      <c r="T1783">
        <v>0.8129598102479545</v>
      </c>
      <c r="U1783">
        <v>1.7055694745313404E-2</v>
      </c>
      <c r="V1783">
        <v>1.0413968733532102E-2</v>
      </c>
      <c r="W1783">
        <v>4.1172276799109224E-2</v>
      </c>
      <c r="X1783">
        <v>1.043736223709045E-2</v>
      </c>
      <c r="Y1783">
        <v>1.6949412479205428E-3</v>
      </c>
    </row>
    <row r="1784" spans="1:25">
      <c r="A1784" s="876"/>
      <c r="B1784" s="1202">
        <v>1534</v>
      </c>
      <c r="C1784" s="880">
        <v>0.9681791311587612</v>
      </c>
      <c r="D1784" s="880">
        <v>1.0056343592220605</v>
      </c>
      <c r="E1784" s="880">
        <v>1.0344950954312591</v>
      </c>
      <c r="F1784" s="880">
        <v>0.98901177044774602</v>
      </c>
      <c r="G1784" s="880">
        <v>1.0022158033469439</v>
      </c>
      <c r="H1784" s="880">
        <v>1.0309668291701142</v>
      </c>
      <c r="I1784" s="880">
        <v>1.0165990116795198</v>
      </c>
      <c r="K1784">
        <v>1.089124496479863</v>
      </c>
      <c r="L1784">
        <v>0</v>
      </c>
      <c r="M1784">
        <v>6.8118011700304525E-4</v>
      </c>
      <c r="N1784">
        <v>7.559429411375293E-2</v>
      </c>
      <c r="O1784">
        <v>9.0492105190936607E-3</v>
      </c>
      <c r="P1784">
        <v>1.302790860970165E-2</v>
      </c>
      <c r="Q1784">
        <v>3.1498892667736998E-3</v>
      </c>
      <c r="R1784">
        <v>6.7001278692409739E-4</v>
      </c>
      <c r="S1784">
        <v>9.06590065938917E-2</v>
      </c>
      <c r="T1784">
        <v>0.81307203999425626</v>
      </c>
      <c r="U1784">
        <v>1.7466425707516518E-2</v>
      </c>
      <c r="V1784">
        <v>1.041632989608739E-2</v>
      </c>
      <c r="W1784">
        <v>4.4144484818833873E-2</v>
      </c>
      <c r="X1784">
        <v>1.0732520353682122E-2</v>
      </c>
      <c r="Y1784">
        <v>1.8235539363515442E-3</v>
      </c>
    </row>
    <row r="1785" spans="1:25">
      <c r="A1785" s="876"/>
      <c r="B1785" s="1202">
        <v>1535</v>
      </c>
      <c r="C1785" s="880">
        <v>0.99886117442568589</v>
      </c>
      <c r="D1785" s="880">
        <v>0.99633758713438292</v>
      </c>
      <c r="E1785" s="880">
        <v>1.0101232086528846</v>
      </c>
      <c r="F1785" s="880">
        <v>0.99634175147005566</v>
      </c>
      <c r="G1785" s="880">
        <v>1.0183041123439447</v>
      </c>
      <c r="H1785" s="880">
        <v>0.96298812064606476</v>
      </c>
      <c r="I1785" s="880">
        <v>1.0436347838103563</v>
      </c>
      <c r="K1785">
        <v>1.0734770497014212</v>
      </c>
      <c r="L1785">
        <v>0</v>
      </c>
      <c r="M1785">
        <v>6.5253017874827184E-4</v>
      </c>
      <c r="N1785">
        <v>6.7057319637437329E-2</v>
      </c>
      <c r="O1785">
        <v>8.8147917770990958E-3</v>
      </c>
      <c r="P1785">
        <v>1.278146890080735E-2</v>
      </c>
      <c r="Q1785">
        <v>2.9928583327736504E-3</v>
      </c>
      <c r="R1785">
        <v>6.4108518132036292E-4</v>
      </c>
      <c r="S1785">
        <v>8.8085384489574106E-2</v>
      </c>
      <c r="T1785">
        <v>0.81502120008309276</v>
      </c>
      <c r="U1785">
        <v>1.6929909079382785E-2</v>
      </c>
      <c r="V1785">
        <v>1.0413245631473278E-2</v>
      </c>
      <c r="W1785">
        <v>3.9807467439938758E-2</v>
      </c>
      <c r="X1785">
        <v>9.840026797389205E-3</v>
      </c>
      <c r="Y1785">
        <v>1.7448225298808027E-3</v>
      </c>
    </row>
    <row r="1786" spans="1:25">
      <c r="A1786" s="876"/>
      <c r="B1786" s="1202">
        <v>1536</v>
      </c>
      <c r="C1786" s="880">
        <v>1.0225437341531329</v>
      </c>
      <c r="D1786" s="880">
        <v>1.035653571895472</v>
      </c>
      <c r="E1786" s="880">
        <v>1.0332416537870361</v>
      </c>
      <c r="F1786" s="880">
        <v>1.0367494950139173</v>
      </c>
      <c r="G1786" s="880">
        <v>1.0190261009433332</v>
      </c>
      <c r="H1786" s="880">
        <v>0.96177293156832067</v>
      </c>
      <c r="I1786" s="880">
        <v>1.0080202897793507</v>
      </c>
      <c r="K1786">
        <v>1.0613470811808259</v>
      </c>
      <c r="L1786">
        <v>0</v>
      </c>
      <c r="M1786">
        <v>5.9392678012799285E-4</v>
      </c>
      <c r="N1786">
        <v>6.5574183888824855E-2</v>
      </c>
      <c r="O1786">
        <v>8.4350082074983734E-3</v>
      </c>
      <c r="P1786">
        <v>1.2876106650317938E-2</v>
      </c>
      <c r="Q1786">
        <v>2.9388593736401659E-3</v>
      </c>
      <c r="R1786">
        <v>5.8346700839982159E-4</v>
      </c>
      <c r="S1786">
        <v>8.1484577513324108E-2</v>
      </c>
      <c r="T1786">
        <v>0.81317179056650923</v>
      </c>
      <c r="U1786">
        <v>1.6537804986852429E-2</v>
      </c>
      <c r="V1786">
        <v>1.0410991548907674E-2</v>
      </c>
      <c r="W1786">
        <v>3.8325174581859994E-2</v>
      </c>
      <c r="X1786">
        <v>1.0015038777802146E-2</v>
      </c>
      <c r="Y1786">
        <v>1.5880048570166873E-3</v>
      </c>
    </row>
    <row r="1787" spans="1:25">
      <c r="A1787" s="876"/>
      <c r="B1787" s="1202">
        <v>1537</v>
      </c>
      <c r="C1787" s="880">
        <v>1.031254952441822</v>
      </c>
      <c r="D1787" s="880">
        <v>1.0464255711524939</v>
      </c>
      <c r="E1787" s="880">
        <v>0.9741753536595481</v>
      </c>
      <c r="F1787" s="880">
        <v>1.0241984681043657</v>
      </c>
      <c r="G1787" s="880">
        <v>1.0067562123980085</v>
      </c>
      <c r="H1787" s="880">
        <v>0.98146841702735543</v>
      </c>
      <c r="I1787" s="880">
        <v>0.99591553627718321</v>
      </c>
      <c r="K1787">
        <v>1.0589871027322533</v>
      </c>
      <c r="L1787">
        <v>0</v>
      </c>
      <c r="M1787">
        <v>6.7689594616325479E-4</v>
      </c>
      <c r="N1787">
        <v>6.2213904061594633E-2</v>
      </c>
      <c r="O1787">
        <v>8.317907386989563E-3</v>
      </c>
      <c r="P1787">
        <v>1.2365146439516734E-2</v>
      </c>
      <c r="Q1787">
        <v>2.7334008975702989E-3</v>
      </c>
      <c r="R1787">
        <v>6.6520548375747991E-4</v>
      </c>
      <c r="S1787">
        <v>8.0081847224015318E-2</v>
      </c>
      <c r="T1787">
        <v>0.81793303111956839</v>
      </c>
      <c r="U1787">
        <v>1.6398106817243515E-2</v>
      </c>
      <c r="V1787">
        <v>1.0410188468260048E-2</v>
      </c>
      <c r="W1787">
        <v>3.7857098984856605E-2</v>
      </c>
      <c r="X1787">
        <v>8.8776917531848184E-3</v>
      </c>
      <c r="Y1787">
        <v>1.8104700418590737E-3</v>
      </c>
    </row>
    <row r="1788" spans="1:25">
      <c r="A1788" s="876"/>
      <c r="B1788" s="1202">
        <v>1538</v>
      </c>
      <c r="C1788" s="880">
        <v>1.0170112719909501</v>
      </c>
      <c r="D1788" s="880">
        <v>0.97650571366909766</v>
      </c>
      <c r="E1788" s="880">
        <v>1.009637520730468</v>
      </c>
      <c r="F1788" s="880">
        <v>1.0261852591238678</v>
      </c>
      <c r="G1788" s="880">
        <v>1.0107258464969688</v>
      </c>
      <c r="H1788" s="880">
        <v>1.0080208821326162</v>
      </c>
      <c r="I1788" s="880">
        <v>0.96968250931384792</v>
      </c>
      <c r="K1788">
        <v>1.0720643599181361</v>
      </c>
      <c r="L1788">
        <v>0</v>
      </c>
      <c r="M1788">
        <v>6.7877341640486038E-4</v>
      </c>
      <c r="N1788">
        <v>6.9706275611236934E-2</v>
      </c>
      <c r="O1788">
        <v>8.7509231929116128E-3</v>
      </c>
      <c r="P1788">
        <v>1.269985605784084E-2</v>
      </c>
      <c r="Q1788">
        <v>2.9652481863553268E-3</v>
      </c>
      <c r="R1788">
        <v>6.6741686842528675E-4</v>
      </c>
      <c r="S1788">
        <v>8.2747220405680069E-2</v>
      </c>
      <c r="T1788">
        <v>0.81506024907728902</v>
      </c>
      <c r="U1788">
        <v>1.6627769358787285E-2</v>
      </c>
      <c r="V1788">
        <v>1.0411508725662964E-2</v>
      </c>
      <c r="W1788">
        <v>4.1393635835065869E-2</v>
      </c>
      <c r="X1788">
        <v>9.8965413133418906E-3</v>
      </c>
      <c r="Y1788">
        <v>1.8164887019420839E-3</v>
      </c>
    </row>
    <row r="1789" spans="1:25">
      <c r="A1789" s="876"/>
      <c r="B1789" s="1202">
        <v>1539</v>
      </c>
      <c r="C1789" s="880">
        <v>0.99400814406271953</v>
      </c>
      <c r="D1789" s="880">
        <v>1.0002069525012987</v>
      </c>
      <c r="E1789" s="880">
        <v>0.98318563467909814</v>
      </c>
      <c r="F1789" s="880">
        <v>1.0219050385136141</v>
      </c>
      <c r="G1789" s="880">
        <v>0.99554557534901233</v>
      </c>
      <c r="H1789" s="880">
        <v>0.98360679062330414</v>
      </c>
      <c r="I1789" s="880">
        <v>0.99650257841466905</v>
      </c>
      <c r="K1789">
        <v>1.0725563468673491</v>
      </c>
      <c r="L1789">
        <v>0</v>
      </c>
      <c r="M1789">
        <v>7.0736685585753324E-4</v>
      </c>
      <c r="N1789">
        <v>6.6872137430644865E-2</v>
      </c>
      <c r="O1789">
        <v>8.83953503682482E-3</v>
      </c>
      <c r="P1789">
        <v>1.2516262554301518E-2</v>
      </c>
      <c r="Q1789">
        <v>2.9217829521614382E-3</v>
      </c>
      <c r="R1789">
        <v>6.9521667018646255E-4</v>
      </c>
      <c r="S1789">
        <v>8.5094035921733507E-2</v>
      </c>
      <c r="T1789">
        <v>0.81719907052216478</v>
      </c>
      <c r="U1789">
        <v>1.7012565708803037E-2</v>
      </c>
      <c r="V1789">
        <v>1.0413720798325287E-2</v>
      </c>
      <c r="W1789">
        <v>4.0437778040465687E-2</v>
      </c>
      <c r="X1789">
        <v>9.369457489461849E-3</v>
      </c>
      <c r="Y1789">
        <v>1.8921505981338168E-3</v>
      </c>
    </row>
    <row r="1790" spans="1:25">
      <c r="A1790" s="876"/>
      <c r="B1790" s="1202">
        <v>1540</v>
      </c>
      <c r="C1790" s="880">
        <v>0.99628830641915056</v>
      </c>
      <c r="D1790" s="880">
        <v>1.0349590582753487</v>
      </c>
      <c r="E1790" s="880">
        <v>0.98558313970397315</v>
      </c>
      <c r="F1790" s="880">
        <v>0.99596724796838665</v>
      </c>
      <c r="G1790" s="880">
        <v>1.0080637756763036</v>
      </c>
      <c r="H1790" s="880">
        <v>0.97313097301228546</v>
      </c>
      <c r="I1790" s="880">
        <v>1.0301855289777868</v>
      </c>
      <c r="K1790">
        <v>1.0696763901951631</v>
      </c>
      <c r="L1790">
        <v>0</v>
      </c>
      <c r="M1790">
        <v>6.8223420404839026E-4</v>
      </c>
      <c r="N1790">
        <v>6.4964523815951802E-2</v>
      </c>
      <c r="O1790">
        <v>8.6603853607341245E-3</v>
      </c>
      <c r="P1790">
        <v>1.2546894739773664E-2</v>
      </c>
      <c r="Q1790">
        <v>2.8768095949734287E-3</v>
      </c>
      <c r="R1790">
        <v>6.7036004204268536E-4</v>
      </c>
      <c r="S1790">
        <v>8.5911674418191614E-2</v>
      </c>
      <c r="T1790">
        <v>0.81700423703591274</v>
      </c>
      <c r="U1790">
        <v>1.6973629778645506E-2</v>
      </c>
      <c r="V1790">
        <v>1.0413496967962359E-2</v>
      </c>
      <c r="W1790">
        <v>3.9219139746231271E-2</v>
      </c>
      <c r="X1790">
        <v>9.2929738484790036E-3</v>
      </c>
      <c r="Y1790">
        <v>1.8244990503117218E-3</v>
      </c>
    </row>
    <row r="1791" spans="1:25">
      <c r="A1791" s="876"/>
      <c r="B1791" s="1202">
        <v>1541</v>
      </c>
      <c r="C1791" s="880">
        <v>1.0270672721140679</v>
      </c>
      <c r="D1791" s="880">
        <v>0.98350441155072665</v>
      </c>
      <c r="E1791" s="880">
        <v>1.0330791359180915</v>
      </c>
      <c r="F1791" s="880">
        <v>0.99073275316811538</v>
      </c>
      <c r="G1791" s="880">
        <v>1.0066227027636583</v>
      </c>
      <c r="H1791" s="880">
        <v>1.0051614811141774</v>
      </c>
      <c r="I1791" s="880">
        <v>1.0333035854586929</v>
      </c>
      <c r="K1791">
        <v>1.0747303827466004</v>
      </c>
      <c r="L1791">
        <v>0</v>
      </c>
      <c r="M1791">
        <v>6.3541207300994165E-4</v>
      </c>
      <c r="N1791">
        <v>7.017790768347687E-2</v>
      </c>
      <c r="O1791">
        <v>8.6322421142787254E-3</v>
      </c>
      <c r="P1791">
        <v>1.2949448729966749E-2</v>
      </c>
      <c r="Q1791">
        <v>2.9955595902249276E-3</v>
      </c>
      <c r="R1791">
        <v>6.2474511929010992E-4</v>
      </c>
      <c r="S1791">
        <v>8.6898350957146028E-2</v>
      </c>
      <c r="T1791">
        <v>0.81318472788711871</v>
      </c>
      <c r="U1791">
        <v>1.646496712055124E-2</v>
      </c>
      <c r="V1791">
        <v>1.0410572827023167E-2</v>
      </c>
      <c r="W1791">
        <v>4.1020302365773052E-2</v>
      </c>
      <c r="X1791">
        <v>1.0306620157225485E-2</v>
      </c>
      <c r="Y1791">
        <v>1.7003502675344544E-3</v>
      </c>
    </row>
    <row r="1792" spans="1:25">
      <c r="A1792" s="876"/>
      <c r="B1792" s="1202">
        <v>1542</v>
      </c>
      <c r="C1792" s="880">
        <v>1.0229117972509394</v>
      </c>
      <c r="D1792" s="880">
        <v>0.96677205146924561</v>
      </c>
      <c r="E1792" s="880">
        <v>1.0275499601608877</v>
      </c>
      <c r="F1792" s="880">
        <v>0.97810498111133226</v>
      </c>
      <c r="G1792" s="880">
        <v>0.98429681921975432</v>
      </c>
      <c r="H1792" s="880">
        <v>0.98172415520139822</v>
      </c>
      <c r="I1792" s="880">
        <v>1.0079390147138492</v>
      </c>
      <c r="K1792">
        <v>1.0716418887704633</v>
      </c>
      <c r="L1792">
        <v>0</v>
      </c>
      <c r="M1792">
        <v>6.3624464071568103E-4</v>
      </c>
      <c r="N1792">
        <v>6.9047467182122332E-2</v>
      </c>
      <c r="O1792">
        <v>8.7471772704441411E-3</v>
      </c>
      <c r="P1792">
        <v>1.287815376663301E-2</v>
      </c>
      <c r="Q1792">
        <v>3.0149897589032333E-3</v>
      </c>
      <c r="R1792">
        <v>6.2532263919911398E-4</v>
      </c>
      <c r="S1792">
        <v>8.5001672457472435E-2</v>
      </c>
      <c r="T1792">
        <v>0.81362541813226674</v>
      </c>
      <c r="U1792">
        <v>1.6531854370434942E-2</v>
      </c>
      <c r="V1792">
        <v>1.0410957340693651E-2</v>
      </c>
      <c r="W1792">
        <v>4.0509323172942355E-2</v>
      </c>
      <c r="X1792">
        <v>1.0183875233718304E-2</v>
      </c>
      <c r="Y1792">
        <v>1.7019220863473763E-3</v>
      </c>
    </row>
    <row r="1793" spans="1:25">
      <c r="A1793" s="876"/>
      <c r="B1793" s="1202">
        <v>1543</v>
      </c>
      <c r="C1793" s="880">
        <v>1.0205801226355702</v>
      </c>
      <c r="D1793" s="880">
        <v>0.99342466999596057</v>
      </c>
      <c r="E1793" s="880">
        <v>0.96389932525221289</v>
      </c>
      <c r="F1793" s="880">
        <v>1.0169920500447713</v>
      </c>
      <c r="G1793" s="880">
        <v>1.0103492793500624</v>
      </c>
      <c r="H1793" s="880">
        <v>0.98480118691935381</v>
      </c>
      <c r="I1793" s="880">
        <v>0.98911408433911963</v>
      </c>
      <c r="K1793">
        <v>1.0663915468674479</v>
      </c>
      <c r="L1793">
        <v>0</v>
      </c>
      <c r="M1793">
        <v>7.2086299804818203E-4</v>
      </c>
      <c r="N1793">
        <v>6.4173626329719846E-2</v>
      </c>
      <c r="O1793">
        <v>8.6406916179499124E-3</v>
      </c>
      <c r="P1793">
        <v>1.2314604782085049E-2</v>
      </c>
      <c r="Q1793">
        <v>2.7989942621577902E-3</v>
      </c>
      <c r="R1793">
        <v>7.0850219690734651E-4</v>
      </c>
      <c r="S1793">
        <v>8.2584801051206927E-2</v>
      </c>
      <c r="T1793">
        <v>0.81877344469421498</v>
      </c>
      <c r="U1793">
        <v>1.6569623972571595E-2</v>
      </c>
      <c r="V1793">
        <v>1.0411174466205243E-2</v>
      </c>
      <c r="W1793">
        <v>3.933119467866561E-2</v>
      </c>
      <c r="X1793">
        <v>8.8774423915142266E-3</v>
      </c>
      <c r="Y1793">
        <v>1.9283094222953569E-3</v>
      </c>
    </row>
    <row r="1794" spans="1:25">
      <c r="A1794" s="876"/>
      <c r="B1794" s="1202">
        <v>1544</v>
      </c>
      <c r="C1794" s="880">
        <v>0.98043882245382119</v>
      </c>
      <c r="D1794" s="880">
        <v>1.0069827218569425</v>
      </c>
      <c r="E1794" s="880">
        <v>1.0136433836117014</v>
      </c>
      <c r="F1794" s="880">
        <v>1.0265164584948894</v>
      </c>
      <c r="G1794" s="880">
        <v>0.99483689402841347</v>
      </c>
      <c r="H1794" s="880">
        <v>0.99189452910192444</v>
      </c>
      <c r="I1794" s="880">
        <v>0.98121121229052022</v>
      </c>
      <c r="K1794">
        <v>1.0758194501783531</v>
      </c>
      <c r="L1794">
        <v>0</v>
      </c>
      <c r="M1794">
        <v>6.7584841805341204E-4</v>
      </c>
      <c r="N1794">
        <v>7.0253339388678837E-2</v>
      </c>
      <c r="O1794">
        <v>8.9296775885006775E-3</v>
      </c>
      <c r="P1794">
        <v>1.2772164921776453E-2</v>
      </c>
      <c r="Q1794">
        <v>3.0449560117304444E-3</v>
      </c>
      <c r="R1794">
        <v>6.6433091060045136E-4</v>
      </c>
      <c r="S1794">
        <v>8.4958405410743121E-2</v>
      </c>
      <c r="T1794">
        <v>0.81473842033701827</v>
      </c>
      <c r="U1794">
        <v>1.7248020456420533E-2</v>
      </c>
      <c r="V1794">
        <v>1.0415074353291186E-2</v>
      </c>
      <c r="W1794">
        <v>4.1605227182169774E-2</v>
      </c>
      <c r="X1794">
        <v>1.0057592293448147E-2</v>
      </c>
      <c r="Y1794">
        <v>1.808089742028606E-3</v>
      </c>
    </row>
    <row r="1795" spans="1:25">
      <c r="A1795" s="876"/>
      <c r="B1795" s="1202">
        <v>1545</v>
      </c>
      <c r="C1795" s="880">
        <v>0.99805743657712021</v>
      </c>
      <c r="D1795" s="880">
        <v>1.0152390791788728</v>
      </c>
      <c r="E1795" s="880">
        <v>1.0228454599698547</v>
      </c>
      <c r="F1795" s="880">
        <v>1.0033076124821323</v>
      </c>
      <c r="G1795" s="880">
        <v>1.003532189253947</v>
      </c>
      <c r="H1795" s="880">
        <v>1.0134838367614556</v>
      </c>
      <c r="I1795" s="880">
        <v>1.0228964683478785</v>
      </c>
      <c r="K1795">
        <v>1.0779735847893566</v>
      </c>
      <c r="L1795">
        <v>0</v>
      </c>
      <c r="M1795">
        <v>6.6243195042427704E-4</v>
      </c>
      <c r="N1795">
        <v>7.0881256183492031E-2</v>
      </c>
      <c r="O1795">
        <v>8.7339681061236393E-3</v>
      </c>
      <c r="P1795">
        <v>1.287873719726937E-2</v>
      </c>
      <c r="Q1795">
        <v>3.0074423765723913E-3</v>
      </c>
      <c r="R1795">
        <v>6.5137696193271757E-4</v>
      </c>
      <c r="S1795">
        <v>8.7436397885239756E-2</v>
      </c>
      <c r="T1795">
        <v>0.8140012011024903</v>
      </c>
      <c r="U1795">
        <v>1.6943542772396042E-2</v>
      </c>
      <c r="V1795">
        <v>1.0413324007267655E-2</v>
      </c>
      <c r="W1795">
        <v>4.1716930270262319E-2</v>
      </c>
      <c r="X1795">
        <v>1.0199006512710893E-2</v>
      </c>
      <c r="Y1795">
        <v>1.7728333640230653E-3</v>
      </c>
    </row>
    <row r="1796" spans="1:25">
      <c r="A1796" s="876"/>
      <c r="B1796" s="1202">
        <v>1546</v>
      </c>
      <c r="C1796" s="880">
        <v>0.99183841301165299</v>
      </c>
      <c r="D1796" s="880">
        <v>1.0059955258824278</v>
      </c>
      <c r="E1796" s="880">
        <v>1.0135213516483605</v>
      </c>
      <c r="F1796" s="880">
        <v>0.98467859651155432</v>
      </c>
      <c r="G1796" s="880">
        <v>1.0432256317832242</v>
      </c>
      <c r="H1796" s="880">
        <v>0.98270827053825527</v>
      </c>
      <c r="I1796" s="880">
        <v>1.0412855795671334</v>
      </c>
      <c r="K1796">
        <v>1.0770212794637823</v>
      </c>
      <c r="L1796">
        <v>0</v>
      </c>
      <c r="M1796">
        <v>6.6240913823708517E-4</v>
      </c>
      <c r="N1796">
        <v>6.8819169325398666E-2</v>
      </c>
      <c r="O1796">
        <v>8.8316605830132781E-3</v>
      </c>
      <c r="P1796">
        <v>1.2821682750824492E-2</v>
      </c>
      <c r="Q1796">
        <v>3.0109463233948821E-3</v>
      </c>
      <c r="R1796">
        <v>6.5101595168506941E-4</v>
      </c>
      <c r="S1796">
        <v>8.8823498677635337E-2</v>
      </c>
      <c r="T1796">
        <v>0.81474821624605298</v>
      </c>
      <c r="U1796">
        <v>1.7049782146069874E-2</v>
      </c>
      <c r="V1796">
        <v>1.0413934743866777E-2</v>
      </c>
      <c r="W1796">
        <v>4.0759258346266501E-2</v>
      </c>
      <c r="X1796">
        <v>9.9826726946756084E-3</v>
      </c>
      <c r="Y1796">
        <v>1.7718508131359626E-3</v>
      </c>
    </row>
    <row r="1797" spans="1:25">
      <c r="A1797" s="876"/>
      <c r="B1797" s="1202">
        <v>1547</v>
      </c>
      <c r="C1797" s="880">
        <v>1.0320644403268637</v>
      </c>
      <c r="D1797" s="880">
        <v>0.98684451489612623</v>
      </c>
      <c r="E1797" s="880">
        <v>1.0221657410038334</v>
      </c>
      <c r="F1797" s="880">
        <v>1.0049391820166134</v>
      </c>
      <c r="G1797" s="880">
        <v>1.0210495943612901</v>
      </c>
      <c r="H1797" s="880">
        <v>1.0164770452193357</v>
      </c>
      <c r="I1797" s="880">
        <v>0.98647377062614339</v>
      </c>
      <c r="K1797">
        <v>1.0706035607037221</v>
      </c>
      <c r="L1797">
        <v>0</v>
      </c>
      <c r="M1797">
        <v>6.532028235456468E-4</v>
      </c>
      <c r="N1797">
        <v>6.9752264315173521E-2</v>
      </c>
      <c r="O1797">
        <v>8.5749061415815783E-3</v>
      </c>
      <c r="P1797">
        <v>1.2801088822243928E-2</v>
      </c>
      <c r="Q1797">
        <v>2.9444368058934669E-3</v>
      </c>
      <c r="R1797">
        <v>6.4235656172789322E-4</v>
      </c>
      <c r="S1797">
        <v>8.2808269862007372E-2</v>
      </c>
      <c r="T1797">
        <v>0.81405555767032212</v>
      </c>
      <c r="U1797">
        <v>1.638524515058053E-2</v>
      </c>
      <c r="V1797">
        <v>1.0410114530601288E-2</v>
      </c>
      <c r="W1797">
        <v>4.1071266507944418E-2</v>
      </c>
      <c r="X1797">
        <v>1.0062974350952412E-2</v>
      </c>
      <c r="Y1797">
        <v>1.7482828082396617E-3</v>
      </c>
    </row>
    <row r="1798" spans="1:25">
      <c r="A1798" s="876"/>
      <c r="B1798" s="1202">
        <v>1548</v>
      </c>
      <c r="C1798" s="880">
        <v>0.97721328666279528</v>
      </c>
      <c r="D1798" s="880">
        <v>0.98792964323394283</v>
      </c>
      <c r="E1798" s="880">
        <v>0.99056182371322543</v>
      </c>
      <c r="F1798" s="880">
        <v>0.99397166555800176</v>
      </c>
      <c r="G1798" s="880">
        <v>0.9732935557844814</v>
      </c>
      <c r="H1798" s="880">
        <v>0.9700269893064678</v>
      </c>
      <c r="I1798" s="880">
        <v>1.0077725488873022</v>
      </c>
      <c r="K1798">
        <v>1.0769866949984204</v>
      </c>
      <c r="L1798">
        <v>0</v>
      </c>
      <c r="M1798">
        <v>7.0328345408667437E-4</v>
      </c>
      <c r="N1798">
        <v>6.8015450155283846E-2</v>
      </c>
      <c r="O1798">
        <v>9.050904811805191E-3</v>
      </c>
      <c r="P1798">
        <v>1.2615684059600353E-2</v>
      </c>
      <c r="Q1798">
        <v>3.0112888495017662E-3</v>
      </c>
      <c r="R1798">
        <v>6.9104542650567718E-4</v>
      </c>
      <c r="S1798">
        <v>8.7571748297998034E-2</v>
      </c>
      <c r="T1798">
        <v>0.81660026593039992</v>
      </c>
      <c r="U1798">
        <v>1.7304951842910903E-2</v>
      </c>
      <c r="V1798">
        <v>1.0415401633847975E-2</v>
      </c>
      <c r="W1798">
        <v>4.0920177593058764E-2</v>
      </c>
      <c r="X1798">
        <v>9.6122620037098101E-3</v>
      </c>
      <c r="Y1798">
        <v>1.8807978478848292E-3</v>
      </c>
    </row>
    <row r="1799" spans="1:25">
      <c r="A1799" s="876"/>
      <c r="B1799" s="1202">
        <v>1549</v>
      </c>
      <c r="C1799" s="880">
        <v>0.97778620979790987</v>
      </c>
      <c r="D1799" s="880">
        <v>1.0290013276055228</v>
      </c>
      <c r="E1799" s="880">
        <v>0.97359908917998095</v>
      </c>
      <c r="F1799" s="880">
        <v>1.0199216458843237</v>
      </c>
      <c r="G1799" s="880">
        <v>0.97400433113965079</v>
      </c>
      <c r="H1799" s="880">
        <v>1.0249140676652824</v>
      </c>
      <c r="I1799" s="880">
        <v>0.98240691464683816</v>
      </c>
      <c r="K1799">
        <v>1.0779755604767549</v>
      </c>
      <c r="L1799">
        <v>0</v>
      </c>
      <c r="M1799">
        <v>7.5308870029387287E-4</v>
      </c>
      <c r="N1799">
        <v>6.9145483834820887E-2</v>
      </c>
      <c r="O1799">
        <v>8.8513878539944607E-3</v>
      </c>
      <c r="P1799">
        <v>1.2445537434908621E-2</v>
      </c>
      <c r="Q1799">
        <v>2.9034167189346161E-3</v>
      </c>
      <c r="R1799">
        <v>7.4064877270771238E-4</v>
      </c>
      <c r="S1799">
        <v>8.5548992234392093E-2</v>
      </c>
      <c r="T1799">
        <v>0.81798006593062922</v>
      </c>
      <c r="U1799">
        <v>1.7294812195651096E-2</v>
      </c>
      <c r="V1799">
        <v>1.0415343344218906E-2</v>
      </c>
      <c r="W1799">
        <v>4.2091858500081326E-2</v>
      </c>
      <c r="X1799">
        <v>9.2953005522020526E-3</v>
      </c>
      <c r="Y1799">
        <v>2.0158018045080884E-3</v>
      </c>
    </row>
    <row r="1800" spans="1:25">
      <c r="A1800" s="876"/>
      <c r="B1800" s="1202">
        <v>1550</v>
      </c>
      <c r="C1800" s="880">
        <v>0.9789022337187574</v>
      </c>
      <c r="D1800" s="880">
        <v>1.0317063352191607</v>
      </c>
      <c r="E1800" s="880">
        <v>1.0187331543618114</v>
      </c>
      <c r="F1800" s="880">
        <v>0.97555418941183558</v>
      </c>
      <c r="G1800" s="880">
        <v>1.0001563087059075</v>
      </c>
      <c r="H1800" s="880">
        <v>0.96485011429516709</v>
      </c>
      <c r="I1800" s="880">
        <v>0.98253482805798664</v>
      </c>
      <c r="K1800">
        <v>1.069554919620112</v>
      </c>
      <c r="L1800">
        <v>0</v>
      </c>
      <c r="M1800">
        <v>6.4307872742961399E-4</v>
      </c>
      <c r="N1800">
        <v>6.7877490061725193E-2</v>
      </c>
      <c r="O1800">
        <v>8.8289625704066066E-3</v>
      </c>
      <c r="P1800">
        <v>1.2790940080079499E-2</v>
      </c>
      <c r="Q1800">
        <v>3.031359019266796E-3</v>
      </c>
      <c r="R1800">
        <v>6.3179256995098555E-4</v>
      </c>
      <c r="S1800">
        <v>8.3231137691374635E-2</v>
      </c>
      <c r="T1800">
        <v>0.81433029947554636</v>
      </c>
      <c r="U1800">
        <v>1.7275094778066342E-2</v>
      </c>
      <c r="V1800">
        <v>1.0415229995013788E-2</v>
      </c>
      <c r="W1800">
        <v>4.0060021140549476E-2</v>
      </c>
      <c r="X1800">
        <v>1.0006139860519427E-2</v>
      </c>
      <c r="Y1800">
        <v>1.7195311050418722E-3</v>
      </c>
    </row>
    <row r="1801" spans="1:25">
      <c r="A1801" s="876"/>
      <c r="B1801" s="1202">
        <v>1551</v>
      </c>
      <c r="C1801" s="880">
        <v>0.99091463496715337</v>
      </c>
      <c r="D1801" s="880">
        <v>1.0222653487415438</v>
      </c>
      <c r="E1801" s="880">
        <v>1.0022864406075316</v>
      </c>
      <c r="F1801" s="880">
        <v>0.9950581934176701</v>
      </c>
      <c r="G1801" s="880">
        <v>0.9885964097973915</v>
      </c>
      <c r="H1801" s="880">
        <v>1.0086330902223868</v>
      </c>
      <c r="I1801" s="880">
        <v>1.0026704412318024</v>
      </c>
      <c r="K1801">
        <v>1.0757476066649851</v>
      </c>
      <c r="L1801">
        <v>0</v>
      </c>
      <c r="M1801">
        <v>6.9091653890220039E-4</v>
      </c>
      <c r="N1801">
        <v>6.9346460453750897E-2</v>
      </c>
      <c r="O1801">
        <v>8.7646870429029088E-3</v>
      </c>
      <c r="P1801">
        <v>1.2687304783511167E-2</v>
      </c>
      <c r="Q1801">
        <v>2.9582247658970213E-3</v>
      </c>
      <c r="R1801">
        <v>6.7932491178818014E-4</v>
      </c>
      <c r="S1801">
        <v>8.5856298492041475E-2</v>
      </c>
      <c r="T1801">
        <v>0.81565225115744544</v>
      </c>
      <c r="U1801">
        <v>1.7065676768930661E-2</v>
      </c>
      <c r="V1801">
        <v>1.0414026117032621E-2</v>
      </c>
      <c r="W1801">
        <v>4.1386756557314233E-2</v>
      </c>
      <c r="X1801">
        <v>9.7786136827829537E-3</v>
      </c>
      <c r="Y1801">
        <v>1.8488984704904397E-3</v>
      </c>
    </row>
    <row r="1802" spans="1:25">
      <c r="A1802" s="876"/>
      <c r="B1802" s="1202">
        <v>1552</v>
      </c>
      <c r="C1802" s="880">
        <v>0.9964652030628397</v>
      </c>
      <c r="D1802" s="880">
        <v>0.99475888603146956</v>
      </c>
      <c r="E1802" s="880">
        <v>1.0224873091504187</v>
      </c>
      <c r="F1802" s="880">
        <v>1.0127979038087227</v>
      </c>
      <c r="G1802" s="880">
        <v>1.015053070077728</v>
      </c>
      <c r="H1802" s="880">
        <v>1.0212572768417996</v>
      </c>
      <c r="I1802" s="880">
        <v>1.0379549861260864</v>
      </c>
      <c r="K1802">
        <v>1.0832388653542457</v>
      </c>
      <c r="L1802">
        <v>0</v>
      </c>
      <c r="M1802">
        <v>6.7637573134381179E-4</v>
      </c>
      <c r="N1802">
        <v>7.2303956552598733E-2</v>
      </c>
      <c r="O1802">
        <v>8.8434650437233132E-3</v>
      </c>
      <c r="P1802">
        <v>1.2912572500058615E-2</v>
      </c>
      <c r="Q1802">
        <v>3.0394439021525959E-3</v>
      </c>
      <c r="R1802">
        <v>6.6519067406912503E-4</v>
      </c>
      <c r="S1802">
        <v>9.006218550853641E-2</v>
      </c>
      <c r="T1802">
        <v>0.81402984016561308</v>
      </c>
      <c r="U1802">
        <v>1.6970616549352745E-2</v>
      </c>
      <c r="V1802">
        <v>1.0413479645858989E-2</v>
      </c>
      <c r="W1802">
        <v>4.2564522304490621E-2</v>
      </c>
      <c r="X1802">
        <v>1.0299538504366032E-2</v>
      </c>
      <c r="Y1802">
        <v>1.8104297347693848E-3</v>
      </c>
    </row>
    <row r="1803" spans="1:25">
      <c r="A1803" s="876"/>
      <c r="B1803" s="1202">
        <v>1553</v>
      </c>
      <c r="C1803" s="880">
        <v>1.0321549782606183</v>
      </c>
      <c r="D1803" s="880">
        <v>0.97458744064781799</v>
      </c>
      <c r="E1803" s="880">
        <v>0.9729708825358927</v>
      </c>
      <c r="F1803" s="880">
        <v>1.0266443313835736</v>
      </c>
      <c r="G1803" s="880">
        <v>0.99754976855636679</v>
      </c>
      <c r="H1803" s="880">
        <v>0.96721596181025837</v>
      </c>
      <c r="I1803" s="880">
        <v>0.97626599154003724</v>
      </c>
      <c r="K1803">
        <v>1.0624607254472507</v>
      </c>
      <c r="L1803">
        <v>0</v>
      </c>
      <c r="M1803">
        <v>6.9391191266941494E-4</v>
      </c>
      <c r="N1803">
        <v>6.3528263362180412E-2</v>
      </c>
      <c r="O1803">
        <v>8.6315979634202372E-3</v>
      </c>
      <c r="P1803">
        <v>1.2364060954226038E-2</v>
      </c>
      <c r="Q1803">
        <v>2.8180558358546384E-3</v>
      </c>
      <c r="R1803">
        <v>6.8181405279564837E-4</v>
      </c>
      <c r="S1803">
        <v>8.0768399405366842E-2</v>
      </c>
      <c r="T1803">
        <v>0.81803135305090791</v>
      </c>
      <c r="U1803">
        <v>1.6383807879752788E-2</v>
      </c>
      <c r="V1803">
        <v>1.0410106268185334E-2</v>
      </c>
      <c r="W1803">
        <v>3.8689353486474308E-2</v>
      </c>
      <c r="X1803">
        <v>8.9921520089875848E-3</v>
      </c>
      <c r="Y1803">
        <v>1.855673091767657E-3</v>
      </c>
    </row>
    <row r="1804" spans="1:25">
      <c r="A1804" s="876"/>
      <c r="B1804" s="1202">
        <v>1554</v>
      </c>
      <c r="C1804" s="880">
        <v>1.0326919185803458</v>
      </c>
      <c r="D1804" s="880">
        <v>1.0037804034868145</v>
      </c>
      <c r="E1804" s="880">
        <v>1.0256433533347542</v>
      </c>
      <c r="F1804" s="880">
        <v>1.0096671131015049</v>
      </c>
      <c r="G1804" s="880">
        <v>0.96634347841747037</v>
      </c>
      <c r="H1804" s="880">
        <v>0.99256045174591911</v>
      </c>
      <c r="I1804" s="880">
        <v>1.0010390041901491</v>
      </c>
      <c r="K1804">
        <v>1.0663294648493236</v>
      </c>
      <c r="L1804">
        <v>0</v>
      </c>
      <c r="M1804">
        <v>6.270728782093465E-4</v>
      </c>
      <c r="N1804">
        <v>6.7660088046708436E-2</v>
      </c>
      <c r="O1804">
        <v>8.4922504688737868E-3</v>
      </c>
      <c r="P1804">
        <v>1.2824597462931343E-2</v>
      </c>
      <c r="Q1804">
        <v>2.9298608334329354E-3</v>
      </c>
      <c r="R1804">
        <v>6.1639624291589114E-4</v>
      </c>
      <c r="S1804">
        <v>8.2443114282802168E-2</v>
      </c>
      <c r="T1804">
        <v>0.81377762181374846</v>
      </c>
      <c r="U1804">
        <v>1.6375289243281414E-2</v>
      </c>
      <c r="V1804">
        <v>1.0410057297235226E-2</v>
      </c>
      <c r="W1804">
        <v>3.9746233372802517E-2</v>
      </c>
      <c r="X1804">
        <v>1.0003401284549683E-2</v>
      </c>
      <c r="Y1804">
        <v>1.6776273782501887E-3</v>
      </c>
    </row>
    <row r="1805" spans="1:25">
      <c r="A1805" s="876"/>
      <c r="B1805" s="1202">
        <v>1555</v>
      </c>
      <c r="C1805" s="880">
        <v>1.0252405637690203</v>
      </c>
      <c r="D1805" s="880">
        <v>1.0213882778967089</v>
      </c>
      <c r="E1805" s="880">
        <v>1.020742260513986</v>
      </c>
      <c r="F1805" s="880">
        <v>1.0203282013260615</v>
      </c>
      <c r="G1805" s="880">
        <v>0.99804075755459987</v>
      </c>
      <c r="H1805" s="880">
        <v>0.99705417310828048</v>
      </c>
      <c r="I1805" s="880">
        <v>1.0287965046192495</v>
      </c>
      <c r="K1805">
        <v>1.0689534883279308</v>
      </c>
      <c r="L1805">
        <v>0</v>
      </c>
      <c r="M1805">
        <v>6.3519944482940132E-4</v>
      </c>
      <c r="N1805">
        <v>6.7505372794511187E-2</v>
      </c>
      <c r="O1805">
        <v>8.4751082415747258E-3</v>
      </c>
      <c r="P1805">
        <v>1.2818021294000712E-2</v>
      </c>
      <c r="Q1805">
        <v>2.9135209798857296E-3</v>
      </c>
      <c r="R1805">
        <v>6.2441950682987849E-4</v>
      </c>
      <c r="S1805">
        <v>8.4769514810676155E-2</v>
      </c>
      <c r="T1805">
        <v>0.81416944328582608</v>
      </c>
      <c r="U1805">
        <v>1.6494303350410768E-2</v>
      </c>
      <c r="V1805">
        <v>1.0410741471741565E-2</v>
      </c>
      <c r="W1805">
        <v>3.9786419601274499E-2</v>
      </c>
      <c r="X1805">
        <v>9.9223583782725305E-3</v>
      </c>
      <c r="Y1805">
        <v>1.6994640577558237E-3</v>
      </c>
    </row>
    <row r="1806" spans="1:25">
      <c r="A1806" s="876"/>
      <c r="B1806" s="1202">
        <v>1556</v>
      </c>
      <c r="C1806" s="880">
        <v>0.98855023196391556</v>
      </c>
      <c r="D1806" s="880">
        <v>0.98437925899353995</v>
      </c>
      <c r="E1806" s="880">
        <v>0.99993474522416748</v>
      </c>
      <c r="F1806" s="880">
        <v>1.010515178476125</v>
      </c>
      <c r="G1806" s="880">
        <v>1.0085855421982242</v>
      </c>
      <c r="H1806" s="880">
        <v>1.008022872796875</v>
      </c>
      <c r="I1806" s="880">
        <v>1.0088269528232103</v>
      </c>
      <c r="K1806">
        <v>1.0809825292937831</v>
      </c>
      <c r="L1806">
        <v>0</v>
      </c>
      <c r="M1806">
        <v>7.0969936978989353E-4</v>
      </c>
      <c r="N1806">
        <v>7.0715064984978288E-2</v>
      </c>
      <c r="O1806">
        <v>8.9643235971746463E-3</v>
      </c>
      <c r="P1806">
        <v>1.2700356451028252E-2</v>
      </c>
      <c r="Q1806">
        <v>3.0099753188152136E-3</v>
      </c>
      <c r="R1806">
        <v>6.9781835948738268E-4</v>
      </c>
      <c r="S1806">
        <v>8.8211733112773208E-2</v>
      </c>
      <c r="T1806">
        <v>0.8158420273848439</v>
      </c>
      <c r="U1806">
        <v>1.710649425710687E-2</v>
      </c>
      <c r="V1806">
        <v>1.041426076387827E-2</v>
      </c>
      <c r="W1806">
        <v>4.227146812116464E-2</v>
      </c>
      <c r="X1806">
        <v>9.8594747735569338E-3</v>
      </c>
      <c r="Y1806">
        <v>1.8992315387642744E-3</v>
      </c>
    </row>
    <row r="1807" spans="1:25">
      <c r="A1807" s="876"/>
      <c r="B1807" s="1202">
        <v>1557</v>
      </c>
      <c r="C1807" s="880">
        <v>1.0150216401341692</v>
      </c>
      <c r="D1807" s="880">
        <v>0.97796944637699545</v>
      </c>
      <c r="E1807" s="880">
        <v>0.98043380466040497</v>
      </c>
      <c r="F1807" s="880">
        <v>0.99565954525532496</v>
      </c>
      <c r="G1807" s="880">
        <v>1.010098970536671</v>
      </c>
      <c r="H1807" s="880">
        <v>1.0362772186407261</v>
      </c>
      <c r="I1807" s="880">
        <v>0.9892533685845939</v>
      </c>
      <c r="K1807">
        <v>1.0774478560775522</v>
      </c>
      <c r="L1807">
        <v>0</v>
      </c>
      <c r="M1807">
        <v>7.4288856107262698E-4</v>
      </c>
      <c r="N1807">
        <v>6.9694512857053914E-2</v>
      </c>
      <c r="O1807">
        <v>8.7610605920739881E-3</v>
      </c>
      <c r="P1807">
        <v>1.2494057675003778E-2</v>
      </c>
      <c r="Q1807">
        <v>2.8828956607149514E-3</v>
      </c>
      <c r="R1807">
        <v>7.3079687097067267E-4</v>
      </c>
      <c r="S1807">
        <v>8.5515884582098717E-2</v>
      </c>
      <c r="T1807">
        <v>0.81742293814470868</v>
      </c>
      <c r="U1807">
        <v>1.6660362890112447E-2</v>
      </c>
      <c r="V1807">
        <v>1.0411696095578515E-2</v>
      </c>
      <c r="W1807">
        <v>4.222492482952131E-2</v>
      </c>
      <c r="X1807">
        <v>9.4026262651291936E-3</v>
      </c>
      <c r="Y1807">
        <v>1.9889881756584007E-3</v>
      </c>
    </row>
    <row r="1808" spans="1:25">
      <c r="A1808" s="876"/>
      <c r="B1808" s="1202">
        <v>1558</v>
      </c>
      <c r="C1808" s="880">
        <v>1.0053979901602277</v>
      </c>
      <c r="D1808" s="880">
        <v>0.98757867061754301</v>
      </c>
      <c r="E1808" s="880">
        <v>1.003708926634111</v>
      </c>
      <c r="F1808" s="880">
        <v>1.0323388839687309</v>
      </c>
      <c r="G1808" s="880">
        <v>0.95758174240338423</v>
      </c>
      <c r="H1808" s="880">
        <v>0.97394326715756041</v>
      </c>
      <c r="I1808" s="880">
        <v>1.0113106683220381</v>
      </c>
      <c r="K1808">
        <v>1.0716875546077251</v>
      </c>
      <c r="L1808">
        <v>0</v>
      </c>
      <c r="M1808">
        <v>6.6772075062406162E-4</v>
      </c>
      <c r="N1808">
        <v>6.7277601916429897E-2</v>
      </c>
      <c r="O1808">
        <v>8.7988463932186407E-3</v>
      </c>
      <c r="P1808">
        <v>1.2691918955531492E-2</v>
      </c>
      <c r="Q1808">
        <v>2.9663540308081607E-3</v>
      </c>
      <c r="R1808">
        <v>6.5614858430178172E-4</v>
      </c>
      <c r="S1808">
        <v>8.5572561593360255E-2</v>
      </c>
      <c r="T1808">
        <v>0.81553755115714366</v>
      </c>
      <c r="U1808">
        <v>1.6819835559107689E-2</v>
      </c>
      <c r="V1808">
        <v>1.041261285357652E-2</v>
      </c>
      <c r="W1808">
        <v>4.0113057948779701E-2</v>
      </c>
      <c r="X1808">
        <v>9.7229662189431826E-3</v>
      </c>
      <c r="Y1808">
        <v>1.7858201471467662E-3</v>
      </c>
    </row>
    <row r="1809" spans="1:25">
      <c r="A1809" s="876"/>
      <c r="B1809" s="1202">
        <v>1559</v>
      </c>
      <c r="C1809" s="880">
        <v>0.99608717079877596</v>
      </c>
      <c r="D1809" s="880">
        <v>0.98581570870181479</v>
      </c>
      <c r="E1809" s="880">
        <v>0.9969575677671747</v>
      </c>
      <c r="F1809" s="880">
        <v>0.98430456029715996</v>
      </c>
      <c r="G1809" s="880">
        <v>0.99438085165659484</v>
      </c>
      <c r="H1809" s="880">
        <v>0.98791393608349298</v>
      </c>
      <c r="I1809" s="880">
        <v>1.0152651994656448</v>
      </c>
      <c r="K1809">
        <v>1.0763639602955284</v>
      </c>
      <c r="L1809">
        <v>0</v>
      </c>
      <c r="M1809">
        <v>6.9407980299523856E-4</v>
      </c>
      <c r="N1809">
        <v>6.8497156160158224E-2</v>
      </c>
      <c r="O1809">
        <v>8.8895694956226609E-3</v>
      </c>
      <c r="P1809">
        <v>1.2661200693043898E-2</v>
      </c>
      <c r="Q1809">
        <v>2.9762743345191464E-3</v>
      </c>
      <c r="R1809">
        <v>6.8222248576549512E-4</v>
      </c>
      <c r="S1809">
        <v>8.7300464997115829E-2</v>
      </c>
      <c r="T1809">
        <v>0.81608254803783786</v>
      </c>
      <c r="U1809">
        <v>1.6977057191080478E-2</v>
      </c>
      <c r="V1809">
        <v>1.0413516671073736E-2</v>
      </c>
      <c r="W1809">
        <v>4.1029251360857215E-2</v>
      </c>
      <c r="X1809">
        <v>9.6919939597784194E-3</v>
      </c>
      <c r="Y1809">
        <v>1.8567847116716866E-3</v>
      </c>
    </row>
    <row r="1810" spans="1:25">
      <c r="A1810" s="876"/>
      <c r="B1810" s="1202">
        <v>1560</v>
      </c>
      <c r="C1810" s="880">
        <v>0.9889189590880626</v>
      </c>
      <c r="D1810" s="880">
        <v>1.0106796417323429</v>
      </c>
      <c r="E1810" s="880">
        <v>1.0115457773469798</v>
      </c>
      <c r="F1810" s="880">
        <v>1.0437290868192446</v>
      </c>
      <c r="G1810" s="880">
        <v>1.0070047584144943</v>
      </c>
      <c r="H1810" s="880">
        <v>1.0030793370333275</v>
      </c>
      <c r="I1810" s="880">
        <v>1.017248602346853</v>
      </c>
      <c r="K1810">
        <v>1.0782124217104914</v>
      </c>
      <c r="L1810">
        <v>0</v>
      </c>
      <c r="M1810">
        <v>6.7928976877395456E-4</v>
      </c>
      <c r="N1810">
        <v>7.0165428517866599E-2</v>
      </c>
      <c r="O1810">
        <v>8.8358348845802917E-3</v>
      </c>
      <c r="P1810">
        <v>1.2788660903481609E-2</v>
      </c>
      <c r="Q1810">
        <v>3.0074741784550372E-3</v>
      </c>
      <c r="R1810">
        <v>6.6783962602953207E-4</v>
      </c>
      <c r="S1810">
        <v>8.7573409202252775E-2</v>
      </c>
      <c r="T1810">
        <v>0.81490687268619744</v>
      </c>
      <c r="U1810">
        <v>1.7100115950397579E-2</v>
      </c>
      <c r="V1810">
        <v>1.0414224097007825E-2</v>
      </c>
      <c r="W1810">
        <v>4.1612325601945846E-2</v>
      </c>
      <c r="X1810">
        <v>1.0001886522272973E-2</v>
      </c>
      <c r="Y1810">
        <v>1.8176393087788332E-3</v>
      </c>
    </row>
    <row r="1811" spans="1:25">
      <c r="A1811" s="876"/>
      <c r="B1811" s="1202">
        <v>1561</v>
      </c>
      <c r="C1811" s="880">
        <v>0.9734311042377044</v>
      </c>
      <c r="D1811" s="880">
        <v>1.0344887580228166</v>
      </c>
      <c r="E1811" s="880">
        <v>0.95186491485010305</v>
      </c>
      <c r="F1811" s="880">
        <v>1.0334347403190187</v>
      </c>
      <c r="G1811" s="880">
        <v>0.98437762563346487</v>
      </c>
      <c r="H1811" s="880">
        <v>0.98251736800129008</v>
      </c>
      <c r="I1811" s="880">
        <v>0.9558500046173467</v>
      </c>
      <c r="K1811">
        <v>1.0691654184246728</v>
      </c>
      <c r="L1811">
        <v>0</v>
      </c>
      <c r="M1811">
        <v>7.5678552692136543E-4</v>
      </c>
      <c r="N1811">
        <v>6.4882193106422056E-2</v>
      </c>
      <c r="O1811">
        <v>8.8658821433276521E-3</v>
      </c>
      <c r="P1811">
        <v>1.2215074981324412E-2</v>
      </c>
      <c r="Q1811">
        <v>2.8451385683588917E-3</v>
      </c>
      <c r="R1811">
        <v>7.4374007654249511E-4</v>
      </c>
      <c r="S1811">
        <v>8.1926291773849011E-2</v>
      </c>
      <c r="T1811">
        <v>0.81976218840447468</v>
      </c>
      <c r="U1811">
        <v>1.7372188737686926E-2</v>
      </c>
      <c r="V1811">
        <v>1.0415788157516499E-2</v>
      </c>
      <c r="W1811">
        <v>4.0104178557049786E-2</v>
      </c>
      <c r="X1811">
        <v>8.7653241305423353E-3</v>
      </c>
      <c r="Y1811">
        <v>2.0242153144983317E-3</v>
      </c>
    </row>
    <row r="1812" spans="1:25">
      <c r="A1812" s="876"/>
      <c r="B1812" s="1202">
        <v>1562</v>
      </c>
      <c r="C1812" s="880">
        <v>0.98073903803684481</v>
      </c>
      <c r="D1812" s="880">
        <v>1.0184483389581833</v>
      </c>
      <c r="E1812" s="880">
        <v>1.0026836714112206</v>
      </c>
      <c r="F1812" s="880">
        <v>0.9696027951713857</v>
      </c>
      <c r="G1812" s="880">
        <v>1.0303917792199622</v>
      </c>
      <c r="H1812" s="880">
        <v>1.0211558440276529</v>
      </c>
      <c r="I1812" s="880">
        <v>1.0108168940425211</v>
      </c>
      <c r="K1812">
        <v>1.081278872461432</v>
      </c>
      <c r="L1812">
        <v>0</v>
      </c>
      <c r="M1812">
        <v>7.0756510824518783E-4</v>
      </c>
      <c r="N1812">
        <v>7.1120466191767887E-2</v>
      </c>
      <c r="O1812">
        <v>8.873274116657873E-3</v>
      </c>
      <c r="P1812">
        <v>1.2723354177259321E-2</v>
      </c>
      <c r="Q1812">
        <v>2.9952393533917336E-3</v>
      </c>
      <c r="R1812">
        <v>6.9584293456998283E-4</v>
      </c>
      <c r="S1812">
        <v>8.8071678397680445E-2</v>
      </c>
      <c r="T1812">
        <v>0.81562021413233365</v>
      </c>
      <c r="U1812">
        <v>1.7242740637512029E-2</v>
      </c>
      <c r="V1812">
        <v>1.0415044001280136E-2</v>
      </c>
      <c r="W1812">
        <v>4.2433988166347969E-2</v>
      </c>
      <c r="X1812">
        <v>9.9007403775381829E-3</v>
      </c>
      <c r="Y1812">
        <v>1.893855083337761E-3</v>
      </c>
    </row>
    <row r="1813" spans="1:25">
      <c r="A1813" s="876"/>
      <c r="B1813" s="1202">
        <v>1563</v>
      </c>
      <c r="C1813" s="880">
        <v>1.0048738930116028</v>
      </c>
      <c r="D1813" s="880">
        <v>0.98667277791165153</v>
      </c>
      <c r="E1813" s="880">
        <v>0.97723661571944542</v>
      </c>
      <c r="F1813" s="880">
        <v>0.9967300514755939</v>
      </c>
      <c r="G1813" s="880">
        <v>0.99053461134490317</v>
      </c>
      <c r="H1813" s="880">
        <v>0.98057564148334164</v>
      </c>
      <c r="I1813" s="880">
        <v>1.0017124281252396</v>
      </c>
      <c r="K1813">
        <v>1.0713965607561526</v>
      </c>
      <c r="L1813">
        <v>0</v>
      </c>
      <c r="M1813">
        <v>7.1146973576076227E-4</v>
      </c>
      <c r="N1813">
        <v>6.6022406909798964E-2</v>
      </c>
      <c r="O1813">
        <v>8.8077501208888905E-3</v>
      </c>
      <c r="P1813">
        <v>1.2463617607216237E-2</v>
      </c>
      <c r="Q1813">
        <v>2.8907773437005413E-3</v>
      </c>
      <c r="R1813">
        <v>6.9922359198920994E-4</v>
      </c>
      <c r="S1813">
        <v>8.508149584455528E-2</v>
      </c>
      <c r="T1813">
        <v>0.81768335850572449</v>
      </c>
      <c r="U1813">
        <v>1.6828608030875717E-2</v>
      </c>
      <c r="V1813">
        <v>1.0412663283745571E-2</v>
      </c>
      <c r="W1813">
        <v>4.0089064455337685E-2</v>
      </c>
      <c r="X1813">
        <v>9.2260086796803233E-3</v>
      </c>
      <c r="Y1813">
        <v>1.9030561183994783E-3</v>
      </c>
    </row>
    <row r="1814" spans="1:25">
      <c r="A1814" s="876"/>
      <c r="B1814" s="1202">
        <v>1564</v>
      </c>
      <c r="C1814" s="880">
        <v>0.99997111436325048</v>
      </c>
      <c r="D1814" s="880">
        <v>1.0065547069336531</v>
      </c>
      <c r="E1814" s="880">
        <v>0.99651000911027221</v>
      </c>
      <c r="F1814" s="880">
        <v>0.97895635881599508</v>
      </c>
      <c r="G1814" s="880">
        <v>0.99435920454300852</v>
      </c>
      <c r="H1814" s="880">
        <v>1.003580535128737</v>
      </c>
      <c r="I1814" s="880">
        <v>0.98178910609885461</v>
      </c>
      <c r="K1814">
        <v>1.0725992572568299</v>
      </c>
      <c r="L1814">
        <v>0</v>
      </c>
      <c r="M1814">
        <v>6.9526371996405333E-4</v>
      </c>
      <c r="N1814">
        <v>6.8535293165391808E-2</v>
      </c>
      <c r="O1814">
        <v>8.7572393498587357E-3</v>
      </c>
      <c r="P1814">
        <v>1.2608548346712585E-2</v>
      </c>
      <c r="Q1814">
        <v>2.9352167422387232E-3</v>
      </c>
      <c r="R1814">
        <v>6.8355367626467603E-4</v>
      </c>
      <c r="S1814">
        <v>8.3774423376339988E-2</v>
      </c>
      <c r="T1814">
        <v>0.81611873150134095</v>
      </c>
      <c r="U1814">
        <v>1.6911117354345303E-2</v>
      </c>
      <c r="V1814">
        <v>1.0413137603782182E-2</v>
      </c>
      <c r="W1814">
        <v>4.1064697484699791E-2</v>
      </c>
      <c r="X1814">
        <v>9.6321546024349808E-3</v>
      </c>
      <c r="Y1814">
        <v>1.8604077733836274E-3</v>
      </c>
    </row>
    <row r="1815" spans="1:25">
      <c r="A1815" s="876"/>
      <c r="B1815" s="1202">
        <v>1565</v>
      </c>
      <c r="C1815" s="880">
        <v>1.019782694353222</v>
      </c>
      <c r="D1815" s="880">
        <v>0.99491618652308644</v>
      </c>
      <c r="E1815" s="880">
        <v>1.008923871515881</v>
      </c>
      <c r="F1815" s="880">
        <v>0.96952111165348775</v>
      </c>
      <c r="G1815" s="880">
        <v>1.0245427143202315</v>
      </c>
      <c r="H1815" s="880">
        <v>1.0268023967549855</v>
      </c>
      <c r="I1815" s="880">
        <v>0.99999595544474551</v>
      </c>
      <c r="K1815">
        <v>1.0747947625210925</v>
      </c>
      <c r="L1815">
        <v>0</v>
      </c>
      <c r="M1815">
        <v>6.8374245115262241E-4</v>
      </c>
      <c r="N1815">
        <v>7.0081139381914154E-2</v>
      </c>
      <c r="O1815">
        <v>8.6405288811513149E-3</v>
      </c>
      <c r="P1815">
        <v>1.2723884777938363E-2</v>
      </c>
      <c r="Q1815">
        <v>2.9298623485891034E-3</v>
      </c>
      <c r="R1815">
        <v>6.724965028103479E-4</v>
      </c>
      <c r="S1815">
        <v>8.4972804515677375E-2</v>
      </c>
      <c r="T1815">
        <v>0.81511764057738112</v>
      </c>
      <c r="U1815">
        <v>1.6582580739593383E-2</v>
      </c>
      <c r="V1815">
        <v>1.0411248950565907E-2</v>
      </c>
      <c r="W1815">
        <v>4.1636436311359312E-2</v>
      </c>
      <c r="X1815">
        <v>9.879568193026992E-3</v>
      </c>
      <c r="Y1815">
        <v>1.8303137922371954E-3</v>
      </c>
    </row>
    <row r="1816" spans="1:25">
      <c r="A1816" s="876"/>
      <c r="B1816" s="1202">
        <v>1566</v>
      </c>
      <c r="C1816" s="880">
        <v>0.96919608389705847</v>
      </c>
      <c r="D1816" s="880">
        <v>1.0043846222155755</v>
      </c>
      <c r="E1816" s="880">
        <v>1.01497650285823</v>
      </c>
      <c r="F1816" s="880">
        <v>1.0311814818458176</v>
      </c>
      <c r="G1816" s="880">
        <v>1.0288498227890988</v>
      </c>
      <c r="H1816" s="880">
        <v>1.0087594779550326</v>
      </c>
      <c r="I1816" s="880">
        <v>1.003595425354264</v>
      </c>
      <c r="K1816">
        <v>1.0835698962376223</v>
      </c>
      <c r="L1816">
        <v>0</v>
      </c>
      <c r="M1816">
        <v>6.9431239161403871E-4</v>
      </c>
      <c r="N1816">
        <v>7.2493517107573346E-2</v>
      </c>
      <c r="O1816">
        <v>9.0457089798898754E-3</v>
      </c>
      <c r="P1816">
        <v>1.2836841988328126E-2</v>
      </c>
      <c r="Q1816">
        <v>3.088030946334577E-3</v>
      </c>
      <c r="R1816">
        <v>6.8268024676807761E-4</v>
      </c>
      <c r="S1816">
        <v>8.864058958284414E-2</v>
      </c>
      <c r="T1816">
        <v>0.81463143948642491</v>
      </c>
      <c r="U1816">
        <v>1.7448098632380088E-2</v>
      </c>
      <c r="V1816">
        <v>1.0416224539521807E-2</v>
      </c>
      <c r="W1816">
        <v>4.289314336418526E-2</v>
      </c>
      <c r="X1816">
        <v>1.0229903168765027E-2</v>
      </c>
      <c r="Y1816">
        <v>1.8580305862198421E-3</v>
      </c>
    </row>
    <row r="1817" spans="1:25">
      <c r="A1817" s="876"/>
      <c r="B1817" s="1202">
        <v>1567</v>
      </c>
      <c r="C1817" s="880">
        <v>1.0341557053664354</v>
      </c>
      <c r="D1817" s="880">
        <v>1.0024240535592206</v>
      </c>
      <c r="E1817" s="880">
        <v>1.0245490105438864</v>
      </c>
      <c r="F1817" s="880">
        <v>1.0127258845131299</v>
      </c>
      <c r="G1817" s="880">
        <v>0.98512128746930128</v>
      </c>
      <c r="H1817" s="880">
        <v>0.98330328311324233</v>
      </c>
      <c r="I1817" s="880">
        <v>0.96008632204104782</v>
      </c>
      <c r="K1817">
        <v>1.0613173276643011</v>
      </c>
      <c r="L1817">
        <v>0</v>
      </c>
      <c r="M1817">
        <v>6.2222923080988116E-4</v>
      </c>
      <c r="N1817">
        <v>6.6898905713042703E-2</v>
      </c>
      <c r="O1817">
        <v>8.4863453420820426E-3</v>
      </c>
      <c r="P1817">
        <v>1.2763288526287584E-2</v>
      </c>
      <c r="Q1817">
        <v>2.9243539407740444E-3</v>
      </c>
      <c r="R1817">
        <v>6.1153638718424721E-4</v>
      </c>
      <c r="S1817">
        <v>7.8704719768528469E-2</v>
      </c>
      <c r="T1817">
        <v>0.81386503880229766</v>
      </c>
      <c r="U1817">
        <v>1.6352110981160586E-2</v>
      </c>
      <c r="V1817">
        <v>1.0409924052728095E-2</v>
      </c>
      <c r="W1817">
        <v>3.9328012692188732E-2</v>
      </c>
      <c r="X1817">
        <v>9.9309202358377965E-3</v>
      </c>
      <c r="Y1817">
        <v>1.6644004529996648E-3</v>
      </c>
    </row>
    <row r="1818" spans="1:25">
      <c r="A1818" s="876"/>
      <c r="B1818" s="1202">
        <v>1568</v>
      </c>
      <c r="C1818" s="880">
        <v>1.0118708084119108</v>
      </c>
      <c r="D1818" s="880">
        <v>0.99150062993640753</v>
      </c>
      <c r="E1818" s="880">
        <v>1.0326802210357962</v>
      </c>
      <c r="F1818" s="880">
        <v>0.96337215596159409</v>
      </c>
      <c r="G1818" s="880">
        <v>1.0027318648323074</v>
      </c>
      <c r="H1818" s="880">
        <v>1.0059775380392266</v>
      </c>
      <c r="I1818" s="880">
        <v>1.0114305215636852</v>
      </c>
      <c r="K1818">
        <v>1.0755597225821827</v>
      </c>
      <c r="L1818">
        <v>0</v>
      </c>
      <c r="M1818">
        <v>6.4324329248267008E-4</v>
      </c>
      <c r="N1818">
        <v>7.0955183011505302E-2</v>
      </c>
      <c r="O1818">
        <v>8.7240842455202847E-3</v>
      </c>
      <c r="P1818">
        <v>1.2937309061802026E-2</v>
      </c>
      <c r="Q1818">
        <v>3.0280795387650702E-3</v>
      </c>
      <c r="R1818">
        <v>6.3244717987497772E-4</v>
      </c>
      <c r="S1818">
        <v>8.6017525844321624E-2</v>
      </c>
      <c r="T1818">
        <v>0.8132164875411394</v>
      </c>
      <c r="U1818">
        <v>1.6712241054263558E-2</v>
      </c>
      <c r="V1818">
        <v>1.0411994326756357E-2</v>
      </c>
      <c r="W1818">
        <v>4.1485700726770228E-2</v>
      </c>
      <c r="X1818">
        <v>1.0360600606482381E-2</v>
      </c>
      <c r="Y1818">
        <v>1.7213127374628759E-3</v>
      </c>
    </row>
    <row r="1819" spans="1:25">
      <c r="A1819" s="876"/>
      <c r="B1819" s="1202">
        <v>1569</v>
      </c>
      <c r="C1819" s="880">
        <v>1.0025044397213727</v>
      </c>
      <c r="D1819" s="880">
        <v>1.0407628532267241</v>
      </c>
      <c r="E1819" s="880">
        <v>1.0007173105941169</v>
      </c>
      <c r="F1819" s="880">
        <v>0.99554316284677968</v>
      </c>
      <c r="G1819" s="880">
        <v>0.99099694007123706</v>
      </c>
      <c r="H1819" s="880">
        <v>0.97844188844062652</v>
      </c>
      <c r="I1819" s="880">
        <v>0.99986815067477874</v>
      </c>
      <c r="K1819">
        <v>1.0662663032328199</v>
      </c>
      <c r="L1819">
        <v>0</v>
      </c>
      <c r="M1819">
        <v>6.5838751033845809E-4</v>
      </c>
      <c r="N1819">
        <v>6.5723662657446766E-2</v>
      </c>
      <c r="O1819">
        <v>8.5811484203639331E-3</v>
      </c>
      <c r="P1819">
        <v>1.263005479349172E-2</v>
      </c>
      <c r="Q1819">
        <v>2.8955407756976639E-3</v>
      </c>
      <c r="R1819">
        <v>6.469859892578977E-4</v>
      </c>
      <c r="S1819">
        <v>8.2822410052192749E-2</v>
      </c>
      <c r="T1819">
        <v>0.81577885535475247</v>
      </c>
      <c r="U1819">
        <v>1.686838301748805E-2</v>
      </c>
      <c r="V1819">
        <v>1.0412891937579011E-2</v>
      </c>
      <c r="W1819">
        <v>3.9266722089013925E-2</v>
      </c>
      <c r="X1819">
        <v>9.5371530719880852E-3</v>
      </c>
      <c r="Y1819">
        <v>1.7608825838859585E-3</v>
      </c>
    </row>
    <row r="1820" spans="1:25">
      <c r="A1820" s="876"/>
      <c r="B1820" s="1202">
        <v>1570</v>
      </c>
      <c r="C1820" s="880">
        <v>0.99733960230740759</v>
      </c>
      <c r="D1820" s="880">
        <v>1.011601532906258</v>
      </c>
      <c r="E1820" s="880">
        <v>1.0392514020673915</v>
      </c>
      <c r="F1820" s="880">
        <v>1.0220906814095123</v>
      </c>
      <c r="G1820" s="880">
        <v>0.98538904118279758</v>
      </c>
      <c r="H1820" s="880">
        <v>1.0012963869100635</v>
      </c>
      <c r="I1820" s="880">
        <v>0.98877628758429048</v>
      </c>
      <c r="K1820">
        <v>1.0742176793951905</v>
      </c>
      <c r="L1820">
        <v>0</v>
      </c>
      <c r="M1820">
        <v>6.3380029847083985E-4</v>
      </c>
      <c r="N1820">
        <v>7.1346166446103323E-2</v>
      </c>
      <c r="O1820">
        <v>8.7569788344199935E-3</v>
      </c>
      <c r="P1820">
        <v>1.297097283047785E-2</v>
      </c>
      <c r="Q1820">
        <v>3.0638302126302485E-3</v>
      </c>
      <c r="R1820">
        <v>6.2309719220472238E-4</v>
      </c>
      <c r="S1820">
        <v>8.4302481678480951E-2</v>
      </c>
      <c r="T1820">
        <v>0.81269401499577421</v>
      </c>
      <c r="U1820">
        <v>1.6955737871862893E-2</v>
      </c>
      <c r="V1820">
        <v>1.0413394113042162E-2</v>
      </c>
      <c r="W1820">
        <v>4.153176880574945E-2</v>
      </c>
      <c r="X1820">
        <v>1.0497171559667413E-2</v>
      </c>
      <c r="Y1820">
        <v>1.6958651532470474E-3</v>
      </c>
    </row>
    <row r="1821" spans="1:25">
      <c r="A1821" s="876"/>
      <c r="B1821" s="1202">
        <v>1571</v>
      </c>
      <c r="C1821" s="880">
        <v>1.022724546394213</v>
      </c>
      <c r="D1821" s="880">
        <v>1.0082200622005608</v>
      </c>
      <c r="E1821" s="880">
        <v>0.98816696286945505</v>
      </c>
      <c r="F1821" s="880">
        <v>1.0175280091828416</v>
      </c>
      <c r="G1821" s="880">
        <v>0.97590672349619823</v>
      </c>
      <c r="H1821" s="880">
        <v>0.99455264179459868</v>
      </c>
      <c r="I1821" s="880">
        <v>0.98380686295189057</v>
      </c>
      <c r="K1821">
        <v>1.0659058524694671</v>
      </c>
      <c r="L1821">
        <v>0</v>
      </c>
      <c r="M1821">
        <v>6.8500479287256168E-4</v>
      </c>
      <c r="N1821">
        <v>6.5782573093698407E-2</v>
      </c>
      <c r="O1821">
        <v>8.5548697932047186E-3</v>
      </c>
      <c r="P1821">
        <v>1.2505672356900149E-2</v>
      </c>
      <c r="Q1821">
        <v>2.8436897392930187E-3</v>
      </c>
      <c r="R1821">
        <v>6.7336139971744678E-4</v>
      </c>
      <c r="S1821">
        <v>8.1702298807971752E-2</v>
      </c>
      <c r="T1821">
        <v>0.81679448039930058</v>
      </c>
      <c r="U1821">
        <v>1.6534881191200154E-2</v>
      </c>
      <c r="V1821">
        <v>1.0410974740930071E-2</v>
      </c>
      <c r="W1821">
        <v>3.9642201489087044E-2</v>
      </c>
      <c r="X1821">
        <v>9.3131864945310058E-3</v>
      </c>
      <c r="Y1821">
        <v>1.8326677565051305E-3</v>
      </c>
    </row>
    <row r="1822" spans="1:25">
      <c r="A1822" s="876"/>
      <c r="B1822" s="1202">
        <v>1572</v>
      </c>
      <c r="C1822" s="880">
        <v>0.96313281799188111</v>
      </c>
      <c r="D1822" s="880">
        <v>0.96512097614286729</v>
      </c>
      <c r="E1822" s="880">
        <v>1.0391094834872394</v>
      </c>
      <c r="F1822" s="880">
        <v>1.0079076150530959</v>
      </c>
      <c r="G1822" s="880">
        <v>0.96711057575211712</v>
      </c>
      <c r="H1822" s="880">
        <v>1.0158103805217866</v>
      </c>
      <c r="I1822" s="880">
        <v>0.99263154155947475</v>
      </c>
      <c r="K1822">
        <v>1.0909210925394255</v>
      </c>
      <c r="L1822">
        <v>0</v>
      </c>
      <c r="M1822">
        <v>6.829201422582623E-4</v>
      </c>
      <c r="N1822">
        <v>7.6865062267927914E-2</v>
      </c>
      <c r="O1822">
        <v>9.2985902093920703E-3</v>
      </c>
      <c r="P1822">
        <v>1.3062014105144282E-2</v>
      </c>
      <c r="Q1822">
        <v>3.2414040942753005E-3</v>
      </c>
      <c r="R1822">
        <v>6.7159171772168192E-4</v>
      </c>
      <c r="S1822">
        <v>9.0262485598335634E-2</v>
      </c>
      <c r="T1822">
        <v>0.81270528330878411</v>
      </c>
      <c r="U1822">
        <v>1.7557940659950529E-2</v>
      </c>
      <c r="V1822">
        <v>1.041685598664013E-2</v>
      </c>
      <c r="W1822">
        <v>4.4748636754344123E-2</v>
      </c>
      <c r="X1822">
        <v>1.0946296713679421E-2</v>
      </c>
      <c r="Y1822">
        <v>1.8278512654881711E-3</v>
      </c>
    </row>
    <row r="1823" spans="1:25">
      <c r="A1823" s="876"/>
      <c r="B1823" s="1202">
        <v>1573</v>
      </c>
      <c r="C1823" s="880">
        <v>1.0084264172983584</v>
      </c>
      <c r="D1823" s="880">
        <v>1.0150753584424723</v>
      </c>
      <c r="E1823" s="880">
        <v>0.99930394355223351</v>
      </c>
      <c r="F1823" s="880">
        <v>1.0130246798312241</v>
      </c>
      <c r="G1823" s="880">
        <v>1.003852294105215</v>
      </c>
      <c r="H1823" s="880">
        <v>0.98046875258210742</v>
      </c>
      <c r="I1823" s="880">
        <v>1.029180482676781</v>
      </c>
      <c r="K1823">
        <v>1.070385074332638</v>
      </c>
      <c r="L1823">
        <v>0</v>
      </c>
      <c r="M1823">
        <v>6.666136601340243E-4</v>
      </c>
      <c r="N1823">
        <v>6.6257399585695403E-2</v>
      </c>
      <c r="O1823">
        <v>8.6449048930672123E-3</v>
      </c>
      <c r="P1823">
        <v>1.2658645042830348E-2</v>
      </c>
      <c r="Q1823">
        <v>2.9075449005112461E-3</v>
      </c>
      <c r="R1823">
        <v>6.551144186953947E-4</v>
      </c>
      <c r="S1823">
        <v>8.5880785085457947E-2</v>
      </c>
      <c r="T1823">
        <v>0.81589296354507235</v>
      </c>
      <c r="U1823">
        <v>1.6769323547926335E-2</v>
      </c>
      <c r="V1823">
        <v>1.0412322475980524E-2</v>
      </c>
      <c r="W1823">
        <v>3.9623905013732461E-2</v>
      </c>
      <c r="X1823">
        <v>9.5657739945244711E-3</v>
      </c>
      <c r="Y1823">
        <v>1.7830054892787816E-3</v>
      </c>
    </row>
    <row r="1824" spans="1:25">
      <c r="A1824" s="876"/>
      <c r="B1824" s="1202">
        <v>1574</v>
      </c>
      <c r="C1824" s="880">
        <v>1.0144938485580044</v>
      </c>
      <c r="D1824" s="880">
        <v>1.0359024982472214</v>
      </c>
      <c r="E1824" s="880">
        <v>0.97942474237238042</v>
      </c>
      <c r="F1824" s="880">
        <v>0.98828063586323567</v>
      </c>
      <c r="G1824" s="880">
        <v>0.98439807528732004</v>
      </c>
      <c r="H1824" s="880">
        <v>1.0305319383486844</v>
      </c>
      <c r="I1824" s="880">
        <v>1.0014177909504169</v>
      </c>
      <c r="K1824">
        <v>1.0713510178923558</v>
      </c>
      <c r="L1824">
        <v>0</v>
      </c>
      <c r="M1824">
        <v>7.1840020456669432E-4</v>
      </c>
      <c r="N1824">
        <v>6.7174643362174297E-2</v>
      </c>
      <c r="O1824">
        <v>8.5008530801709593E-3</v>
      </c>
      <c r="P1824">
        <v>1.24648543577725E-2</v>
      </c>
      <c r="Q1824">
        <v>2.8064085269653019E-3</v>
      </c>
      <c r="R1824">
        <v>7.0659225776985529E-4</v>
      </c>
      <c r="S1824">
        <v>8.3965171999199964E-2</v>
      </c>
      <c r="T1824">
        <v>0.8175050918673219</v>
      </c>
      <c r="U1824">
        <v>1.6669030462815589E-2</v>
      </c>
      <c r="V1824">
        <v>1.0411745922715985E-2</v>
      </c>
      <c r="W1824">
        <v>4.0726751096490495E-2</v>
      </c>
      <c r="X1824">
        <v>9.2151639659496711E-3</v>
      </c>
      <c r="Y1824">
        <v>1.9231111975743724E-3</v>
      </c>
    </row>
    <row r="1825" spans="1:25">
      <c r="A1825" s="876"/>
      <c r="B1825" s="1202">
        <v>1575</v>
      </c>
      <c r="C1825" s="880">
        <v>0.95839130167617947</v>
      </c>
      <c r="D1825" s="880">
        <v>0.98427321139042634</v>
      </c>
      <c r="E1825" s="880">
        <v>0.9973232146012081</v>
      </c>
      <c r="F1825" s="880">
        <v>1.007790877807385</v>
      </c>
      <c r="G1825" s="880">
        <v>0.97185961812614041</v>
      </c>
      <c r="H1825" s="880">
        <v>0.97491288823894207</v>
      </c>
      <c r="I1825" s="880">
        <v>1.0078275375386831</v>
      </c>
      <c r="K1825">
        <v>1.0830266728878108</v>
      </c>
      <c r="L1825">
        <v>0</v>
      </c>
      <c r="M1825">
        <v>7.1193220234022419E-4</v>
      </c>
      <c r="N1825">
        <v>7.0322795920092954E-2</v>
      </c>
      <c r="O1825">
        <v>9.2469475278954948E-3</v>
      </c>
      <c r="P1825">
        <v>1.2705373109118795E-2</v>
      </c>
      <c r="Q1825">
        <v>3.096701685075576E-3</v>
      </c>
      <c r="R1825">
        <v>6.9960913828076858E-4</v>
      </c>
      <c r="S1825">
        <v>8.9646917438482535E-2</v>
      </c>
      <c r="T1825">
        <v>0.81605299189099234</v>
      </c>
      <c r="U1825">
        <v>1.7644806287762122E-2</v>
      </c>
      <c r="V1825">
        <v>1.0417355349694303E-2</v>
      </c>
      <c r="W1825">
        <v>4.2112236572896186E-2</v>
      </c>
      <c r="X1825">
        <v>9.8887647215500293E-3</v>
      </c>
      <c r="Y1825">
        <v>1.9041054483097996E-3</v>
      </c>
    </row>
    <row r="1826" spans="1:25">
      <c r="A1826" s="876"/>
      <c r="B1826" s="1202">
        <v>1576</v>
      </c>
      <c r="C1826" s="880">
        <v>0.99970234529232471</v>
      </c>
      <c r="D1826" s="880">
        <v>0.9827565843502204</v>
      </c>
      <c r="E1826" s="880">
        <v>1.0224050261901065</v>
      </c>
      <c r="F1826" s="880">
        <v>1.0412885865025194</v>
      </c>
      <c r="G1826" s="880">
        <v>1.0166147648667676</v>
      </c>
      <c r="H1826" s="880">
        <v>0.96119713221177561</v>
      </c>
      <c r="I1826" s="880">
        <v>1.0352603821124942</v>
      </c>
      <c r="K1826">
        <v>1.0741525263036582</v>
      </c>
      <c r="L1826">
        <v>0</v>
      </c>
      <c r="M1826">
        <v>6.38763265692137E-4</v>
      </c>
      <c r="N1826">
        <v>6.8195136381155166E-2</v>
      </c>
      <c r="O1826">
        <v>8.8721370856011221E-3</v>
      </c>
      <c r="P1826">
        <v>1.288024515022536E-2</v>
      </c>
      <c r="Q1826">
        <v>3.0462724618929436E-3</v>
      </c>
      <c r="R1826">
        <v>6.2755021421968208E-4</v>
      </c>
      <c r="S1826">
        <v>8.7837092911062287E-2</v>
      </c>
      <c r="T1826">
        <v>0.8140364204332079</v>
      </c>
      <c r="U1826">
        <v>1.691566389294355E-2</v>
      </c>
      <c r="V1826">
        <v>1.0413163740396369E-2</v>
      </c>
      <c r="W1826">
        <v>4.0147931572618541E-2</v>
      </c>
      <c r="X1826">
        <v>1.0111690914793959E-2</v>
      </c>
      <c r="Y1826">
        <v>1.707984811233455E-3</v>
      </c>
    </row>
    <row r="1827" spans="1:25">
      <c r="A1827" s="876"/>
      <c r="B1827" s="1202">
        <v>1577</v>
      </c>
      <c r="C1827" s="880">
        <v>1.028881559867274</v>
      </c>
      <c r="D1827" s="880">
        <v>1.0107743474061359</v>
      </c>
      <c r="E1827" s="880">
        <v>0.99079948346006785</v>
      </c>
      <c r="F1827" s="880">
        <v>0.98685208751705455</v>
      </c>
      <c r="G1827" s="880">
        <v>0.9885871825923237</v>
      </c>
      <c r="H1827" s="880">
        <v>0.97726712038157337</v>
      </c>
      <c r="I1827" s="880">
        <v>1.0066242479304957</v>
      </c>
      <c r="K1827">
        <v>1.0637344553759402</v>
      </c>
      <c r="L1827">
        <v>0</v>
      </c>
      <c r="M1827">
        <v>6.6448409319802093E-4</v>
      </c>
      <c r="N1827">
        <v>6.4317217399759125E-2</v>
      </c>
      <c r="O1827">
        <v>8.4922199214552043E-3</v>
      </c>
      <c r="P1827">
        <v>1.2535616104499315E-2</v>
      </c>
      <c r="Q1827">
        <v>2.8309207319281394E-3</v>
      </c>
      <c r="R1827">
        <v>6.5298759997768001E-4</v>
      </c>
      <c r="S1827">
        <v>8.2391193316913539E-2</v>
      </c>
      <c r="T1827">
        <v>0.81658100319988436</v>
      </c>
      <c r="U1827">
        <v>1.6435933469479063E-2</v>
      </c>
      <c r="V1827">
        <v>1.0410405921734629E-2</v>
      </c>
      <c r="W1827">
        <v>3.86888744237441E-2</v>
      </c>
      <c r="X1827">
        <v>9.2853503899289671E-3</v>
      </c>
      <c r="Y1827">
        <v>1.7772169898347639E-3</v>
      </c>
    </row>
    <row r="1828" spans="1:25">
      <c r="A1828" s="876"/>
      <c r="B1828" s="1202">
        <v>1578</v>
      </c>
      <c r="C1828" s="880">
        <v>0.99324746197800617</v>
      </c>
      <c r="D1828" s="880">
        <v>0.9587902561199465</v>
      </c>
      <c r="E1828" s="880">
        <v>0.97685373120684638</v>
      </c>
      <c r="F1828" s="880">
        <v>0.9922686373581302</v>
      </c>
      <c r="G1828" s="880">
        <v>1.0152211953752195</v>
      </c>
      <c r="H1828" s="880">
        <v>1.0173080700343482</v>
      </c>
      <c r="I1828" s="880">
        <v>1.024201231159982</v>
      </c>
      <c r="K1828">
        <v>1.084989736108251</v>
      </c>
      <c r="L1828">
        <v>0</v>
      </c>
      <c r="M1828">
        <v>7.5887725095849848E-4</v>
      </c>
      <c r="N1828">
        <v>7.0384720575980109E-2</v>
      </c>
      <c r="O1828">
        <v>9.048480281128396E-3</v>
      </c>
      <c r="P1828">
        <v>1.2537926658347989E-2</v>
      </c>
      <c r="Q1828">
        <v>2.9622038419311633E-3</v>
      </c>
      <c r="R1828">
        <v>7.4631354211014179E-4</v>
      </c>
      <c r="S1828">
        <v>9.0663904034587378E-2</v>
      </c>
      <c r="T1828">
        <v>0.81771456874424886</v>
      </c>
      <c r="U1828">
        <v>1.7025594842473242E-2</v>
      </c>
      <c r="V1828">
        <v>1.0413795698698967E-2</v>
      </c>
      <c r="W1828">
        <v>4.2749258122835206E-2</v>
      </c>
      <c r="X1828">
        <v>9.4706275774365158E-3</v>
      </c>
      <c r="Y1828">
        <v>2.031219439430769E-3</v>
      </c>
    </row>
    <row r="1829" spans="1:25">
      <c r="A1829" s="876"/>
      <c r="B1829" s="1202">
        <v>1579</v>
      </c>
      <c r="C1829" s="880">
        <v>0.98360269997174343</v>
      </c>
      <c r="D1829" s="880">
        <v>0.99191646351590379</v>
      </c>
      <c r="E1829" s="880">
        <v>0.97208690407180998</v>
      </c>
      <c r="F1829" s="880">
        <v>1.0192610792773416</v>
      </c>
      <c r="G1829" s="880">
        <v>1.0070905532457624</v>
      </c>
      <c r="H1829" s="880">
        <v>1.0047094164881445</v>
      </c>
      <c r="I1829" s="880">
        <v>0.98545009952174067</v>
      </c>
      <c r="K1829">
        <v>1.0778624868965541</v>
      </c>
      <c r="L1829">
        <v>0</v>
      </c>
      <c r="M1829">
        <v>7.5071116698162432E-4</v>
      </c>
      <c r="N1829">
        <v>6.8583004387498897E-2</v>
      </c>
      <c r="O1829">
        <v>8.9728006335312183E-3</v>
      </c>
      <c r="P1829">
        <v>1.2439484800039707E-2</v>
      </c>
      <c r="Q1829">
        <v>2.9306940188948832E-3</v>
      </c>
      <c r="R1829">
        <v>7.380950343300693E-4</v>
      </c>
      <c r="S1829">
        <v>8.6152950069181028E-2</v>
      </c>
      <c r="T1829">
        <v>0.81810354409122155</v>
      </c>
      <c r="U1829">
        <v>1.7192540104290277E-2</v>
      </c>
      <c r="V1829">
        <v>1.0414755414272578E-2</v>
      </c>
      <c r="W1829">
        <v>4.1793504269878309E-2</v>
      </c>
      <c r="X1829">
        <v>9.282973869912628E-3</v>
      </c>
      <c r="Y1829">
        <v>2.0088513704837737E-3</v>
      </c>
    </row>
    <row r="1830" spans="1:25">
      <c r="A1830" s="876"/>
      <c r="B1830" s="1202">
        <v>1580</v>
      </c>
      <c r="C1830" s="880">
        <v>0.99745641446134015</v>
      </c>
      <c r="D1830" s="880">
        <v>0.97409099467953375</v>
      </c>
      <c r="E1830" s="880">
        <v>1.000021863866041</v>
      </c>
      <c r="F1830" s="880">
        <v>0.99645916543543733</v>
      </c>
      <c r="G1830" s="880">
        <v>0.99870029158485307</v>
      </c>
      <c r="H1830" s="880">
        <v>1.0055678816103861</v>
      </c>
      <c r="I1830" s="880">
        <v>0.97909096321264677</v>
      </c>
      <c r="K1830">
        <v>1.0770310475936842</v>
      </c>
      <c r="L1830">
        <v>0</v>
      </c>
      <c r="M1830">
        <v>7.0546083037171354E-4</v>
      </c>
      <c r="N1830">
        <v>7.0309798924229963E-2</v>
      </c>
      <c r="O1830">
        <v>8.934299022332089E-3</v>
      </c>
      <c r="P1830">
        <v>1.2657970458687667E-2</v>
      </c>
      <c r="Q1830">
        <v>2.9977817595668106E-3</v>
      </c>
      <c r="R1830">
        <v>6.9363115733528347E-4</v>
      </c>
      <c r="S1830">
        <v>8.5206206593350028E-2</v>
      </c>
      <c r="T1830">
        <v>0.81583499376543245</v>
      </c>
      <c r="U1830">
        <v>1.6953752184835722E-2</v>
      </c>
      <c r="V1830">
        <v>1.0413382697954684E-2</v>
      </c>
      <c r="W1830">
        <v>4.2026706188416856E-2</v>
      </c>
      <c r="X1830">
        <v>9.8201503170979292E-3</v>
      </c>
      <c r="Y1830">
        <v>1.8878353548170794E-3</v>
      </c>
    </row>
    <row r="1831" spans="1:25">
      <c r="A1831" s="876"/>
      <c r="B1831" s="1202">
        <v>1581</v>
      </c>
      <c r="C1831" s="880">
        <v>0.98938130349495323</v>
      </c>
      <c r="D1831" s="880">
        <v>0.99891195652075593</v>
      </c>
      <c r="E1831" s="880">
        <v>1.0048421486047501</v>
      </c>
      <c r="F1831" s="880">
        <v>0.9595692984966494</v>
      </c>
      <c r="G1831" s="880">
        <v>1.0134829632030564</v>
      </c>
      <c r="H1831" s="880">
        <v>1.0266134383259036</v>
      </c>
      <c r="I1831" s="880">
        <v>0.98325124872283187</v>
      </c>
      <c r="K1831">
        <v>1.079867651194427</v>
      </c>
      <c r="L1831">
        <v>0</v>
      </c>
      <c r="M1831">
        <v>7.0919765780792451E-4</v>
      </c>
      <c r="N1831">
        <v>7.1772861618986994E-2</v>
      </c>
      <c r="O1831">
        <v>8.8870111393584E-3</v>
      </c>
      <c r="P1831">
        <v>1.2710138562449404E-2</v>
      </c>
      <c r="Q1831">
        <v>3.0020486169595999E-3</v>
      </c>
      <c r="R1831">
        <v>6.9752744566196282E-4</v>
      </c>
      <c r="S1831">
        <v>8.5938579411919305E-2</v>
      </c>
      <c r="T1831">
        <v>0.8154462247598625</v>
      </c>
      <c r="U1831">
        <v>1.7092124953459516E-2</v>
      </c>
      <c r="V1831">
        <v>1.0414178159290743E-2</v>
      </c>
      <c r="W1831">
        <v>4.2760205417985038E-2</v>
      </c>
      <c r="X1831">
        <v>9.957508999069456E-3</v>
      </c>
      <c r="Y1831">
        <v>1.8984397672311979E-3</v>
      </c>
    </row>
    <row r="1832" spans="1:25">
      <c r="A1832" s="876"/>
      <c r="B1832" s="1202">
        <v>1582</v>
      </c>
      <c r="C1832" s="880">
        <v>1.0264266938935898</v>
      </c>
      <c r="D1832" s="880">
        <v>1.035927388303566</v>
      </c>
      <c r="E1832" s="880">
        <v>1.0407187926193768</v>
      </c>
      <c r="F1832" s="880">
        <v>1.0402444765796288</v>
      </c>
      <c r="G1832" s="880">
        <v>1.0158190305872448</v>
      </c>
      <c r="H1832" s="880">
        <v>0.99510821607302424</v>
      </c>
      <c r="I1832" s="880">
        <v>1.0034572060373115</v>
      </c>
      <c r="K1832">
        <v>1.0652884161163079</v>
      </c>
      <c r="L1832">
        <v>0</v>
      </c>
      <c r="M1832">
        <v>6.0248606007536575E-4</v>
      </c>
      <c r="N1832">
        <v>6.8121253091473835E-2</v>
      </c>
      <c r="O1832">
        <v>8.4019181110988276E-3</v>
      </c>
      <c r="P1832">
        <v>1.2943077257556661E-2</v>
      </c>
      <c r="Q1832">
        <v>2.9490252544077927E-3</v>
      </c>
      <c r="R1832">
        <v>5.9223079614517964E-4</v>
      </c>
      <c r="S1832">
        <v>8.1941833995628072E-2</v>
      </c>
      <c r="T1832">
        <v>0.81257754477424438</v>
      </c>
      <c r="U1832">
        <v>1.6475242671061617E-2</v>
      </c>
      <c r="V1832">
        <v>1.0410631897917095E-2</v>
      </c>
      <c r="W1832">
        <v>3.9615788126466399E-2</v>
      </c>
      <c r="X1832">
        <v>1.0250499202105042E-2</v>
      </c>
      <c r="Y1832">
        <v>1.6118569982776991E-3</v>
      </c>
    </row>
    <row r="1833" spans="1:25">
      <c r="A1833" s="876"/>
      <c r="B1833" s="1202">
        <v>1583</v>
      </c>
      <c r="C1833" s="880">
        <v>1.029083964486577</v>
      </c>
      <c r="D1833" s="880">
        <v>0.99525468878213652</v>
      </c>
      <c r="E1833" s="880">
        <v>1.0020720892747526</v>
      </c>
      <c r="F1833" s="880">
        <v>1.0036993096523088</v>
      </c>
      <c r="G1833" s="880">
        <v>1.0103478548777967</v>
      </c>
      <c r="H1833" s="880">
        <v>0.99778613982882824</v>
      </c>
      <c r="I1833" s="880">
        <v>0.99290336703268567</v>
      </c>
      <c r="K1833">
        <v>1.0675109197519321</v>
      </c>
      <c r="L1833">
        <v>0</v>
      </c>
      <c r="M1833">
        <v>6.6787201266827975E-4</v>
      </c>
      <c r="N1833">
        <v>6.6978663585271339E-2</v>
      </c>
      <c r="O1833">
        <v>8.560878498719636E-3</v>
      </c>
      <c r="P1833">
        <v>1.263216316912112E-2</v>
      </c>
      <c r="Q1833">
        <v>2.8830638284281693E-3</v>
      </c>
      <c r="R1833">
        <v>6.5656736418893437E-4</v>
      </c>
      <c r="S1833">
        <v>8.258985432043843E-2</v>
      </c>
      <c r="T1833">
        <v>0.8156695410151984</v>
      </c>
      <c r="U1833">
        <v>1.6432700780046969E-2</v>
      </c>
      <c r="V1833">
        <v>1.0410387338024284E-2</v>
      </c>
      <c r="W1833">
        <v>3.9979482814908839E-2</v>
      </c>
      <c r="X1833">
        <v>9.5985291223038074E-3</v>
      </c>
      <c r="Y1833">
        <v>1.7869599279488435E-3</v>
      </c>
    </row>
    <row r="1834" spans="1:25">
      <c r="A1834" s="876"/>
      <c r="B1834" s="1202">
        <v>1584</v>
      </c>
      <c r="C1834" s="880">
        <v>0.98863781862142597</v>
      </c>
      <c r="D1834" s="880">
        <v>0.9952467371476954</v>
      </c>
      <c r="E1834" s="880">
        <v>0.99878404166405221</v>
      </c>
      <c r="F1834" s="880">
        <v>0.99465539253040069</v>
      </c>
      <c r="G1834" s="880">
        <v>1.0462721096836254</v>
      </c>
      <c r="H1834" s="880">
        <v>0.98011414924510609</v>
      </c>
      <c r="I1834" s="880">
        <v>1.0002588812246989</v>
      </c>
      <c r="K1834">
        <v>1.07458286258448</v>
      </c>
      <c r="L1834">
        <v>0</v>
      </c>
      <c r="M1834">
        <v>6.8763077317006752E-4</v>
      </c>
      <c r="N1834">
        <v>6.8237204927776809E-2</v>
      </c>
      <c r="O1834">
        <v>8.9111504448626967E-3</v>
      </c>
      <c r="P1834">
        <v>1.2660050141630763E-2</v>
      </c>
      <c r="Q1834">
        <v>2.9911239011871159E-3</v>
      </c>
      <c r="R1834">
        <v>6.7578182841277379E-4</v>
      </c>
      <c r="S1834">
        <v>8.5964996635536056E-2</v>
      </c>
      <c r="T1834">
        <v>0.81593495489889245</v>
      </c>
      <c r="U1834">
        <v>1.7104978736836973E-2</v>
      </c>
      <c r="V1834">
        <v>1.0414252051630966E-2</v>
      </c>
      <c r="W1834">
        <v>4.0822416977557709E-2</v>
      </c>
      <c r="X1834">
        <v>9.7143274478052599E-3</v>
      </c>
      <c r="Y1834">
        <v>1.8392553655197047E-3</v>
      </c>
    </row>
    <row r="1835" spans="1:25">
      <c r="A1835" s="876"/>
      <c r="B1835" s="1202">
        <v>1585</v>
      </c>
      <c r="C1835" s="880">
        <v>1.0391311731643014</v>
      </c>
      <c r="D1835" s="880">
        <v>1.0029278219080071</v>
      </c>
      <c r="E1835" s="880">
        <v>0.96945365319527799</v>
      </c>
      <c r="F1835" s="880">
        <v>1.0241564999004036</v>
      </c>
      <c r="G1835" s="880">
        <v>0.99671280224430825</v>
      </c>
      <c r="H1835" s="880">
        <v>1.0147060165039961</v>
      </c>
      <c r="I1835" s="880">
        <v>1.0036682847076239</v>
      </c>
      <c r="K1835">
        <v>1.0670653560413828</v>
      </c>
      <c r="L1835">
        <v>0</v>
      </c>
      <c r="M1835">
        <v>7.174107201506915E-4</v>
      </c>
      <c r="N1835">
        <v>6.5014921914461427E-2</v>
      </c>
      <c r="O1835">
        <v>8.4434498921712835E-3</v>
      </c>
      <c r="P1835">
        <v>1.2362160443316511E-2</v>
      </c>
      <c r="Q1835">
        <v>2.7526598630610707E-3</v>
      </c>
      <c r="R1835">
        <v>7.0546330580597021E-4</v>
      </c>
      <c r="S1835">
        <v>8.2945776374124744E-2</v>
      </c>
      <c r="T1835">
        <v>0.81831874767592994</v>
      </c>
      <c r="U1835">
        <v>1.6273815378338757E-2</v>
      </c>
      <c r="V1835">
        <v>1.0409473956040414E-2</v>
      </c>
      <c r="W1835">
        <v>3.9692095644690652E-2</v>
      </c>
      <c r="X1835">
        <v>8.9441637511036461E-3</v>
      </c>
      <c r="Y1835">
        <v>1.9200385624875927E-3</v>
      </c>
    </row>
    <row r="1836" spans="1:25">
      <c r="A1836" s="876"/>
      <c r="B1836" s="1202">
        <v>1586</v>
      </c>
      <c r="C1836" s="880">
        <v>0.98842766226269618</v>
      </c>
      <c r="D1836" s="880">
        <v>1.0084084249697647</v>
      </c>
      <c r="E1836" s="880">
        <v>0.9566995731484722</v>
      </c>
      <c r="F1836" s="880">
        <v>0.97767931414061571</v>
      </c>
      <c r="G1836" s="880">
        <v>1.0053378365109031</v>
      </c>
      <c r="H1836" s="880">
        <v>0.98713302508349587</v>
      </c>
      <c r="I1836" s="880">
        <v>0.98959204283162383</v>
      </c>
      <c r="K1836">
        <v>1.0722036671770783</v>
      </c>
      <c r="L1836">
        <v>0</v>
      </c>
      <c r="M1836">
        <v>7.513924974894493E-4</v>
      </c>
      <c r="N1836">
        <v>6.540692559299327E-2</v>
      </c>
      <c r="O1836">
        <v>8.8508292468119296E-3</v>
      </c>
      <c r="P1836">
        <v>1.2289847827059042E-2</v>
      </c>
      <c r="Q1836">
        <v>2.849112978066629E-3</v>
      </c>
      <c r="R1836">
        <v>7.3852450389644666E-4</v>
      </c>
      <c r="S1836">
        <v>8.4762034249088763E-2</v>
      </c>
      <c r="T1836">
        <v>0.81936438885032192</v>
      </c>
      <c r="U1836">
        <v>1.7108615543236418E-2</v>
      </c>
      <c r="V1836">
        <v>1.0414272958482136E-2</v>
      </c>
      <c r="W1836">
        <v>4.0290648876804037E-2</v>
      </c>
      <c r="X1836">
        <v>8.8698388027373138E-3</v>
      </c>
      <c r="Y1836">
        <v>2.010020245068848E-3</v>
      </c>
    </row>
    <row r="1837" spans="1:25">
      <c r="A1837" s="876"/>
      <c r="B1837" s="1202">
        <v>1587</v>
      </c>
      <c r="C1837" s="880">
        <v>1.012622885685154</v>
      </c>
      <c r="D1837" s="880">
        <v>0.98265714779755464</v>
      </c>
      <c r="E1837" s="880">
        <v>1.0140655888264309</v>
      </c>
      <c r="F1837" s="880">
        <v>0.99800595894089117</v>
      </c>
      <c r="G1837" s="880">
        <v>0.9983002430017951</v>
      </c>
      <c r="H1837" s="880">
        <v>0.98095303232808384</v>
      </c>
      <c r="I1837" s="880">
        <v>1.0261644967574464</v>
      </c>
      <c r="K1837">
        <v>1.0732300370309236</v>
      </c>
      <c r="L1837">
        <v>0</v>
      </c>
      <c r="M1837">
        <v>6.5504409798665918E-4</v>
      </c>
      <c r="N1837">
        <v>6.8169135018204915E-2</v>
      </c>
      <c r="O1837">
        <v>8.7594066665040212E-3</v>
      </c>
      <c r="P1837">
        <v>1.2791832681195721E-2</v>
      </c>
      <c r="Q1837">
        <v>2.9826879260741704E-3</v>
      </c>
      <c r="R1837">
        <v>6.437769130639326E-4</v>
      </c>
      <c r="S1837">
        <v>8.6681278171931719E-2</v>
      </c>
      <c r="T1837">
        <v>0.81470453244206742</v>
      </c>
      <c r="U1837">
        <v>1.6699828835598986E-2</v>
      </c>
      <c r="V1837">
        <v>1.0411922972832175E-2</v>
      </c>
      <c r="W1837">
        <v>4.0359376722558668E-2</v>
      </c>
      <c r="X1837">
        <v>9.9291542425197308E-3</v>
      </c>
      <c r="Y1837">
        <v>1.7521485363576682E-3</v>
      </c>
    </row>
    <row r="1838" spans="1:25">
      <c r="A1838" s="876"/>
      <c r="B1838" s="1202">
        <v>1588</v>
      </c>
      <c r="C1838" s="880">
        <v>0.9990186396571753</v>
      </c>
      <c r="D1838" s="880">
        <v>0.98960729498435951</v>
      </c>
      <c r="E1838" s="880">
        <v>1.0338929299256951</v>
      </c>
      <c r="F1838" s="880">
        <v>0.97434873655692666</v>
      </c>
      <c r="G1838" s="880">
        <v>0.99643020640680224</v>
      </c>
      <c r="H1838" s="880">
        <v>0.97341215743837217</v>
      </c>
      <c r="I1838" s="880">
        <v>1.0081287957635519</v>
      </c>
      <c r="K1838">
        <v>1.0734450343655988</v>
      </c>
      <c r="L1838">
        <v>0</v>
      </c>
      <c r="M1838">
        <v>6.2945185245888858E-4</v>
      </c>
      <c r="N1838">
        <v>6.9656054465671025E-2</v>
      </c>
      <c r="O1838">
        <v>8.8453372513942006E-3</v>
      </c>
      <c r="P1838">
        <v>1.2946497527945966E-2</v>
      </c>
      <c r="Q1838">
        <v>3.0734018517140763E-3</v>
      </c>
      <c r="R1838">
        <v>6.1853531351625693E-4</v>
      </c>
      <c r="S1838">
        <v>8.5741017383070064E-2</v>
      </c>
      <c r="T1838">
        <v>0.81311995443744767</v>
      </c>
      <c r="U1838">
        <v>1.6927240588579445E-2</v>
      </c>
      <c r="V1838">
        <v>1.0413230291162598E-2</v>
      </c>
      <c r="W1838">
        <v>4.0693125397617914E-2</v>
      </c>
      <c r="X1838">
        <v>1.0356642486659301E-2</v>
      </c>
      <c r="Y1838">
        <v>1.6834492232799504E-3</v>
      </c>
    </row>
    <row r="1839" spans="1:25">
      <c r="A1839" s="876"/>
      <c r="B1839" s="1202">
        <v>1589</v>
      </c>
      <c r="C1839" s="880">
        <v>0.99690853168110216</v>
      </c>
      <c r="D1839" s="880">
        <v>0.98121239137346028</v>
      </c>
      <c r="E1839" s="880">
        <v>0.98553750787911543</v>
      </c>
      <c r="F1839" s="880">
        <v>1.0368621753249962</v>
      </c>
      <c r="G1839" s="880">
        <v>0.9973024971650295</v>
      </c>
      <c r="H1839" s="880">
        <v>1.0092576150856793</v>
      </c>
      <c r="I1839" s="880">
        <v>1.0219396341124376</v>
      </c>
      <c r="K1839">
        <v>1.0802521110431915</v>
      </c>
      <c r="L1839">
        <v>0</v>
      </c>
      <c r="M1839">
        <v>7.2752508116926545E-4</v>
      </c>
      <c r="N1839">
        <v>6.931594804001423E-2</v>
      </c>
      <c r="O1839">
        <v>8.9044779547055291E-3</v>
      </c>
      <c r="P1839">
        <v>1.2585328399893672E-2</v>
      </c>
      <c r="Q1839">
        <v>2.946036808314555E-3</v>
      </c>
      <c r="R1839">
        <v>7.1536345244276945E-4</v>
      </c>
      <c r="S1839">
        <v>8.8797472712570796E-2</v>
      </c>
      <c r="T1839">
        <v>0.81700794349325279</v>
      </c>
      <c r="U1839">
        <v>1.6963069658392546E-2</v>
      </c>
      <c r="V1839">
        <v>1.0413436261166859E-2</v>
      </c>
      <c r="W1839">
        <v>4.1847418204558555E-2</v>
      </c>
      <c r="X1839">
        <v>9.5361576409973264E-3</v>
      </c>
      <c r="Y1839">
        <v>1.9469834980504984E-3</v>
      </c>
    </row>
    <row r="1840" spans="1:25">
      <c r="A1840" s="876"/>
      <c r="B1840" s="1202">
        <v>1590</v>
      </c>
      <c r="C1840" s="880">
        <v>0.99568981519658117</v>
      </c>
      <c r="D1840" s="880">
        <v>0.99678566478919206</v>
      </c>
      <c r="E1840" s="880">
        <v>1.0180097654753353</v>
      </c>
      <c r="F1840" s="880">
        <v>0.98061265898765904</v>
      </c>
      <c r="G1840" s="880">
        <v>0.96961963170715537</v>
      </c>
      <c r="H1840" s="880">
        <v>1.0078870852974611</v>
      </c>
      <c r="I1840" s="880">
        <v>1.0243671630989366</v>
      </c>
      <c r="K1840">
        <v>1.0797471415050777</v>
      </c>
      <c r="L1840">
        <v>0</v>
      </c>
      <c r="M1840">
        <v>6.7365904710042649E-4</v>
      </c>
      <c r="N1840">
        <v>7.1002800809814248E-2</v>
      </c>
      <c r="O1840">
        <v>8.8407469675662216E-3</v>
      </c>
      <c r="P1840">
        <v>1.2851960897314853E-2</v>
      </c>
      <c r="Q1840">
        <v>3.0254769755555752E-3</v>
      </c>
      <c r="R1840">
        <v>6.6236944454433472E-4</v>
      </c>
      <c r="S1840">
        <v>8.8369513850301756E-2</v>
      </c>
      <c r="T1840">
        <v>0.81438825025523831</v>
      </c>
      <c r="U1840">
        <v>1.6983832321930206E-2</v>
      </c>
      <c r="V1840">
        <v>1.0413555619160816E-2</v>
      </c>
      <c r="W1840">
        <v>4.1925003789867424E-2</v>
      </c>
      <c r="X1840">
        <v>1.0154538342861549E-2</v>
      </c>
      <c r="Y1840">
        <v>1.8027512780209676E-3</v>
      </c>
    </row>
    <row r="1841" spans="1:25">
      <c r="A1841" s="876"/>
      <c r="B1841" s="1202">
        <v>1591</v>
      </c>
      <c r="C1841" s="880">
        <v>1.0350839403220771</v>
      </c>
      <c r="D1841" s="880">
        <v>1.0319991128441657</v>
      </c>
      <c r="E1841" s="880">
        <v>0.97343787953740535</v>
      </c>
      <c r="F1841" s="880">
        <v>0.98738756655545767</v>
      </c>
      <c r="G1841" s="880">
        <v>1.0172969596006087</v>
      </c>
      <c r="H1841" s="880">
        <v>0.99785735699269396</v>
      </c>
      <c r="I1841" s="880">
        <v>1.0329965531578271</v>
      </c>
      <c r="K1841">
        <v>1.0650025008216044</v>
      </c>
      <c r="L1841">
        <v>0</v>
      </c>
      <c r="M1841">
        <v>6.9178649760414442E-4</v>
      </c>
      <c r="N1841">
        <v>6.3455915342537694E-2</v>
      </c>
      <c r="O1841">
        <v>8.3484895478468726E-3</v>
      </c>
      <c r="P1841">
        <v>1.2409276165289848E-2</v>
      </c>
      <c r="Q1841">
        <v>2.7385938876416127E-3</v>
      </c>
      <c r="R1841">
        <v>6.8004686899002568E-4</v>
      </c>
      <c r="S1841">
        <v>8.3902775858852488E-2</v>
      </c>
      <c r="T1841">
        <v>0.81799322589897794</v>
      </c>
      <c r="U1841">
        <v>1.6337446855460284E-2</v>
      </c>
      <c r="V1841">
        <v>1.040983975330171E-2</v>
      </c>
      <c r="W1841">
        <v>3.8632712111169566E-2</v>
      </c>
      <c r="X1841">
        <v>8.9351016291404472E-3</v>
      </c>
      <c r="Y1841">
        <v>1.8508634000007358E-3</v>
      </c>
    </row>
    <row r="1842" spans="1:25">
      <c r="A1842" s="876"/>
      <c r="B1842" s="1202">
        <v>1592</v>
      </c>
      <c r="C1842" s="880">
        <v>1.0139503735004607</v>
      </c>
      <c r="D1842" s="880">
        <v>0.99569607798801996</v>
      </c>
      <c r="E1842" s="880">
        <v>1.0260689964871723</v>
      </c>
      <c r="F1842" s="880">
        <v>0.98431086916889954</v>
      </c>
      <c r="G1842" s="880">
        <v>1.0364220013369385</v>
      </c>
      <c r="H1842" s="880">
        <v>1.0315651818624625</v>
      </c>
      <c r="I1842" s="880">
        <v>1.0189233094931676</v>
      </c>
      <c r="K1842">
        <v>1.0789844898265057</v>
      </c>
      <c r="L1842">
        <v>0</v>
      </c>
      <c r="M1842">
        <v>6.6602324758979021E-4</v>
      </c>
      <c r="N1842">
        <v>7.2005648627158733E-2</v>
      </c>
      <c r="O1842">
        <v>8.6865977699600999E-3</v>
      </c>
      <c r="P1842">
        <v>1.2898756364488726E-2</v>
      </c>
      <c r="Q1842">
        <v>2.9963652614270007E-3</v>
      </c>
      <c r="R1842">
        <v>6.5511868710828097E-4</v>
      </c>
      <c r="S1842">
        <v>8.7216635905947276E-2</v>
      </c>
      <c r="T1842">
        <v>0.81374363213112522</v>
      </c>
      <c r="U1842">
        <v>1.6677965024631147E-2</v>
      </c>
      <c r="V1842">
        <v>1.0411797284689496E-2</v>
      </c>
      <c r="W1842">
        <v>4.2286891016400582E-2</v>
      </c>
      <c r="X1842">
        <v>1.0288087894666717E-2</v>
      </c>
      <c r="Y1842">
        <v>1.783017106491576E-3</v>
      </c>
    </row>
    <row r="1843" spans="1:25">
      <c r="A1843" s="876"/>
      <c r="B1843" s="1202">
        <v>1593</v>
      </c>
      <c r="C1843" s="880">
        <v>0.98785946426766391</v>
      </c>
      <c r="D1843" s="880">
        <v>1.0368179184814015</v>
      </c>
      <c r="E1843" s="880">
        <v>0.99635589799709479</v>
      </c>
      <c r="F1843" s="880">
        <v>1.0134881961070989</v>
      </c>
      <c r="G1843" s="880">
        <v>0.9859954549701333</v>
      </c>
      <c r="H1843" s="880">
        <v>1.033495868885826</v>
      </c>
      <c r="I1843" s="880">
        <v>1.0057246284737671</v>
      </c>
      <c r="K1843">
        <v>1.0787528984270585</v>
      </c>
      <c r="L1843">
        <v>0</v>
      </c>
      <c r="M1843">
        <v>7.1368855624301386E-4</v>
      </c>
      <c r="N1843">
        <v>7.0350126435358026E-2</v>
      </c>
      <c r="O1843">
        <v>8.7259533799968706E-3</v>
      </c>
      <c r="P1843">
        <v>1.2649480649922992E-2</v>
      </c>
      <c r="Q1843">
        <v>2.9306941561073776E-3</v>
      </c>
      <c r="R1843">
        <v>7.0199094675996577E-4</v>
      </c>
      <c r="S1843">
        <v>8.6667730576842114E-2</v>
      </c>
      <c r="T1843">
        <v>0.81613119238954945</v>
      </c>
      <c r="U1843">
        <v>1.7118456093842091E-2</v>
      </c>
      <c r="V1843">
        <v>1.0414329528699015E-2</v>
      </c>
      <c r="W1843">
        <v>4.2156558111262232E-2</v>
      </c>
      <c r="X1843">
        <v>9.709486769133354E-3</v>
      </c>
      <c r="Y1843">
        <v>1.9105879458272202E-3</v>
      </c>
    </row>
    <row r="1844" spans="1:25">
      <c r="A1844" s="876"/>
      <c r="B1844" s="1202">
        <v>1594</v>
      </c>
      <c r="C1844" s="880">
        <v>1.0104985473178787</v>
      </c>
      <c r="D1844" s="880">
        <v>0.99313438477174798</v>
      </c>
      <c r="E1844" s="880">
        <v>1.0167441705018718</v>
      </c>
      <c r="F1844" s="880">
        <v>0.99910364796825546</v>
      </c>
      <c r="G1844" s="880">
        <v>1.0258148966244747</v>
      </c>
      <c r="H1844" s="880">
        <v>1.038332313698225</v>
      </c>
      <c r="I1844" s="880">
        <v>0.99258195671561256</v>
      </c>
      <c r="K1844">
        <v>1.078518528153239</v>
      </c>
      <c r="L1844">
        <v>0</v>
      </c>
      <c r="M1844">
        <v>6.8700814976261628E-4</v>
      </c>
      <c r="N1844">
        <v>7.2161965699620231E-2</v>
      </c>
      <c r="O1844">
        <v>8.7282593979081304E-3</v>
      </c>
      <c r="P1844">
        <v>1.2799682219271297E-2</v>
      </c>
      <c r="Q1844">
        <v>2.9824009211820751E-3</v>
      </c>
      <c r="R1844">
        <v>6.7583543731623114E-4</v>
      </c>
      <c r="S1844">
        <v>8.5600293349259365E-2</v>
      </c>
      <c r="T1844">
        <v>0.81448968013238232</v>
      </c>
      <c r="U1844">
        <v>1.6734936344874031E-2</v>
      </c>
      <c r="V1844">
        <v>1.041212479481282E-2</v>
      </c>
      <c r="W1844">
        <v>4.264592581354034E-2</v>
      </c>
      <c r="X1844">
        <v>1.0135030921551777E-2</v>
      </c>
      <c r="Y1844">
        <v>1.8394012712827457E-3</v>
      </c>
    </row>
    <row r="1845" spans="1:25">
      <c r="A1845" s="876"/>
      <c r="B1845" s="1202">
        <v>1595</v>
      </c>
      <c r="C1845" s="880">
        <v>1.0264369338232613</v>
      </c>
      <c r="D1845" s="880">
        <v>1.0034950737957153</v>
      </c>
      <c r="E1845" s="880">
        <v>0.98649713471638911</v>
      </c>
      <c r="F1845" s="880">
        <v>1.0300067680240694</v>
      </c>
      <c r="G1845" s="880">
        <v>0.95648102714313887</v>
      </c>
      <c r="H1845" s="880">
        <v>1.0242713810896502</v>
      </c>
      <c r="I1845" s="880">
        <v>1.0190717729300469</v>
      </c>
      <c r="K1845">
        <v>1.0729357387508545</v>
      </c>
      <c r="L1845">
        <v>0</v>
      </c>
      <c r="M1845">
        <v>7.0715760899935142E-4</v>
      </c>
      <c r="N1845">
        <v>6.7592034182940658E-2</v>
      </c>
      <c r="O1845">
        <v>8.5452962019509551E-3</v>
      </c>
      <c r="P1845">
        <v>1.2543249038721558E-2</v>
      </c>
      <c r="Q1845">
        <v>2.8347179030228614E-3</v>
      </c>
      <c r="R1845">
        <v>6.9549044007511881E-4</v>
      </c>
      <c r="S1845">
        <v>8.5575225463556823E-2</v>
      </c>
      <c r="T1845">
        <v>0.81693001240065222</v>
      </c>
      <c r="U1845">
        <v>1.6475078310913729E-2</v>
      </c>
      <c r="V1845">
        <v>1.0410630953062539E-2</v>
      </c>
      <c r="W1845">
        <v>4.0779608345481867E-2</v>
      </c>
      <c r="X1845">
        <v>9.3686574099514294E-3</v>
      </c>
      <c r="Y1845">
        <v>1.8928957095225205E-3</v>
      </c>
    </row>
    <row r="1846" spans="1:25">
      <c r="A1846" s="876"/>
      <c r="B1846" s="1202">
        <v>1596</v>
      </c>
      <c r="C1846" s="880">
        <v>0.99611992132137972</v>
      </c>
      <c r="D1846" s="880">
        <v>0.99035072526284551</v>
      </c>
      <c r="E1846" s="880">
        <v>0.98238436888156166</v>
      </c>
      <c r="F1846" s="880">
        <v>1.0011231035441202</v>
      </c>
      <c r="G1846" s="880">
        <v>0.98704545760350726</v>
      </c>
      <c r="H1846" s="880">
        <v>0.97174012033157431</v>
      </c>
      <c r="I1846" s="880">
        <v>1.0329169643538352</v>
      </c>
      <c r="K1846">
        <v>1.0744877798130807</v>
      </c>
      <c r="L1846">
        <v>0</v>
      </c>
      <c r="M1846">
        <v>7.0221742288631938E-4</v>
      </c>
      <c r="N1846">
        <v>6.6206555594095731E-2</v>
      </c>
      <c r="O1846">
        <v>8.8675220503872717E-3</v>
      </c>
      <c r="P1846">
        <v>1.2548314275808973E-2</v>
      </c>
      <c r="Q1846">
        <v>2.926481416023476E-3</v>
      </c>
      <c r="R1846">
        <v>6.900172850402398E-4</v>
      </c>
      <c r="S1846">
        <v>8.8009610329492505E-2</v>
      </c>
      <c r="T1846">
        <v>0.81726422886312311</v>
      </c>
      <c r="U1846">
        <v>1.6976499017829081E-2</v>
      </c>
      <c r="V1846">
        <v>1.041351346231204E-2</v>
      </c>
      <c r="W1846">
        <v>4.0057520694405276E-2</v>
      </c>
      <c r="X1846">
        <v>9.3517346617058919E-3</v>
      </c>
      <c r="Y1846">
        <v>1.8779995857426519E-3</v>
      </c>
    </row>
    <row r="1847" spans="1:25">
      <c r="A1847" s="876"/>
      <c r="B1847" s="1202">
        <v>1597</v>
      </c>
      <c r="C1847" s="880">
        <v>1.0272017094184733</v>
      </c>
      <c r="D1847" s="880">
        <v>1.0370142228710844</v>
      </c>
      <c r="E1847" s="880">
        <v>0.98903182701435355</v>
      </c>
      <c r="F1847" s="880">
        <v>1.0307975959603952</v>
      </c>
      <c r="G1847" s="880">
        <v>0.9947942151773842</v>
      </c>
      <c r="H1847" s="880">
        <v>0.98349541132265084</v>
      </c>
      <c r="I1847" s="880">
        <v>1.0144011907355694</v>
      </c>
      <c r="K1847">
        <v>1.0629085901391506</v>
      </c>
      <c r="L1847">
        <v>0</v>
      </c>
      <c r="M1847">
        <v>6.6322228379624745E-4</v>
      </c>
      <c r="N1847">
        <v>6.3847792784049673E-2</v>
      </c>
      <c r="O1847">
        <v>8.3909015628924055E-3</v>
      </c>
      <c r="P1847">
        <v>1.2520372862279293E-2</v>
      </c>
      <c r="Q1847">
        <v>2.7974480659082304E-3</v>
      </c>
      <c r="R1847">
        <v>6.5179902949156576E-4</v>
      </c>
      <c r="S1847">
        <v>8.2327781621835266E-2</v>
      </c>
      <c r="T1847">
        <v>0.81672432064428102</v>
      </c>
      <c r="U1847">
        <v>1.646281223142234E-2</v>
      </c>
      <c r="V1847">
        <v>1.0410560439246281E-2</v>
      </c>
      <c r="W1847">
        <v>3.8453310413337237E-2</v>
      </c>
      <c r="X1847">
        <v>9.2107306754194932E-3</v>
      </c>
      <c r="Y1847">
        <v>1.7739820927837168E-3</v>
      </c>
    </row>
    <row r="1848" spans="1:25">
      <c r="A1848" s="876"/>
      <c r="B1848" s="1202">
        <v>1598</v>
      </c>
      <c r="C1848" s="880">
        <v>1.018018870140033</v>
      </c>
      <c r="D1848" s="880">
        <v>0.99025671772010915</v>
      </c>
      <c r="E1848" s="880">
        <v>0.99617213567433116</v>
      </c>
      <c r="F1848" s="880">
        <v>1.0216712080021788</v>
      </c>
      <c r="G1848" s="880">
        <v>1.0058192823744891</v>
      </c>
      <c r="H1848" s="880">
        <v>1.0246256821913466</v>
      </c>
      <c r="I1848" s="880">
        <v>1.0110566093748083</v>
      </c>
      <c r="K1848">
        <v>1.0759725472811985</v>
      </c>
      <c r="L1848">
        <v>0</v>
      </c>
      <c r="M1848">
        <v>7.0384223858367375E-4</v>
      </c>
      <c r="N1848">
        <v>6.9333785589972108E-2</v>
      </c>
      <c r="O1848">
        <v>8.6772094343462204E-3</v>
      </c>
      <c r="P1848">
        <v>1.2634438433397895E-2</v>
      </c>
      <c r="Q1848">
        <v>2.9038577781432128E-3</v>
      </c>
      <c r="R1848">
        <v>6.9224511408335894E-4</v>
      </c>
      <c r="S1848">
        <v>8.6185612526764432E-2</v>
      </c>
      <c r="T1848">
        <v>0.81614605182540312</v>
      </c>
      <c r="U1848">
        <v>1.6611311795847409E-2</v>
      </c>
      <c r="V1848">
        <v>1.0411414116332413E-2</v>
      </c>
      <c r="W1848">
        <v>4.1552764842961949E-2</v>
      </c>
      <c r="X1848">
        <v>9.6436350605348439E-3</v>
      </c>
      <c r="Y1848">
        <v>1.884063001994375E-3</v>
      </c>
    </row>
    <row r="1849" spans="1:25">
      <c r="A1849" s="876"/>
      <c r="B1849" s="1202">
        <v>1599</v>
      </c>
      <c r="C1849" s="880">
        <v>0.98575005274973759</v>
      </c>
      <c r="D1849" s="880">
        <v>0.99875773971810256</v>
      </c>
      <c r="E1849" s="880">
        <v>0.99770469407538709</v>
      </c>
      <c r="F1849" s="880">
        <v>1.009122570069918</v>
      </c>
      <c r="G1849" s="880">
        <v>1.0171363568097604</v>
      </c>
      <c r="H1849" s="880">
        <v>1.0214416333811605</v>
      </c>
      <c r="I1849" s="880">
        <v>0.98366692031323222</v>
      </c>
      <c r="K1849">
        <v>1.0797667071376866</v>
      </c>
      <c r="L1849">
        <v>0</v>
      </c>
      <c r="M1849">
        <v>7.1901115820852503E-4</v>
      </c>
      <c r="N1849">
        <v>7.116215829465497E-2</v>
      </c>
      <c r="O1849">
        <v>8.9204831292781488E-3</v>
      </c>
      <c r="P1849">
        <v>1.2653731558858565E-2</v>
      </c>
      <c r="Q1849">
        <v>2.9917943833376532E-3</v>
      </c>
      <c r="R1849">
        <v>7.0711968801344513E-4</v>
      </c>
      <c r="S1849">
        <v>8.6113617096284567E-2</v>
      </c>
      <c r="T1849">
        <v>0.81602216079176226</v>
      </c>
      <c r="U1849">
        <v>1.715508796452039E-2</v>
      </c>
      <c r="V1849">
        <v>1.0414540113751829E-2</v>
      </c>
      <c r="W1849">
        <v>4.2603740552584882E-2</v>
      </c>
      <c r="X1849">
        <v>9.8167380340180143E-3</v>
      </c>
      <c r="Y1849">
        <v>1.9245466888300916E-3</v>
      </c>
    </row>
    <row r="1850" spans="1:25">
      <c r="A1850" s="876"/>
      <c r="B1850" s="1202">
        <v>1600</v>
      </c>
      <c r="C1850" s="880">
        <v>0.98004983486880926</v>
      </c>
      <c r="D1850" s="880">
        <v>1.0195458482505695</v>
      </c>
      <c r="E1850" s="880">
        <v>1.021444497368718</v>
      </c>
      <c r="F1850" s="880">
        <v>0.98129168561238189</v>
      </c>
      <c r="G1850" s="880">
        <v>1.0089951868981186</v>
      </c>
      <c r="H1850" s="880">
        <v>1.0026157159400104</v>
      </c>
      <c r="I1850" s="880">
        <v>0.97741021286615337</v>
      </c>
      <c r="K1850">
        <v>1.0760963607976766</v>
      </c>
      <c r="L1850">
        <v>0</v>
      </c>
      <c r="M1850">
        <v>6.6784473253101567E-4</v>
      </c>
      <c r="N1850">
        <v>7.1136687998359455E-2</v>
      </c>
      <c r="O1850">
        <v>8.8744246918469119E-3</v>
      </c>
      <c r="P1850">
        <v>1.2831000916074177E-2</v>
      </c>
      <c r="Q1850">
        <v>3.0525167795186856E-3</v>
      </c>
      <c r="R1850">
        <v>6.5657512389945348E-4</v>
      </c>
      <c r="S1850">
        <v>8.4520895559595119E-2</v>
      </c>
      <c r="T1850">
        <v>0.81411325216161634</v>
      </c>
      <c r="U1850">
        <v>1.7254866297912334E-2</v>
      </c>
      <c r="V1850">
        <v>1.0415113707871378E-2</v>
      </c>
      <c r="W1850">
        <v>4.1906802355200529E-2</v>
      </c>
      <c r="X1850">
        <v>1.0215088890990777E-2</v>
      </c>
      <c r="Y1850">
        <v>1.7869810473228889E-3</v>
      </c>
    </row>
    <row r="1851" spans="1:25">
      <c r="A1851" s="876"/>
      <c r="B1851" s="1202">
        <v>1601</v>
      </c>
      <c r="C1851" s="880">
        <v>1.0143183618570761</v>
      </c>
      <c r="D1851" s="880">
        <v>1.0100609623910819</v>
      </c>
      <c r="E1851" s="880">
        <v>0.98695111574301875</v>
      </c>
      <c r="F1851" s="880">
        <v>0.9979607559959649</v>
      </c>
      <c r="G1851" s="880">
        <v>0.99938180267176313</v>
      </c>
      <c r="H1851" s="880">
        <v>0.97779259289501241</v>
      </c>
      <c r="I1851" s="880">
        <v>0.97395883629589786</v>
      </c>
      <c r="K1851">
        <v>1.0642170719666253</v>
      </c>
      <c r="L1851">
        <v>0</v>
      </c>
      <c r="M1851">
        <v>6.8012024067103864E-4</v>
      </c>
      <c r="N1851">
        <v>6.5047243245917097E-2</v>
      </c>
      <c r="O1851">
        <v>8.6173886495479642E-3</v>
      </c>
      <c r="P1851">
        <v>1.2486659840211072E-2</v>
      </c>
      <c r="Q1851">
        <v>2.8613368267184835E-3</v>
      </c>
      <c r="R1851">
        <v>6.6836015112084414E-4</v>
      </c>
      <c r="S1851">
        <v>8.0908451627871927E-2</v>
      </c>
      <c r="T1851">
        <v>0.81689315556933362</v>
      </c>
      <c r="U1851">
        <v>1.667191436324917E-2</v>
      </c>
      <c r="V1851">
        <v>1.0411762501348551E-2</v>
      </c>
      <c r="W1851">
        <v>3.9231983385318969E-2</v>
      </c>
      <c r="X1851">
        <v>9.2798800401729855E-3</v>
      </c>
      <c r="Y1851">
        <v>1.8190560064863339E-3</v>
      </c>
    </row>
    <row r="1852" spans="1:25">
      <c r="A1852" s="876"/>
      <c r="B1852" s="1202">
        <v>1602</v>
      </c>
      <c r="C1852" s="880">
        <v>1.0276002721775679</v>
      </c>
      <c r="D1852" s="880">
        <v>0.98497947332766056</v>
      </c>
      <c r="E1852" s="880">
        <v>1.0227858569382602</v>
      </c>
      <c r="F1852" s="880">
        <v>1.0410909394349428</v>
      </c>
      <c r="G1852" s="880">
        <v>0.95430340354827348</v>
      </c>
      <c r="H1852" s="880">
        <v>0.99632793707617484</v>
      </c>
      <c r="I1852" s="880">
        <v>0.9869597852870281</v>
      </c>
      <c r="K1852">
        <v>1.0688224947206921</v>
      </c>
      <c r="L1852">
        <v>0</v>
      </c>
      <c r="M1852">
        <v>6.4284156523665968E-4</v>
      </c>
      <c r="N1852">
        <v>6.8754859202674934E-2</v>
      </c>
      <c r="O1852">
        <v>8.6208617298641887E-3</v>
      </c>
      <c r="P1852">
        <v>1.2804178712640139E-2</v>
      </c>
      <c r="Q1852">
        <v>2.9616189088836945E-3</v>
      </c>
      <c r="R1852">
        <v>6.3195300268854284E-4</v>
      </c>
      <c r="S1852">
        <v>8.2590070791556461E-2</v>
      </c>
      <c r="T1852">
        <v>0.81400596687771776</v>
      </c>
      <c r="U1852">
        <v>1.6456427001636926E-2</v>
      </c>
      <c r="V1852">
        <v>1.0410523732577283E-2</v>
      </c>
      <c r="W1852">
        <v>4.0467070646590407E-2</v>
      </c>
      <c r="X1852">
        <v>1.0041837929031065E-2</v>
      </c>
      <c r="Y1852">
        <v>1.7199677500668656E-3</v>
      </c>
    </row>
    <row r="1853" spans="1:25">
      <c r="A1853" s="876"/>
      <c r="B1853" s="1202">
        <v>1603</v>
      </c>
      <c r="C1853" s="880">
        <v>1.0055511199992688</v>
      </c>
      <c r="D1853" s="880">
        <v>1.0038002807055773</v>
      </c>
      <c r="E1853" s="880">
        <v>0.9869745457631649</v>
      </c>
      <c r="F1853" s="880">
        <v>0.97779116449530179</v>
      </c>
      <c r="G1853" s="880">
        <v>0.99020473834731959</v>
      </c>
      <c r="H1853" s="880">
        <v>0.96451104718117098</v>
      </c>
      <c r="I1853" s="880">
        <v>0.96582545162439604</v>
      </c>
      <c r="K1853">
        <v>1.0641403637120128</v>
      </c>
      <c r="L1853">
        <v>0</v>
      </c>
      <c r="M1853">
        <v>6.7893865080099125E-4</v>
      </c>
      <c r="N1853">
        <v>6.4923765940037348E-2</v>
      </c>
      <c r="O1853">
        <v>8.7213724699443263E-3</v>
      </c>
      <c r="P1853">
        <v>1.2486389929594313E-2</v>
      </c>
      <c r="Q1853">
        <v>2.8945920033443687E-3</v>
      </c>
      <c r="R1853">
        <v>6.6704275053318786E-4</v>
      </c>
      <c r="S1853">
        <v>8.0727827546328734E-2</v>
      </c>
      <c r="T1853">
        <v>0.8168912535729691</v>
      </c>
      <c r="U1853">
        <v>1.681727415903498E-2</v>
      </c>
      <c r="V1853">
        <v>1.0412598128896623E-2</v>
      </c>
      <c r="W1853">
        <v>3.9156876932071205E-2</v>
      </c>
      <c r="X1853">
        <v>9.3048384536908654E-3</v>
      </c>
      <c r="Y1853">
        <v>1.8154704763677215E-3</v>
      </c>
    </row>
    <row r="1854" spans="1:25">
      <c r="A1854" s="876"/>
      <c r="B1854" s="1202">
        <v>1604</v>
      </c>
      <c r="C1854" s="880">
        <v>0.97545848365904697</v>
      </c>
      <c r="D1854" s="880">
        <v>0.99595677592573795</v>
      </c>
      <c r="E1854" s="880">
        <v>0.99407799292474597</v>
      </c>
      <c r="F1854" s="880">
        <v>0.9920451390076146</v>
      </c>
      <c r="G1854" s="880">
        <v>1.027531876174814</v>
      </c>
      <c r="H1854" s="880">
        <v>1.0095933478466859</v>
      </c>
      <c r="I1854" s="880">
        <v>0.97628636800369462</v>
      </c>
      <c r="K1854">
        <v>1.0799746946674844</v>
      </c>
      <c r="L1854">
        <v>0</v>
      </c>
      <c r="M1854">
        <v>7.2475371908408228E-4</v>
      </c>
      <c r="N1854">
        <v>7.0911728764684434E-2</v>
      </c>
      <c r="O1854">
        <v>9.0281126177612307E-3</v>
      </c>
      <c r="P1854">
        <v>1.2625177360230196E-2</v>
      </c>
      <c r="Q1854">
        <v>3.016215114200047E-3</v>
      </c>
      <c r="R1854">
        <v>7.1262910880457255E-4</v>
      </c>
      <c r="S1854">
        <v>8.6065337529418404E-2</v>
      </c>
      <c r="T1854">
        <v>0.81631546990014381</v>
      </c>
      <c r="U1854">
        <v>1.7336082620880822E-2</v>
      </c>
      <c r="V1854">
        <v>1.0415580594856585E-2</v>
      </c>
      <c r="W1854">
        <v>4.2559597252638325E-2</v>
      </c>
      <c r="X1854">
        <v>9.7739760069065588E-3</v>
      </c>
      <c r="Y1854">
        <v>1.9395415160434646E-3</v>
      </c>
    </row>
    <row r="1855" spans="1:25">
      <c r="A1855" s="876"/>
      <c r="B1855" s="1202">
        <v>1605</v>
      </c>
      <c r="C1855" s="880">
        <v>1.0020668418883882</v>
      </c>
      <c r="D1855" s="880">
        <v>1.0301765844629569</v>
      </c>
      <c r="E1855" s="880">
        <v>1.0026256643163041</v>
      </c>
      <c r="F1855" s="880">
        <v>1.0241455844326166</v>
      </c>
      <c r="G1855" s="880">
        <v>0.97768404157713418</v>
      </c>
      <c r="H1855" s="880">
        <v>0.98446149713169651</v>
      </c>
      <c r="I1855" s="880">
        <v>0.99197405930381066</v>
      </c>
      <c r="K1855">
        <v>1.0677456717038187</v>
      </c>
      <c r="L1855">
        <v>0</v>
      </c>
      <c r="M1855">
        <v>6.6365668399163253E-4</v>
      </c>
      <c r="N1855">
        <v>6.6652154807878283E-2</v>
      </c>
      <c r="O1855">
        <v>8.6316725850381863E-3</v>
      </c>
      <c r="P1855">
        <v>1.2646168881093938E-2</v>
      </c>
      <c r="Q1855">
        <v>2.9159822565726456E-3</v>
      </c>
      <c r="R1855">
        <v>6.5224263175780322E-4</v>
      </c>
      <c r="S1855">
        <v>8.2831889831756822E-2</v>
      </c>
      <c r="T1855">
        <v>0.81562489212277445</v>
      </c>
      <c r="U1855">
        <v>1.6875749360276599E-2</v>
      </c>
      <c r="V1855">
        <v>1.0412934284356724E-2</v>
      </c>
      <c r="W1855">
        <v>3.9769548098770736E-2</v>
      </c>
      <c r="X1855">
        <v>9.6209040956145731E-3</v>
      </c>
      <c r="Y1855">
        <v>1.7751894319189669E-3</v>
      </c>
    </row>
    <row r="1856" spans="1:25">
      <c r="A1856" s="876"/>
      <c r="B1856" s="1202">
        <v>1606</v>
      </c>
      <c r="C1856" s="880">
        <v>0.96700047619537932</v>
      </c>
      <c r="D1856" s="880">
        <v>0.99460975567427978</v>
      </c>
      <c r="E1856" s="880">
        <v>0.98393091891712969</v>
      </c>
      <c r="F1856" s="880">
        <v>0.96758654368491859</v>
      </c>
      <c r="G1856" s="880">
        <v>1.0414882280482993</v>
      </c>
      <c r="H1856" s="880">
        <v>1.0443620090113277</v>
      </c>
      <c r="I1856" s="880">
        <v>1.0024921993491962</v>
      </c>
      <c r="K1856">
        <v>1.0897174998321044</v>
      </c>
      <c r="L1856">
        <v>0</v>
      </c>
      <c r="M1856">
        <v>7.7313356238629494E-4</v>
      </c>
      <c r="N1856">
        <v>7.3334359884534905E-2</v>
      </c>
      <c r="O1856">
        <v>9.1136564475616678E-3</v>
      </c>
      <c r="P1856">
        <v>1.2601874392106152E-2</v>
      </c>
      <c r="Q1856">
        <v>3.0134034117246639E-3</v>
      </c>
      <c r="R1856">
        <v>7.6063143184129807E-4</v>
      </c>
      <c r="S1856">
        <v>9.0501156712260736E-2</v>
      </c>
      <c r="T1856">
        <v>0.81713848407286183</v>
      </c>
      <c r="U1856">
        <v>1.7487715137935098E-2</v>
      </c>
      <c r="V1856">
        <v>1.0416452282297711E-2</v>
      </c>
      <c r="W1856">
        <v>4.4322632967592951E-2</v>
      </c>
      <c r="X1856">
        <v>9.7300786383850684E-3</v>
      </c>
      <c r="Y1856">
        <v>2.0701880153878955E-3</v>
      </c>
    </row>
    <row r="1857" spans="1:25">
      <c r="A1857" s="876"/>
      <c r="B1857" s="1202">
        <v>1607</v>
      </c>
      <c r="C1857" s="880">
        <v>0.97412165084934088</v>
      </c>
      <c r="D1857" s="880">
        <v>1.0136345748504012</v>
      </c>
      <c r="E1857" s="880">
        <v>1.0181844085156522</v>
      </c>
      <c r="F1857" s="880">
        <v>1.0237708371025611</v>
      </c>
      <c r="G1857" s="880">
        <v>1.0071009827355049</v>
      </c>
      <c r="H1857" s="880">
        <v>0.98376187134916593</v>
      </c>
      <c r="I1857" s="880">
        <v>1.0333383549719362</v>
      </c>
      <c r="K1857">
        <v>1.0800651907256773</v>
      </c>
      <c r="L1857">
        <v>0</v>
      </c>
      <c r="M1857">
        <v>6.6588317080355243E-4</v>
      </c>
      <c r="N1857">
        <v>7.0190467443066396E-2</v>
      </c>
      <c r="O1857">
        <v>8.95611678053807E-3</v>
      </c>
      <c r="P1857">
        <v>1.2873613713016605E-2</v>
      </c>
      <c r="Q1857">
        <v>3.069323237633469E-3</v>
      </c>
      <c r="R1857">
        <v>6.5443616831374846E-4</v>
      </c>
      <c r="S1857">
        <v>8.9451391927102261E-2</v>
      </c>
      <c r="T1857">
        <v>0.81437425794488383</v>
      </c>
      <c r="U1857">
        <v>1.7359873739802346E-2</v>
      </c>
      <c r="V1857">
        <v>1.041571736248386E-2</v>
      </c>
      <c r="W1857">
        <v>4.1440455225281579E-2</v>
      </c>
      <c r="X1857">
        <v>1.0164260839032987E-2</v>
      </c>
      <c r="Y1857">
        <v>1.7811595153251188E-3</v>
      </c>
    </row>
    <row r="1858" spans="1:25">
      <c r="A1858" s="876"/>
      <c r="B1858" s="1202">
        <v>1608</v>
      </c>
      <c r="C1858" s="880">
        <v>0.96370735980200439</v>
      </c>
      <c r="D1858" s="880">
        <v>0.99930176251392144</v>
      </c>
      <c r="E1858" s="880">
        <v>1.0401015066380379</v>
      </c>
      <c r="F1858" s="880">
        <v>0.99974927862073637</v>
      </c>
      <c r="G1858" s="880">
        <v>1.0049343170069502</v>
      </c>
      <c r="H1858" s="880">
        <v>0.96675353514136653</v>
      </c>
      <c r="I1858" s="880">
        <v>1.0061508754720192</v>
      </c>
      <c r="K1858">
        <v>1.0798507134975082</v>
      </c>
      <c r="L1858">
        <v>0</v>
      </c>
      <c r="M1858">
        <v>6.3627710773067679E-4</v>
      </c>
      <c r="N1858">
        <v>7.1771171776628423E-2</v>
      </c>
      <c r="O1858">
        <v>9.1218700809255673E-3</v>
      </c>
      <c r="P1858">
        <v>1.3038730603030102E-2</v>
      </c>
      <c r="Q1858">
        <v>3.1912547880498894E-3</v>
      </c>
      <c r="R1858">
        <v>6.2515821912574848E-4</v>
      </c>
      <c r="S1858">
        <v>8.8029963637455091E-2</v>
      </c>
      <c r="T1858">
        <v>0.81262653123838502</v>
      </c>
      <c r="U1858">
        <v>1.754747298954603E-2</v>
      </c>
      <c r="V1858">
        <v>1.0416795811309634E-2</v>
      </c>
      <c r="W1858">
        <v>4.1755536471417436E-2</v>
      </c>
      <c r="X1858">
        <v>1.0661030400256006E-2</v>
      </c>
      <c r="Y1858">
        <v>1.7014745891087385E-3</v>
      </c>
    </row>
    <row r="1859" spans="1:25">
      <c r="A1859" s="876"/>
      <c r="B1859" s="1202">
        <v>1609</v>
      </c>
      <c r="C1859" s="880">
        <v>1.0052110629132283</v>
      </c>
      <c r="D1859" s="880">
        <v>1.0025380341876546</v>
      </c>
      <c r="E1859" s="880">
        <v>0.98214024269179012</v>
      </c>
      <c r="F1859" s="880">
        <v>0.9948005894804165</v>
      </c>
      <c r="G1859" s="880">
        <v>1.0067186384914144</v>
      </c>
      <c r="H1859" s="880">
        <v>1.0062742409465584</v>
      </c>
      <c r="I1859" s="880">
        <v>0.96717987348649281</v>
      </c>
      <c r="K1859">
        <v>1.0705723698630267</v>
      </c>
      <c r="L1859">
        <v>0</v>
      </c>
      <c r="M1859">
        <v>7.1628847111459106E-4</v>
      </c>
      <c r="N1859">
        <v>6.752177465055012E-2</v>
      </c>
      <c r="O1859">
        <v>8.7301769773675646E-3</v>
      </c>
      <c r="P1859">
        <v>1.2468015918400783E-2</v>
      </c>
      <c r="Q1859">
        <v>2.8830772133453522E-3</v>
      </c>
      <c r="R1859">
        <v>7.0426013589633895E-4</v>
      </c>
      <c r="S1859">
        <v>8.2353794698764513E-2</v>
      </c>
      <c r="T1859">
        <v>0.81728408534381725</v>
      </c>
      <c r="U1859">
        <v>1.6822963345571651E-2</v>
      </c>
      <c r="V1859">
        <v>1.0412630834232836E-2</v>
      </c>
      <c r="W1859">
        <v>4.0860188989284854E-2</v>
      </c>
      <c r="X1859">
        <v>9.3309262962918294E-3</v>
      </c>
      <c r="Y1859">
        <v>1.9167639306184301E-3</v>
      </c>
    </row>
    <row r="1860" spans="1:25">
      <c r="A1860" s="876"/>
      <c r="B1860" s="1202">
        <v>1610</v>
      </c>
      <c r="C1860" s="880">
        <v>0.99497178539240538</v>
      </c>
      <c r="D1860" s="880">
        <v>1.0079061329532675</v>
      </c>
      <c r="E1860" s="880">
        <v>0.98566630183374981</v>
      </c>
      <c r="F1860" s="880">
        <v>1.0113312153100533</v>
      </c>
      <c r="G1860" s="880">
        <v>1.0006844431657957</v>
      </c>
      <c r="H1860" s="880">
        <v>0.98535659568825851</v>
      </c>
      <c r="I1860" s="880">
        <v>1.0083186878358805</v>
      </c>
      <c r="K1860">
        <v>1.0728459861030941</v>
      </c>
      <c r="L1860">
        <v>0</v>
      </c>
      <c r="M1860">
        <v>7.0139311020773316E-4</v>
      </c>
      <c r="N1860">
        <v>6.6823129028734621E-2</v>
      </c>
      <c r="O1860">
        <v>8.7949502197741305E-3</v>
      </c>
      <c r="P1860">
        <v>1.2545784835594268E-2</v>
      </c>
      <c r="Q1860">
        <v>2.9160336439178428E-3</v>
      </c>
      <c r="R1860">
        <v>6.8936016612731077E-4</v>
      </c>
      <c r="S1860">
        <v>8.5755161067954846E-2</v>
      </c>
      <c r="T1860">
        <v>0.81699748235080316</v>
      </c>
      <c r="U1860">
        <v>1.6996088848170724E-2</v>
      </c>
      <c r="V1860">
        <v>1.0413626078058414E-2</v>
      </c>
      <c r="W1860">
        <v>4.0338862666927183E-2</v>
      </c>
      <c r="X1860">
        <v>9.4006891825569872E-3</v>
      </c>
      <c r="Y1860">
        <v>1.8762111246808503E-3</v>
      </c>
    </row>
    <row r="1861" spans="1:25">
      <c r="A1861" s="876"/>
      <c r="B1861" s="1202">
        <v>1611</v>
      </c>
      <c r="C1861" s="880">
        <v>1.0163254251034575</v>
      </c>
      <c r="D1861" s="880">
        <v>0.98451231117105198</v>
      </c>
      <c r="E1861" s="880">
        <v>0.9778210551250035</v>
      </c>
      <c r="F1861" s="880">
        <v>1.0180592624960789</v>
      </c>
      <c r="G1861" s="880">
        <v>0.97210795840377473</v>
      </c>
      <c r="H1861" s="880">
        <v>0.9722874174684315</v>
      </c>
      <c r="I1861" s="880">
        <v>0.99449299977535754</v>
      </c>
      <c r="K1861">
        <v>1.0672180448067023</v>
      </c>
      <c r="L1861">
        <v>0</v>
      </c>
      <c r="M1861">
        <v>6.974664047196869E-4</v>
      </c>
      <c r="N1861">
        <v>6.4831428298763899E-2</v>
      </c>
      <c r="O1861">
        <v>8.7187079327164831E-3</v>
      </c>
      <c r="P1861">
        <v>1.2442269230899547E-2</v>
      </c>
      <c r="Q1861">
        <v>2.8627839295833303E-3</v>
      </c>
      <c r="R1861">
        <v>6.8536091656741602E-4</v>
      </c>
      <c r="S1861">
        <v>8.3315500423244995E-2</v>
      </c>
      <c r="T1861">
        <v>0.81763572838961907</v>
      </c>
      <c r="U1861">
        <v>1.6638990276397862E-2</v>
      </c>
      <c r="V1861">
        <v>1.041157323117369E-2</v>
      </c>
      <c r="W1861">
        <v>3.9349908765931724E-2</v>
      </c>
      <c r="X1861">
        <v>9.1579333307931516E-3</v>
      </c>
      <c r="Y1861">
        <v>1.8653264857310798E-3</v>
      </c>
    </row>
    <row r="1862" spans="1:25">
      <c r="A1862" s="876"/>
      <c r="B1862" s="1202">
        <v>1612</v>
      </c>
      <c r="C1862" s="880">
        <v>0.97827469440809067</v>
      </c>
      <c r="D1862" s="880">
        <v>0.99455915019254371</v>
      </c>
      <c r="E1862" s="880">
        <v>0.97172686066014591</v>
      </c>
      <c r="F1862" s="880">
        <v>0.97193767770919748</v>
      </c>
      <c r="G1862" s="880">
        <v>1.0256202314213432</v>
      </c>
      <c r="H1862" s="880">
        <v>1.0215066148907597</v>
      </c>
      <c r="I1862" s="880">
        <v>0.98932835778806671</v>
      </c>
      <c r="K1862">
        <v>1.0817549681642933</v>
      </c>
      <c r="L1862">
        <v>0</v>
      </c>
      <c r="M1862">
        <v>7.6691137193486962E-4</v>
      </c>
      <c r="N1862">
        <v>7.0003852810032297E-2</v>
      </c>
      <c r="O1862">
        <v>9.008869824150164E-3</v>
      </c>
      <c r="P1862">
        <v>1.2455125379845189E-2</v>
      </c>
      <c r="Q1862">
        <v>2.9419797828892976E-3</v>
      </c>
      <c r="R1862">
        <v>7.542324322580826E-4</v>
      </c>
      <c r="S1862">
        <v>8.7456910885842384E-2</v>
      </c>
      <c r="T1862">
        <v>0.81813295498172423</v>
      </c>
      <c r="U1862">
        <v>1.7286176329220318E-2</v>
      </c>
      <c r="V1862">
        <v>1.0415293699350806E-2</v>
      </c>
      <c r="W1862">
        <v>4.2670068781723879E-2</v>
      </c>
      <c r="X1862">
        <v>9.3436425812393614E-3</v>
      </c>
      <c r="Y1862">
        <v>2.0527720479520278E-3</v>
      </c>
    </row>
    <row r="1863" spans="1:25">
      <c r="A1863" s="876"/>
      <c r="B1863" s="1202">
        <v>1613</v>
      </c>
      <c r="C1863" s="880">
        <v>0.979595351214125</v>
      </c>
      <c r="D1863" s="880">
        <v>0.98099916268506571</v>
      </c>
      <c r="E1863" s="880">
        <v>0.98363453117866773</v>
      </c>
      <c r="F1863" s="880">
        <v>0.965278563782208</v>
      </c>
      <c r="G1863" s="880">
        <v>0.98857384596469489</v>
      </c>
      <c r="H1863" s="880">
        <v>1.0186096146777419</v>
      </c>
      <c r="I1863" s="880">
        <v>1.0237616702069725</v>
      </c>
      <c r="K1863">
        <v>1.0860535164700424</v>
      </c>
      <c r="L1863">
        <v>0</v>
      </c>
      <c r="M1863">
        <v>7.5032405197300448E-4</v>
      </c>
      <c r="N1863">
        <v>7.1076795763525477E-2</v>
      </c>
      <c r="O1863">
        <v>9.0629062148393832E-3</v>
      </c>
      <c r="P1863">
        <v>1.2601573452624883E-2</v>
      </c>
      <c r="Q1863">
        <v>2.9926244400430022E-3</v>
      </c>
      <c r="R1863">
        <v>7.378966623461002E-4</v>
      </c>
      <c r="S1863">
        <v>9.089084084486998E-2</v>
      </c>
      <c r="T1863">
        <v>0.81716257609167242</v>
      </c>
      <c r="U1863">
        <v>1.7262871700027056E-2</v>
      </c>
      <c r="V1863">
        <v>1.041515972839931E-2</v>
      </c>
      <c r="W1863">
        <v>4.2966993637170742E-2</v>
      </c>
      <c r="X1863">
        <v>9.6252905191593283E-3</v>
      </c>
      <c r="Y1863">
        <v>2.0083114673367167E-3</v>
      </c>
    </row>
    <row r="1864" spans="1:25">
      <c r="A1864" s="876"/>
      <c r="B1864" s="1202">
        <v>1614</v>
      </c>
      <c r="C1864" s="880">
        <v>0.99377536963236901</v>
      </c>
      <c r="D1864" s="880">
        <v>0.97041039592313316</v>
      </c>
      <c r="E1864" s="880">
        <v>0.96942207609022701</v>
      </c>
      <c r="F1864" s="880">
        <v>0.96965409855943263</v>
      </c>
      <c r="G1864" s="880">
        <v>0.97709396709708685</v>
      </c>
      <c r="H1864" s="880">
        <v>0.97175988720102369</v>
      </c>
      <c r="I1864" s="880">
        <v>1.0007365738315832</v>
      </c>
      <c r="K1864">
        <v>1.0741474382806679</v>
      </c>
      <c r="L1864">
        <v>0</v>
      </c>
      <c r="M1864">
        <v>7.3117702395655111E-4</v>
      </c>
      <c r="N1864">
        <v>6.620922042382664E-2</v>
      </c>
      <c r="O1864">
        <v>8.9855627556967004E-3</v>
      </c>
      <c r="P1864">
        <v>1.241713938782439E-2</v>
      </c>
      <c r="Q1864">
        <v>2.9220554781070334E-3</v>
      </c>
      <c r="R1864">
        <v>7.1849313024046724E-4</v>
      </c>
      <c r="S1864">
        <v>8.6341186207638865E-2</v>
      </c>
      <c r="T1864">
        <v>0.81832132974884253</v>
      </c>
      <c r="U1864">
        <v>1.701655060359181E-2</v>
      </c>
      <c r="V1864">
        <v>1.0413743706226631E-2</v>
      </c>
      <c r="W1864">
        <v>4.0422116091911479E-2</v>
      </c>
      <c r="X1864">
        <v>9.1557163213999912E-3</v>
      </c>
      <c r="Y1864">
        <v>1.9555014493178239E-3</v>
      </c>
    </row>
    <row r="1865" spans="1:25">
      <c r="A1865" s="876"/>
      <c r="B1865" s="1202">
        <v>1615</v>
      </c>
      <c r="C1865" s="880">
        <v>0.97306923569553072</v>
      </c>
      <c r="D1865" s="880">
        <v>0.9996811458088819</v>
      </c>
      <c r="E1865" s="880">
        <v>1.0296688409641965</v>
      </c>
      <c r="F1865" s="880">
        <v>0.98962031185297139</v>
      </c>
      <c r="G1865" s="880">
        <v>0.97266063545722292</v>
      </c>
      <c r="H1865" s="880">
        <v>1.0095324392078846</v>
      </c>
      <c r="I1865" s="880">
        <v>0.99812730898202939</v>
      </c>
      <c r="K1865">
        <v>1.0832913909019428</v>
      </c>
      <c r="L1865">
        <v>0</v>
      </c>
      <c r="M1865">
        <v>6.7259949086847311E-4</v>
      </c>
      <c r="N1865">
        <v>7.3506816344861517E-2</v>
      </c>
      <c r="O1865">
        <v>9.0322802379402649E-3</v>
      </c>
      <c r="P1865">
        <v>1.2949951262241055E-2</v>
      </c>
      <c r="Q1865">
        <v>3.1276609538074145E-3</v>
      </c>
      <c r="R1865">
        <v>6.6134361713476191E-4</v>
      </c>
      <c r="S1865">
        <v>8.8040630994549396E-2</v>
      </c>
      <c r="T1865">
        <v>0.81345641425689996</v>
      </c>
      <c r="U1865">
        <v>1.7378649170698496E-2</v>
      </c>
      <c r="V1865">
        <v>1.0415825296505062E-2</v>
      </c>
      <c r="W1865">
        <v>4.3064320734295294E-2</v>
      </c>
      <c r="X1865">
        <v>1.0530138209902383E-2</v>
      </c>
      <c r="Y1865">
        <v>1.7999593139760254E-3</v>
      </c>
    </row>
    <row r="1866" spans="1:25">
      <c r="A1866" s="876"/>
      <c r="B1866" s="1202">
        <v>1616</v>
      </c>
      <c r="C1866" s="880">
        <v>1.0302943321283573</v>
      </c>
      <c r="D1866" s="880">
        <v>0.98562569875095707</v>
      </c>
      <c r="E1866" s="880">
        <v>1.0106215131405969</v>
      </c>
      <c r="F1866" s="880">
        <v>0.97923051713930631</v>
      </c>
      <c r="G1866" s="880">
        <v>0.99829920622454349</v>
      </c>
      <c r="H1866" s="880">
        <v>1.0151123880813149</v>
      </c>
      <c r="I1866" s="880">
        <v>1.0215651127021617</v>
      </c>
      <c r="K1866">
        <v>1.0735934791689683</v>
      </c>
      <c r="L1866">
        <v>0</v>
      </c>
      <c r="M1866">
        <v>6.7000924525548883E-4</v>
      </c>
      <c r="N1866">
        <v>6.9024446417556659E-2</v>
      </c>
      <c r="O1866">
        <v>8.5953085131608275E-3</v>
      </c>
      <c r="P1866">
        <v>1.2748500593032615E-2</v>
      </c>
      <c r="Q1866">
        <v>2.9174259928973507E-3</v>
      </c>
      <c r="R1866">
        <v>6.588699779416533E-4</v>
      </c>
      <c r="S1866">
        <v>8.5905548478306309E-2</v>
      </c>
      <c r="T1866">
        <v>0.81498114507039132</v>
      </c>
      <c r="U1866">
        <v>1.6413395996286599E-2</v>
      </c>
      <c r="V1866">
        <v>1.0410276360920645E-2</v>
      </c>
      <c r="W1866">
        <v>4.0961351777530443E-2</v>
      </c>
      <c r="X1866">
        <v>9.8539923526723711E-3</v>
      </c>
      <c r="Y1866">
        <v>1.7932268835273248E-3</v>
      </c>
    </row>
    <row r="1867" spans="1:25">
      <c r="A1867" s="876"/>
      <c r="B1867" s="1202">
        <v>1617</v>
      </c>
      <c r="C1867" s="880">
        <v>1.0056628775740069</v>
      </c>
      <c r="D1867" s="880">
        <v>0.99362525646951916</v>
      </c>
      <c r="E1867" s="880">
        <v>1.0316459468769692</v>
      </c>
      <c r="F1867" s="880">
        <v>0.98332754027523395</v>
      </c>
      <c r="G1867" s="880">
        <v>1.0070971039501755</v>
      </c>
      <c r="H1867" s="880">
        <v>0.97126352518773706</v>
      </c>
      <c r="I1867" s="880">
        <v>0.96928025731997802</v>
      </c>
      <c r="K1867">
        <v>1.0677085700542321</v>
      </c>
      <c r="L1867">
        <v>0</v>
      </c>
      <c r="M1867">
        <v>6.2553605165319322E-4</v>
      </c>
      <c r="N1867">
        <v>6.8738620982876517E-2</v>
      </c>
      <c r="O1867">
        <v>8.7679165049193101E-3</v>
      </c>
      <c r="P1867">
        <v>1.2869230129892465E-2</v>
      </c>
      <c r="Q1867">
        <v>3.0406743980259613E-3</v>
      </c>
      <c r="R1867">
        <v>6.1466017757418599E-4</v>
      </c>
      <c r="S1867">
        <v>8.1652868778669216E-2</v>
      </c>
      <c r="T1867">
        <v>0.81329885670803825</v>
      </c>
      <c r="U1867">
        <v>1.68154052844691E-2</v>
      </c>
      <c r="V1867">
        <v>1.0412587385327094E-2</v>
      </c>
      <c r="W1867">
        <v>4.0217555761151824E-2</v>
      </c>
      <c r="X1867">
        <v>1.0232827614257509E-2</v>
      </c>
      <c r="Y1867">
        <v>1.6729023806838529E-3</v>
      </c>
    </row>
    <row r="1868" spans="1:25">
      <c r="A1868" s="876"/>
      <c r="B1868" s="1202">
        <v>1618</v>
      </c>
      <c r="C1868" s="880">
        <v>1.005342795770622</v>
      </c>
      <c r="D1868" s="880">
        <v>1.0019804194796655</v>
      </c>
      <c r="E1868" s="880">
        <v>1.0097375379134628</v>
      </c>
      <c r="F1868" s="880">
        <v>0.98677972546529491</v>
      </c>
      <c r="G1868" s="880">
        <v>0.99928772844204139</v>
      </c>
      <c r="H1868" s="880">
        <v>1.0178847934478168</v>
      </c>
      <c r="I1868" s="880">
        <v>0.99158138546204366</v>
      </c>
      <c r="K1868">
        <v>1.0752810469352438</v>
      </c>
      <c r="L1868">
        <v>0</v>
      </c>
      <c r="M1868">
        <v>6.8378184691092925E-4</v>
      </c>
      <c r="N1868">
        <v>7.0251783012598393E-2</v>
      </c>
      <c r="O1868">
        <v>8.7316226593046418E-3</v>
      </c>
      <c r="P1868">
        <v>1.273230068193619E-2</v>
      </c>
      <c r="Q1868">
        <v>2.9647281868276274E-3</v>
      </c>
      <c r="R1868">
        <v>6.7243082052099296E-4</v>
      </c>
      <c r="S1868">
        <v>8.4852890521128682E-2</v>
      </c>
      <c r="T1868">
        <v>0.81505220710412063</v>
      </c>
      <c r="U1868">
        <v>1.6820758985983428E-2</v>
      </c>
      <c r="V1868">
        <v>1.0412618162065923E-2</v>
      </c>
      <c r="W1868">
        <v>4.1714738507716939E-2</v>
      </c>
      <c r="X1868">
        <v>9.9286151132516563E-3</v>
      </c>
      <c r="Y1868">
        <v>1.8301350266977324E-3</v>
      </c>
    </row>
    <row r="1869" spans="1:25">
      <c r="A1869" s="876"/>
      <c r="B1869" s="1202">
        <v>1619</v>
      </c>
      <c r="C1869" s="880">
        <v>1.0200249114610316</v>
      </c>
      <c r="D1869" s="880">
        <v>1.0071984257945323</v>
      </c>
      <c r="E1869" s="880">
        <v>1.0189983017941211</v>
      </c>
      <c r="F1869" s="880">
        <v>1.0022128683553924</v>
      </c>
      <c r="G1869" s="880">
        <v>0.96207787374814069</v>
      </c>
      <c r="H1869" s="880">
        <v>1.0354247340043752</v>
      </c>
      <c r="I1869" s="880">
        <v>0.99396364793797576</v>
      </c>
      <c r="K1869">
        <v>1.074453545100186</v>
      </c>
      <c r="L1869">
        <v>0</v>
      </c>
      <c r="M1869">
        <v>6.7042900219949238E-4</v>
      </c>
      <c r="N1869">
        <v>7.0910945560169886E-2</v>
      </c>
      <c r="O1869">
        <v>8.5821466052032978E-3</v>
      </c>
      <c r="P1869">
        <v>1.279719292658657E-2</v>
      </c>
      <c r="Q1869">
        <v>2.9421498127739885E-3</v>
      </c>
      <c r="R1869">
        <v>6.5948400227879261E-4</v>
      </c>
      <c r="S1869">
        <v>8.4224613410425919E-2</v>
      </c>
      <c r="T1869">
        <v>0.81430906294659577</v>
      </c>
      <c r="U1869">
        <v>1.6578643007581498E-2</v>
      </c>
      <c r="V1869">
        <v>1.0411226313788454E-2</v>
      </c>
      <c r="W1869">
        <v>4.1842816756211917E-2</v>
      </c>
      <c r="X1869">
        <v>1.0070794705410226E-2</v>
      </c>
      <c r="Y1869">
        <v>1.7948980553599495E-3</v>
      </c>
    </row>
    <row r="1870" spans="1:25">
      <c r="A1870" s="876"/>
      <c r="B1870" s="1202">
        <v>1620</v>
      </c>
      <c r="C1870" s="880">
        <v>0.97225014427234835</v>
      </c>
      <c r="D1870" s="880">
        <v>0.9897899104070691</v>
      </c>
      <c r="E1870" s="880">
        <v>1.0248440949611417</v>
      </c>
      <c r="F1870" s="880">
        <v>1.0009275204507524</v>
      </c>
      <c r="G1870" s="880">
        <v>1.0044519521919599</v>
      </c>
      <c r="H1870" s="880">
        <v>0.96453221161319014</v>
      </c>
      <c r="I1870" s="880">
        <v>1.0322492383728707</v>
      </c>
      <c r="K1870">
        <v>1.0802966029877543</v>
      </c>
      <c r="L1870">
        <v>0</v>
      </c>
      <c r="M1870">
        <v>6.532031837819405E-4</v>
      </c>
      <c r="N1870">
        <v>7.0270700267107133E-2</v>
      </c>
      <c r="O1870">
        <v>9.0879765128681102E-3</v>
      </c>
      <c r="P1870">
        <v>1.2935360799063563E-2</v>
      </c>
      <c r="Q1870">
        <v>3.1296183332026146E-3</v>
      </c>
      <c r="R1870">
        <v>6.4177027638220917E-4</v>
      </c>
      <c r="S1870">
        <v>8.986237106932668E-2</v>
      </c>
      <c r="T1870">
        <v>0.81384146319674466</v>
      </c>
      <c r="U1870">
        <v>1.7393290158479385E-2</v>
      </c>
      <c r="V1870">
        <v>1.041590946291888E-2</v>
      </c>
      <c r="W1870">
        <v>4.1301999301001223E-2</v>
      </c>
      <c r="X1870">
        <v>1.0322659661642969E-2</v>
      </c>
      <c r="Y1870">
        <v>1.7466871327976217E-3</v>
      </c>
    </row>
    <row r="1871" spans="1:25">
      <c r="A1871" s="876"/>
      <c r="B1871" s="1202">
        <v>1621</v>
      </c>
      <c r="C1871" s="880">
        <v>1.0011439259663462</v>
      </c>
      <c r="D1871" s="880">
        <v>1.0288366415163093</v>
      </c>
      <c r="E1871" s="880">
        <v>1.0468943654333742</v>
      </c>
      <c r="F1871" s="880">
        <v>1.0310537158244353</v>
      </c>
      <c r="G1871" s="880">
        <v>1.0085521561415627</v>
      </c>
      <c r="H1871" s="880">
        <v>1.0127105814377506</v>
      </c>
      <c r="I1871" s="880">
        <v>1.0162931537898552</v>
      </c>
      <c r="K1871">
        <v>1.0758077186945629</v>
      </c>
      <c r="L1871">
        <v>0</v>
      </c>
      <c r="M1871">
        <v>6.2271633130304678E-4</v>
      </c>
      <c r="N1871">
        <v>7.1792208797518117E-2</v>
      </c>
      <c r="O1871">
        <v>8.6456117849794036E-3</v>
      </c>
      <c r="P1871">
        <v>1.3057031439968819E-2</v>
      </c>
      <c r="Q1871">
        <v>3.0514605303634825E-3</v>
      </c>
      <c r="R1871">
        <v>6.1230613205847057E-4</v>
      </c>
      <c r="S1871">
        <v>8.6005633282870891E-2</v>
      </c>
      <c r="T1871">
        <v>0.81208818198697641</v>
      </c>
      <c r="U1871">
        <v>1.6891306461885136E-2</v>
      </c>
      <c r="V1871">
        <v>1.0413023717219536E-2</v>
      </c>
      <c r="W1871">
        <v>4.1579837646766822E-2</v>
      </c>
      <c r="X1871">
        <v>1.062733780045659E-2</v>
      </c>
      <c r="Y1871">
        <v>1.6664954448009711E-3</v>
      </c>
    </row>
    <row r="1872" spans="1:25">
      <c r="A1872" s="876"/>
      <c r="B1872" s="1202">
        <v>1622</v>
      </c>
      <c r="C1872" s="880">
        <v>1.0215480173071143</v>
      </c>
      <c r="D1872" s="880">
        <v>1.0012969893194434</v>
      </c>
      <c r="E1872" s="880">
        <v>0.99951411389957534</v>
      </c>
      <c r="F1872" s="880">
        <v>0.99169440968743516</v>
      </c>
      <c r="G1872" s="880">
        <v>0.96195229419182227</v>
      </c>
      <c r="H1872" s="880">
        <v>0.98496900244764052</v>
      </c>
      <c r="I1872" s="880">
        <v>1.0064489336917866</v>
      </c>
      <c r="K1872">
        <v>1.0676849662745158</v>
      </c>
      <c r="L1872">
        <v>0</v>
      </c>
      <c r="M1872">
        <v>6.6559716530239642E-4</v>
      </c>
      <c r="N1872">
        <v>6.6206104575007904E-2</v>
      </c>
      <c r="O1872">
        <v>8.5962361886732022E-3</v>
      </c>
      <c r="P1872">
        <v>1.2626725988839613E-2</v>
      </c>
      <c r="Q1872">
        <v>2.8888471867547123E-3</v>
      </c>
      <c r="R1872">
        <v>6.5417934115188415E-4</v>
      </c>
      <c r="S1872">
        <v>8.3629055025798704E-2</v>
      </c>
      <c r="T1872">
        <v>0.81587599114587828</v>
      </c>
      <c r="U1872">
        <v>1.655392461191417E-2</v>
      </c>
      <c r="V1872">
        <v>1.0411084215540095E-2</v>
      </c>
      <c r="W1872">
        <v>3.9587533334197983E-2</v>
      </c>
      <c r="X1872">
        <v>9.540421309607772E-3</v>
      </c>
      <c r="Y1872">
        <v>1.7804605164535754E-3</v>
      </c>
    </row>
    <row r="1873" spans="1:25">
      <c r="A1873" s="876"/>
      <c r="B1873" s="1202">
        <v>1623</v>
      </c>
      <c r="C1873" s="880">
        <v>0.95961497400087392</v>
      </c>
      <c r="D1873" s="880">
        <v>0.99525444054061107</v>
      </c>
      <c r="E1873" s="880">
        <v>1.0226390044449509</v>
      </c>
      <c r="F1873" s="880">
        <v>1.0401162991630637</v>
      </c>
      <c r="G1873" s="880">
        <v>1.018328039524818</v>
      </c>
      <c r="H1873" s="880">
        <v>1.0186295986390888</v>
      </c>
      <c r="I1873" s="880">
        <v>1.0083694356280524</v>
      </c>
      <c r="K1873">
        <v>1.0893936121801284</v>
      </c>
      <c r="L1873">
        <v>0</v>
      </c>
      <c r="M1873">
        <v>7.0013199180067522E-4</v>
      </c>
      <c r="N1873">
        <v>7.4875456279669669E-2</v>
      </c>
      <c r="O1873">
        <v>9.1806236834279312E-3</v>
      </c>
      <c r="P1873">
        <v>1.2932249684673941E-2</v>
      </c>
      <c r="Q1873">
        <v>3.1559160871331361E-3</v>
      </c>
      <c r="R1873">
        <v>6.8852379110744021E-4</v>
      </c>
      <c r="S1873">
        <v>9.0733447075395934E-2</v>
      </c>
      <c r="T1873">
        <v>0.81401770951517616</v>
      </c>
      <c r="U1873">
        <v>1.7622306158320739E-2</v>
      </c>
      <c r="V1873">
        <v>1.0417226003557762E-2</v>
      </c>
      <c r="W1873">
        <v>4.4073831502044171E-2</v>
      </c>
      <c r="X1873">
        <v>1.0522519603833231E-2</v>
      </c>
      <c r="Y1873">
        <v>1.8739347875877139E-3</v>
      </c>
    </row>
    <row r="1874" spans="1:25">
      <c r="A1874" s="876"/>
      <c r="B1874" s="1202">
        <v>1624</v>
      </c>
      <c r="C1874" s="880">
        <v>1.0057563221655492</v>
      </c>
      <c r="D1874" s="880">
        <v>1.0061525608293809</v>
      </c>
      <c r="E1874" s="880">
        <v>1.0273059310077726</v>
      </c>
      <c r="F1874" s="880">
        <v>1.0088926925891533</v>
      </c>
      <c r="G1874" s="880">
        <v>1.0267759727188446</v>
      </c>
      <c r="H1874" s="880">
        <v>1.0231111829635553</v>
      </c>
      <c r="I1874" s="880">
        <v>0.96593468072296229</v>
      </c>
      <c r="K1874">
        <v>1.0738405925682777</v>
      </c>
      <c r="L1874">
        <v>0</v>
      </c>
      <c r="M1874">
        <v>6.6052622680309566E-4</v>
      </c>
      <c r="N1874">
        <v>7.1675360911331129E-2</v>
      </c>
      <c r="O1874">
        <v>8.7087213495321506E-3</v>
      </c>
      <c r="P1874">
        <v>1.2847089718290659E-2</v>
      </c>
      <c r="Q1874">
        <v>3.0100261174956983E-3</v>
      </c>
      <c r="R1874">
        <v>6.4961394171110336E-4</v>
      </c>
      <c r="S1874">
        <v>8.2632268341529563E-2</v>
      </c>
      <c r="T1874">
        <v>0.81364489196188527</v>
      </c>
      <c r="U1874">
        <v>1.6813842968981953E-2</v>
      </c>
      <c r="V1874">
        <v>1.041257840406888E-2</v>
      </c>
      <c r="W1874">
        <v>4.2057966337504298E-2</v>
      </c>
      <c r="X1874">
        <v>1.0280723738590923E-2</v>
      </c>
      <c r="Y1874">
        <v>1.7680350041592906E-3</v>
      </c>
    </row>
    <row r="1875" spans="1:25">
      <c r="A1875" s="876"/>
      <c r="B1875" s="1202">
        <v>1625</v>
      </c>
      <c r="C1875" s="880">
        <v>0.99458333269536181</v>
      </c>
      <c r="D1875" s="880">
        <v>0.97120250862248014</v>
      </c>
      <c r="E1875" s="880">
        <v>0.96431038366595645</v>
      </c>
      <c r="F1875" s="880">
        <v>1.0051665999435628</v>
      </c>
      <c r="G1875" s="880">
        <v>0.99871564288721226</v>
      </c>
      <c r="H1875" s="880">
        <v>0.98488421650087687</v>
      </c>
      <c r="I1875" s="880">
        <v>1.0316357899766371</v>
      </c>
      <c r="K1875">
        <v>1.0784691535658273</v>
      </c>
      <c r="L1875">
        <v>0</v>
      </c>
      <c r="M1875">
        <v>7.4809608438109073E-4</v>
      </c>
      <c r="N1875">
        <v>6.6685500961270336E-2</v>
      </c>
      <c r="O1875">
        <v>8.9743464584396155E-3</v>
      </c>
      <c r="P1875">
        <v>1.241429004757855E-2</v>
      </c>
      <c r="Q1875">
        <v>2.9033530664819701E-3</v>
      </c>
      <c r="R1875">
        <v>7.3529084840800335E-4</v>
      </c>
      <c r="S1875">
        <v>8.939292848835971E-2</v>
      </c>
      <c r="T1875">
        <v>0.81873975835287316</v>
      </c>
      <c r="U1875">
        <v>1.7002726981281583E-2</v>
      </c>
      <c r="V1875">
        <v>1.0413664238588747E-2</v>
      </c>
      <c r="W1875">
        <v>4.0858903572415652E-2</v>
      </c>
      <c r="X1875">
        <v>9.0952673337067486E-3</v>
      </c>
      <c r="Y1875">
        <v>2.0012193008035507E-3</v>
      </c>
    </row>
    <row r="1876" spans="1:25">
      <c r="A1876" s="876"/>
      <c r="B1876" s="1202">
        <v>1626</v>
      </c>
      <c r="C1876" s="880">
        <v>0.96504705318080297</v>
      </c>
      <c r="D1876" s="880">
        <v>1.0306272472420688</v>
      </c>
      <c r="E1876" s="880">
        <v>1.0299997782039252</v>
      </c>
      <c r="F1876" s="880">
        <v>0.98093103490341316</v>
      </c>
      <c r="G1876" s="880">
        <v>0.99175649527029397</v>
      </c>
      <c r="H1876" s="880">
        <v>0.98783542419513359</v>
      </c>
      <c r="I1876" s="880">
        <v>1.006584400081433</v>
      </c>
      <c r="K1876">
        <v>1.0790655515157233</v>
      </c>
      <c r="L1876">
        <v>0</v>
      </c>
      <c r="M1876">
        <v>6.5249649006695091E-4</v>
      </c>
      <c r="N1876">
        <v>7.1353652451491181E-2</v>
      </c>
      <c r="O1876">
        <v>8.9607045388384668E-3</v>
      </c>
      <c r="P1876">
        <v>1.2945525329526595E-2</v>
      </c>
      <c r="Q1876">
        <v>3.1109217035247528E-3</v>
      </c>
      <c r="R1876">
        <v>6.4131235330538809E-4</v>
      </c>
      <c r="S1876">
        <v>8.738105006181672E-2</v>
      </c>
      <c r="T1876">
        <v>0.81343003223704347</v>
      </c>
      <c r="U1876">
        <v>1.7523113313713347E-2</v>
      </c>
      <c r="V1876">
        <v>1.0416655775228267E-2</v>
      </c>
      <c r="W1876">
        <v>4.1793608843435089E-2</v>
      </c>
      <c r="X1876">
        <v>1.0416030580730214E-2</v>
      </c>
      <c r="Y1876">
        <v>1.7454408171368166E-3</v>
      </c>
    </row>
    <row r="1877" spans="1:25">
      <c r="A1877" s="876"/>
      <c r="B1877" s="1202">
        <v>1627</v>
      </c>
      <c r="C1877" s="880">
        <v>0.96766346543462212</v>
      </c>
      <c r="D1877" s="880">
        <v>1.0301579293245697</v>
      </c>
      <c r="E1877" s="880">
        <v>0.99300234594097947</v>
      </c>
      <c r="F1877" s="880">
        <v>1.0290289857138919</v>
      </c>
      <c r="G1877" s="880">
        <v>1.0178592345874038</v>
      </c>
      <c r="H1877" s="880">
        <v>1.0341266527572235</v>
      </c>
      <c r="I1877" s="880">
        <v>0.98374687144419259</v>
      </c>
      <c r="K1877">
        <v>1.0824596808479847</v>
      </c>
      <c r="L1877">
        <v>0</v>
      </c>
      <c r="M1877">
        <v>7.3670469086886366E-4</v>
      </c>
      <c r="N1877">
        <v>7.1866165292749654E-2</v>
      </c>
      <c r="O1877">
        <v>8.9386408478750942E-3</v>
      </c>
      <c r="P1877">
        <v>1.2628628347126466E-2</v>
      </c>
      <c r="Q1877">
        <v>2.9905752313206793E-3</v>
      </c>
      <c r="R1877">
        <v>7.2464283174315466E-4</v>
      </c>
      <c r="S1877">
        <v>8.6843149121705307E-2</v>
      </c>
      <c r="T1877">
        <v>0.81640254859078543</v>
      </c>
      <c r="U1877">
        <v>1.7475733527210349E-2</v>
      </c>
      <c r="V1877">
        <v>1.041638340380254E-2</v>
      </c>
      <c r="W1877">
        <v>4.3164329197891586E-2</v>
      </c>
      <c r="X1877">
        <v>9.7733502370835387E-3</v>
      </c>
      <c r="Y1877">
        <v>1.9722389095595829E-3</v>
      </c>
    </row>
    <row r="1878" spans="1:25">
      <c r="A1878" s="876"/>
      <c r="B1878" s="1202">
        <v>1628</v>
      </c>
      <c r="C1878" s="880">
        <v>1.0035014510069207</v>
      </c>
      <c r="D1878" s="880">
        <v>0.9827219660344495</v>
      </c>
      <c r="E1878" s="880">
        <v>0.97508594582757435</v>
      </c>
      <c r="F1878" s="880">
        <v>0.9895537064665556</v>
      </c>
      <c r="G1878" s="880">
        <v>0.99262522481419846</v>
      </c>
      <c r="H1878" s="880">
        <v>0.9916682523577256</v>
      </c>
      <c r="I1878" s="880">
        <v>0.98340339843390312</v>
      </c>
      <c r="K1878">
        <v>1.0721779953013186</v>
      </c>
      <c r="L1878">
        <v>0</v>
      </c>
      <c r="M1878">
        <v>7.2530936899488211E-4</v>
      </c>
      <c r="N1878">
        <v>6.6870492129062806E-2</v>
      </c>
      <c r="O1878">
        <v>8.8387148181099627E-3</v>
      </c>
      <c r="P1878">
        <v>1.2434034294569005E-2</v>
      </c>
      <c r="Q1878">
        <v>2.8937192329589593E-3</v>
      </c>
      <c r="R1878">
        <v>7.1296831946561512E-4</v>
      </c>
      <c r="S1878">
        <v>8.420044979599578E-2</v>
      </c>
      <c r="T1878">
        <v>0.81785873129454123</v>
      </c>
      <c r="U1878">
        <v>1.685162373107095E-2</v>
      </c>
      <c r="V1878">
        <v>1.0412795593735504E-2</v>
      </c>
      <c r="W1878">
        <v>4.066482879717935E-2</v>
      </c>
      <c r="X1878">
        <v>9.224481927983216E-3</v>
      </c>
      <c r="Y1878">
        <v>1.9404647356420584E-3</v>
      </c>
    </row>
    <row r="1879" spans="1:25">
      <c r="A1879" s="876"/>
      <c r="B1879" s="1202">
        <v>1629</v>
      </c>
      <c r="C1879" s="880">
        <v>1.002802094566007</v>
      </c>
      <c r="D1879" s="880">
        <v>1.0115393691228036</v>
      </c>
      <c r="E1879" s="880">
        <v>1.0116726400020168</v>
      </c>
      <c r="F1879" s="880">
        <v>0.99820700125003547</v>
      </c>
      <c r="G1879" s="880">
        <v>0.99275085731179469</v>
      </c>
      <c r="H1879" s="880">
        <v>0.98960357139761124</v>
      </c>
      <c r="I1879" s="880">
        <v>1.0144922362912823</v>
      </c>
      <c r="K1879">
        <v>1.0725276418591463</v>
      </c>
      <c r="L1879">
        <v>0</v>
      </c>
      <c r="M1879">
        <v>6.6041059100558838E-4</v>
      </c>
      <c r="N1879">
        <v>6.8226253564691863E-2</v>
      </c>
      <c r="O1879">
        <v>8.7095626703004667E-3</v>
      </c>
      <c r="P1879">
        <v>1.2759359305301525E-2</v>
      </c>
      <c r="Q1879">
        <v>2.9650576421088007E-3</v>
      </c>
      <c r="R1879">
        <v>6.4912638846909812E-4</v>
      </c>
      <c r="S1879">
        <v>8.5606111329267098E-2</v>
      </c>
      <c r="T1879">
        <v>0.81489668047737918</v>
      </c>
      <c r="U1879">
        <v>1.6863376091441996E-2</v>
      </c>
      <c r="V1879">
        <v>1.0412863154342804E-2</v>
      </c>
      <c r="W1879">
        <v>4.0458794194294843E-2</v>
      </c>
      <c r="X1879">
        <v>9.8741595875983419E-3</v>
      </c>
      <c r="Y1879">
        <v>1.766708044956436E-3</v>
      </c>
    </row>
    <row r="1880" spans="1:25">
      <c r="A1880" s="876"/>
      <c r="B1880" s="1202">
        <v>1630</v>
      </c>
      <c r="C1880" s="880">
        <v>0.97406771934564262</v>
      </c>
      <c r="D1880" s="880">
        <v>0.98409291650133013</v>
      </c>
      <c r="E1880" s="880">
        <v>1.0159443079754527</v>
      </c>
      <c r="F1880" s="880">
        <v>0.97726957365733313</v>
      </c>
      <c r="G1880" s="880">
        <v>0.99441364945147115</v>
      </c>
      <c r="H1880" s="880">
        <v>1.0022858619177533</v>
      </c>
      <c r="I1880" s="880">
        <v>0.96939628102248954</v>
      </c>
      <c r="K1880">
        <v>1.0806514507865144</v>
      </c>
      <c r="L1880">
        <v>0</v>
      </c>
      <c r="M1880">
        <v>6.9248827311938594E-4</v>
      </c>
      <c r="N1880">
        <v>7.2514725185633344E-2</v>
      </c>
      <c r="O1880">
        <v>9.0990195192010206E-3</v>
      </c>
      <c r="P1880">
        <v>1.2804910454293219E-2</v>
      </c>
      <c r="Q1880">
        <v>3.1044795410386915E-3</v>
      </c>
      <c r="R1880">
        <v>6.8082928615150276E-4</v>
      </c>
      <c r="S1880">
        <v>8.5830798986542098E-2</v>
      </c>
      <c r="T1880">
        <v>0.81455381248464542</v>
      </c>
      <c r="U1880">
        <v>1.7360834909212006E-2</v>
      </c>
      <c r="V1880">
        <v>1.0415722887943152E-2</v>
      </c>
      <c r="W1880">
        <v>4.2877592777042374E-2</v>
      </c>
      <c r="X1880">
        <v>1.0248220146340831E-2</v>
      </c>
      <c r="Y1880">
        <v>1.8529928815905288E-3</v>
      </c>
    </row>
    <row r="1881" spans="1:25">
      <c r="A1881" s="876"/>
      <c r="B1881" s="1202">
        <v>1631</v>
      </c>
      <c r="C1881" s="880">
        <v>0.99979417067574428</v>
      </c>
      <c r="D1881" s="880">
        <v>0.9900703185132701</v>
      </c>
      <c r="E1881" s="880">
        <v>1.0085534096912221</v>
      </c>
      <c r="F1881" s="880">
        <v>0.97254696590149514</v>
      </c>
      <c r="G1881" s="880">
        <v>1.0419076262554343</v>
      </c>
      <c r="H1881" s="880">
        <v>0.9936672995538135</v>
      </c>
      <c r="I1881" s="880">
        <v>0.97873972332931547</v>
      </c>
      <c r="K1881">
        <v>1.0730481613504663</v>
      </c>
      <c r="L1881">
        <v>0</v>
      </c>
      <c r="M1881">
        <v>6.7719210204097156E-4</v>
      </c>
      <c r="N1881">
        <v>6.9291621695218242E-2</v>
      </c>
      <c r="O1881">
        <v>8.83626937344811E-3</v>
      </c>
      <c r="P1881">
        <v>1.2710237680007399E-2</v>
      </c>
      <c r="Q1881">
        <v>2.9940289776782514E-3</v>
      </c>
      <c r="R1881">
        <v>6.65686612862329E-4</v>
      </c>
      <c r="S1881">
        <v>8.3870262260001702E-2</v>
      </c>
      <c r="T1881">
        <v>0.81514743986336236</v>
      </c>
      <c r="U1881">
        <v>1.6914110285842918E-2</v>
      </c>
      <c r="V1881">
        <v>1.0413154809199941E-2</v>
      </c>
      <c r="W1881">
        <v>4.1177743201328797E-2</v>
      </c>
      <c r="X1881">
        <v>9.8930191768783274E-3</v>
      </c>
      <c r="Y1881">
        <v>1.8117795166783062E-3</v>
      </c>
    </row>
    <row r="1882" spans="1:25">
      <c r="A1882" s="876"/>
      <c r="B1882" s="1202">
        <v>1632</v>
      </c>
      <c r="C1882" s="880">
        <v>0.95408726185505577</v>
      </c>
      <c r="D1882" s="880">
        <v>0.99451679495491063</v>
      </c>
      <c r="E1882" s="880">
        <v>1.0213555443753064</v>
      </c>
      <c r="F1882" s="880">
        <v>0.9595880438070743</v>
      </c>
      <c r="G1882" s="880">
        <v>1.0051809370601408</v>
      </c>
      <c r="H1882" s="880">
        <v>1.0015066844030711</v>
      </c>
      <c r="I1882" s="880">
        <v>0.98890193440447305</v>
      </c>
      <c r="K1882">
        <v>1.0863038199918442</v>
      </c>
      <c r="L1882">
        <v>0</v>
      </c>
      <c r="M1882">
        <v>6.9450531975020254E-4</v>
      </c>
      <c r="N1882">
        <v>7.3956955989995909E-2</v>
      </c>
      <c r="O1882">
        <v>9.2374670392313136E-3</v>
      </c>
      <c r="P1882">
        <v>1.2897442087925889E-2</v>
      </c>
      <c r="Q1882">
        <v>3.1712357770474712E-3</v>
      </c>
      <c r="R1882">
        <v>6.827941762021911E-4</v>
      </c>
      <c r="S1882">
        <v>8.8893969867529149E-2</v>
      </c>
      <c r="T1882">
        <v>0.81412036901331153</v>
      </c>
      <c r="U1882">
        <v>1.7724404823383381E-2</v>
      </c>
      <c r="V1882">
        <v>1.0417812936531103E-2</v>
      </c>
      <c r="W1882">
        <v>4.3570842000838279E-2</v>
      </c>
      <c r="X1882">
        <v>1.046669093501466E-2</v>
      </c>
      <c r="Y1882">
        <v>1.858340664582671E-3</v>
      </c>
    </row>
    <row r="1883" spans="1:25">
      <c r="A1883" s="876"/>
      <c r="B1883" s="1202">
        <v>1633</v>
      </c>
      <c r="C1883" s="880">
        <v>0.99037558142351567</v>
      </c>
      <c r="D1883" s="880">
        <v>0.97329167218005808</v>
      </c>
      <c r="E1883" s="880">
        <v>0.97787897335561835</v>
      </c>
      <c r="F1883" s="880">
        <v>0.99752302761793965</v>
      </c>
      <c r="G1883" s="880">
        <v>0.98704954580239279</v>
      </c>
      <c r="H1883" s="880">
        <v>1.008492678448019</v>
      </c>
      <c r="I1883" s="880">
        <v>0.97375488708923541</v>
      </c>
      <c r="K1883">
        <v>1.0780958573189405</v>
      </c>
      <c r="L1883">
        <v>0</v>
      </c>
      <c r="M1883">
        <v>7.4685316175921812E-4</v>
      </c>
      <c r="N1883">
        <v>6.9479627505279917E-2</v>
      </c>
      <c r="O1883">
        <v>9.0021261232932238E-3</v>
      </c>
      <c r="P1883">
        <v>1.2477788225220455E-2</v>
      </c>
      <c r="Q1883">
        <v>2.9534652714658257E-3</v>
      </c>
      <c r="R1883">
        <v>7.34366474895686E-4</v>
      </c>
      <c r="S1883">
        <v>8.5487034665445147E-2</v>
      </c>
      <c r="T1883">
        <v>0.81763100885086637</v>
      </c>
      <c r="U1883">
        <v>1.7074965480919781E-2</v>
      </c>
      <c r="V1883">
        <v>1.0414079514903642E-2</v>
      </c>
      <c r="W1883">
        <v>4.216946987310153E-2</v>
      </c>
      <c r="X1883">
        <v>9.4200750344846113E-3</v>
      </c>
      <c r="Y1883">
        <v>1.9987034608226696E-3</v>
      </c>
    </row>
    <row r="1884" spans="1:25">
      <c r="A1884" s="876"/>
      <c r="B1884" s="1202">
        <v>1634</v>
      </c>
      <c r="C1884" s="880">
        <v>1.0086610179486102</v>
      </c>
      <c r="D1884" s="880">
        <v>0.9843327132722568</v>
      </c>
      <c r="E1884" s="880">
        <v>1.0070993456045592</v>
      </c>
      <c r="F1884" s="880">
        <v>0.97972718965139249</v>
      </c>
      <c r="G1884" s="880">
        <v>0.96688022883841063</v>
      </c>
      <c r="H1884" s="880">
        <v>1.0283049073340367</v>
      </c>
      <c r="I1884" s="880">
        <v>1.0017247602788233</v>
      </c>
      <c r="K1884">
        <v>1.0789206902890758</v>
      </c>
      <c r="L1884">
        <v>0</v>
      </c>
      <c r="M1884">
        <v>6.9893071805657097E-4</v>
      </c>
      <c r="N1884">
        <v>7.1235313932440272E-2</v>
      </c>
      <c r="O1884">
        <v>8.7858138735000379E-3</v>
      </c>
      <c r="P1884">
        <v>1.2733167360232809E-2</v>
      </c>
      <c r="Q1884">
        <v>2.971306470372696E-3</v>
      </c>
      <c r="R1884">
        <v>6.8746080723894472E-4</v>
      </c>
      <c r="S1884">
        <v>8.6572613349381239E-2</v>
      </c>
      <c r="T1884">
        <v>0.81526444731298175</v>
      </c>
      <c r="U1884">
        <v>1.6765423234403182E-2</v>
      </c>
      <c r="V1884">
        <v>1.0412300054310184E-2</v>
      </c>
      <c r="W1884">
        <v>4.2374725530544916E-2</v>
      </c>
      <c r="X1884">
        <v>9.9460073858148607E-3</v>
      </c>
      <c r="Y1884">
        <v>1.8710416959102074E-3</v>
      </c>
    </row>
    <row r="1885" spans="1:25">
      <c r="A1885" s="876"/>
      <c r="B1885" s="1202">
        <v>1635</v>
      </c>
      <c r="C1885" s="880">
        <v>0.99818155222452598</v>
      </c>
      <c r="D1885" s="880">
        <v>1.0182262449537505</v>
      </c>
      <c r="E1885" s="880">
        <v>0.98419238574633428</v>
      </c>
      <c r="F1885" s="880">
        <v>0.98450809512502813</v>
      </c>
      <c r="G1885" s="880">
        <v>1.0021117679977307</v>
      </c>
      <c r="H1885" s="880">
        <v>0.99484658494139222</v>
      </c>
      <c r="I1885" s="880">
        <v>1.0435116327810405</v>
      </c>
      <c r="K1885">
        <v>1.0754143384330614</v>
      </c>
      <c r="L1885">
        <v>0</v>
      </c>
      <c r="M1885">
        <v>7.0423800243128525E-4</v>
      </c>
      <c r="N1885">
        <v>6.6797129611761166E-2</v>
      </c>
      <c r="O1885">
        <v>8.7192322082260219E-3</v>
      </c>
      <c r="P1885">
        <v>1.2567895178695268E-2</v>
      </c>
      <c r="Q1885">
        <v>2.8887978684343759E-3</v>
      </c>
      <c r="R1885">
        <v>6.922625973370402E-4</v>
      </c>
      <c r="S1885">
        <v>8.8367278662512608E-2</v>
      </c>
      <c r="T1885">
        <v>0.81711723308652617</v>
      </c>
      <c r="U1885">
        <v>1.6941435982528164E-2</v>
      </c>
      <c r="V1885">
        <v>1.0413311895998223E-2</v>
      </c>
      <c r="W1885">
        <v>4.036428622147159E-2</v>
      </c>
      <c r="X1885">
        <v>9.3656025363531847E-3</v>
      </c>
      <c r="Y1885">
        <v>1.8841105856475422E-3</v>
      </c>
    </row>
    <row r="1886" spans="1:25">
      <c r="A1886" s="876"/>
      <c r="B1886" s="1202">
        <v>1636</v>
      </c>
      <c r="C1886" s="880">
        <v>1.0206980448435858</v>
      </c>
      <c r="D1886" s="880">
        <v>0.99384332225935668</v>
      </c>
      <c r="E1886" s="880">
        <v>1.0187322817919688</v>
      </c>
      <c r="F1886" s="880">
        <v>1.010061736000033</v>
      </c>
      <c r="G1886" s="880">
        <v>0.98660309559611958</v>
      </c>
      <c r="H1886" s="880">
        <v>0.98426510409924295</v>
      </c>
      <c r="I1886" s="880">
        <v>1.0108902845770642</v>
      </c>
      <c r="K1886">
        <v>1.0694703136592532</v>
      </c>
      <c r="L1886">
        <v>0</v>
      </c>
      <c r="M1886">
        <v>6.4178238810632304E-4</v>
      </c>
      <c r="N1886">
        <v>6.7767581039099328E-2</v>
      </c>
      <c r="O1886">
        <v>8.6377511859468768E-3</v>
      </c>
      <c r="P1886">
        <v>1.2796660108288794E-2</v>
      </c>
      <c r="Q1886">
        <v>2.9574793545221576E-3</v>
      </c>
      <c r="R1886">
        <v>6.3077126470955887E-4</v>
      </c>
      <c r="S1886">
        <v>8.4356464865381134E-2</v>
      </c>
      <c r="T1886">
        <v>0.81433036936648795</v>
      </c>
      <c r="U1886">
        <v>1.6567709668282762E-2</v>
      </c>
      <c r="V1886">
        <v>1.0411163461474592E-2</v>
      </c>
      <c r="W1886">
        <v>3.999517846700195E-2</v>
      </c>
      <c r="X1886">
        <v>9.9442158173158116E-3</v>
      </c>
      <c r="Y1886">
        <v>1.7167514488478908E-3</v>
      </c>
    </row>
    <row r="1887" spans="1:25">
      <c r="A1887" s="876"/>
      <c r="B1887" s="1202">
        <v>1637</v>
      </c>
      <c r="C1887" s="880">
        <v>1.0059918939837438</v>
      </c>
      <c r="D1887" s="880">
        <v>1.0046734573415428</v>
      </c>
      <c r="E1887" s="880">
        <v>1.0011307232208124</v>
      </c>
      <c r="F1887" s="880">
        <v>1.0099207591756367</v>
      </c>
      <c r="G1887" s="880">
        <v>1.0163181380655346</v>
      </c>
      <c r="H1887" s="880">
        <v>1.0063051400736431</v>
      </c>
      <c r="I1887" s="880">
        <v>0.98815332301325243</v>
      </c>
      <c r="K1887">
        <v>1.0725162030809265</v>
      </c>
      <c r="L1887">
        <v>0</v>
      </c>
      <c r="M1887">
        <v>6.8695248234804476E-4</v>
      </c>
      <c r="N1887">
        <v>6.8699936283295876E-2</v>
      </c>
      <c r="O1887">
        <v>8.7135116922217905E-3</v>
      </c>
      <c r="P1887">
        <v>1.2648592263992222E-2</v>
      </c>
      <c r="Q1887">
        <v>2.9337567441784992E-3</v>
      </c>
      <c r="R1887">
        <v>6.754153288464535E-4</v>
      </c>
      <c r="S1887">
        <v>8.3986385172513778E-2</v>
      </c>
      <c r="T1887">
        <v>0.81574549131662288</v>
      </c>
      <c r="U1887">
        <v>1.6809905693162239E-2</v>
      </c>
      <c r="V1887">
        <v>1.0412555769913965E-2</v>
      </c>
      <c r="W1887">
        <v>4.1033300791591606E-2</v>
      </c>
      <c r="X1887">
        <v>9.7060466324169013E-3</v>
      </c>
      <c r="Y1887">
        <v>1.8382578745167306E-3</v>
      </c>
    </row>
    <row r="1888" spans="1:25">
      <c r="A1888" s="876"/>
      <c r="B1888" s="1202">
        <v>1638</v>
      </c>
      <c r="C1888" s="880">
        <v>0.97616161647349642</v>
      </c>
      <c r="D1888" s="880">
        <v>1.0258390320186699</v>
      </c>
      <c r="E1888" s="880">
        <v>1.0205302220433596</v>
      </c>
      <c r="F1888" s="880">
        <v>1.0073082948117364</v>
      </c>
      <c r="G1888" s="880">
        <v>0.96275979893996777</v>
      </c>
      <c r="H1888" s="880">
        <v>0.98315323740821337</v>
      </c>
      <c r="I1888" s="880">
        <v>0.97521474620722992</v>
      </c>
      <c r="K1888">
        <v>1.0730893621772473</v>
      </c>
      <c r="L1888">
        <v>0</v>
      </c>
      <c r="M1888">
        <v>6.5661192226878487E-4</v>
      </c>
      <c r="N1888">
        <v>6.9717613286135169E-2</v>
      </c>
      <c r="O1888">
        <v>8.88064575433202E-3</v>
      </c>
      <c r="P1888">
        <v>1.281331465275351E-2</v>
      </c>
      <c r="Q1888">
        <v>3.0532723867790165E-3</v>
      </c>
      <c r="R1888">
        <v>6.4530746492568304E-4</v>
      </c>
      <c r="S1888">
        <v>8.3722637282977574E-2</v>
      </c>
      <c r="T1888">
        <v>0.81418641334502306</v>
      </c>
      <c r="U1888">
        <v>1.7323595376597712E-2</v>
      </c>
      <c r="V1888">
        <v>1.0415508809633838E-2</v>
      </c>
      <c r="W1888">
        <v>4.1096150253199341E-2</v>
      </c>
      <c r="X1888">
        <v>1.0135201293178396E-2</v>
      </c>
      <c r="Y1888">
        <v>1.7563141939790675E-3</v>
      </c>
    </row>
    <row r="1889" spans="1:25">
      <c r="A1889" s="876"/>
      <c r="B1889" s="1202">
        <v>1639</v>
      </c>
      <c r="C1889" s="880">
        <v>0.95548900259620462</v>
      </c>
      <c r="D1889" s="880">
        <v>0.98443824468871177</v>
      </c>
      <c r="E1889" s="880">
        <v>1.0129684096392095</v>
      </c>
      <c r="F1889" s="880">
        <v>0.99025726013733129</v>
      </c>
      <c r="G1889" s="880">
        <v>1.0344745498448864</v>
      </c>
      <c r="H1889" s="880">
        <v>1.0177872012428157</v>
      </c>
      <c r="I1889" s="880">
        <v>0.98471827490362906</v>
      </c>
      <c r="K1889">
        <v>1.0890987370022733</v>
      </c>
      <c r="L1889">
        <v>0</v>
      </c>
      <c r="M1889">
        <v>7.2125336063487519E-4</v>
      </c>
      <c r="N1889">
        <v>7.4851093422105788E-2</v>
      </c>
      <c r="O1889">
        <v>9.2742046914244172E-3</v>
      </c>
      <c r="P1889">
        <v>1.2834589927516881E-2</v>
      </c>
      <c r="Q1889">
        <v>3.154957866731263E-3</v>
      </c>
      <c r="R1889">
        <v>7.0929471139023683E-4</v>
      </c>
      <c r="S1889">
        <v>8.9443126195051167E-2</v>
      </c>
      <c r="T1889">
        <v>0.81479260908420303</v>
      </c>
      <c r="U1889">
        <v>1.7698402409660061E-2</v>
      </c>
      <c r="V1889">
        <v>1.0417663456868523E-2</v>
      </c>
      <c r="W1889">
        <v>4.4348383992550436E-2</v>
      </c>
      <c r="X1889">
        <v>1.0365198219941928E-2</v>
      </c>
      <c r="Y1889">
        <v>1.9304663854654556E-3</v>
      </c>
    </row>
    <row r="1890" spans="1:25">
      <c r="A1890" s="876"/>
      <c r="B1890" s="1202">
        <v>1640</v>
      </c>
      <c r="C1890" s="880">
        <v>0.98879801960098035</v>
      </c>
      <c r="D1890" s="880">
        <v>0.99253379131749653</v>
      </c>
      <c r="E1890" s="880">
        <v>1.0234738958729699</v>
      </c>
      <c r="F1890" s="880">
        <v>0.99656583224105699</v>
      </c>
      <c r="G1890" s="880">
        <v>1.0019141428109666</v>
      </c>
      <c r="H1890" s="880">
        <v>1.0077749961838733</v>
      </c>
      <c r="I1890" s="880">
        <v>1.0180178733813188</v>
      </c>
      <c r="K1890">
        <v>1.0815152268899089</v>
      </c>
      <c r="L1890">
        <v>0</v>
      </c>
      <c r="M1890">
        <v>6.720215421371497E-4</v>
      </c>
      <c r="N1890">
        <v>7.2042952803596738E-2</v>
      </c>
      <c r="O1890">
        <v>8.9226928815832572E-3</v>
      </c>
      <c r="P1890">
        <v>1.2902592009096155E-2</v>
      </c>
      <c r="Q1890">
        <v>3.0691635856478394E-3</v>
      </c>
      <c r="R1890">
        <v>6.6076167238033852E-4</v>
      </c>
      <c r="S1890">
        <v>8.8618400660373575E-2</v>
      </c>
      <c r="T1890">
        <v>0.81395095961862629</v>
      </c>
      <c r="U1890">
        <v>1.7102207458684529E-2</v>
      </c>
      <c r="V1890">
        <v>1.0414236120428296E-2</v>
      </c>
      <c r="W1890">
        <v>4.2382705980641623E-2</v>
      </c>
      <c r="X1890">
        <v>1.0322200188794725E-2</v>
      </c>
      <c r="Y1890">
        <v>1.7983754521925211E-3</v>
      </c>
    </row>
    <row r="1891" spans="1:25">
      <c r="A1891" s="876"/>
      <c r="B1891" s="1202">
        <v>1641</v>
      </c>
      <c r="C1891" s="880">
        <v>0.99722227174430544</v>
      </c>
      <c r="D1891" s="880">
        <v>1.0383964792242995</v>
      </c>
      <c r="E1891" s="880">
        <v>1.0385341587950896</v>
      </c>
      <c r="F1891" s="880">
        <v>0.99818558766847265</v>
      </c>
      <c r="G1891" s="880">
        <v>1.0240337346561479</v>
      </c>
      <c r="H1891" s="880">
        <v>0.96533860562667861</v>
      </c>
      <c r="I1891" s="880">
        <v>1.0057766226814298</v>
      </c>
      <c r="K1891">
        <v>1.0672091582994043</v>
      </c>
      <c r="L1891">
        <v>0</v>
      </c>
      <c r="M1891">
        <v>6.0360688299589897E-4</v>
      </c>
      <c r="N1891">
        <v>6.7750638239084338E-2</v>
      </c>
      <c r="O1891">
        <v>8.637041019570366E-3</v>
      </c>
      <c r="P1891">
        <v>1.2952201600541858E-2</v>
      </c>
      <c r="Q1891">
        <v>3.0255750351331672E-3</v>
      </c>
      <c r="R1891">
        <v>5.9301387300348871E-4</v>
      </c>
      <c r="S1891">
        <v>8.3384503663831988E-2</v>
      </c>
      <c r="T1891">
        <v>0.81275097105077987</v>
      </c>
      <c r="U1891">
        <v>1.6957732839613493E-2</v>
      </c>
      <c r="V1891">
        <v>1.0413405581481563E-2</v>
      </c>
      <c r="W1891">
        <v>3.9457597083604176E-2</v>
      </c>
      <c r="X1891">
        <v>1.027609692041046E-2</v>
      </c>
      <c r="Y1891">
        <v>1.6139882753447991E-3</v>
      </c>
    </row>
    <row r="1892" spans="1:25">
      <c r="A1892" s="876"/>
      <c r="B1892" s="1202">
        <v>1642</v>
      </c>
      <c r="C1892" s="880">
        <v>1.0233163915181673</v>
      </c>
      <c r="D1892" s="880">
        <v>0.98667123984379712</v>
      </c>
      <c r="E1892" s="880">
        <v>0.98962422253423465</v>
      </c>
      <c r="F1892" s="880">
        <v>1.0023931221076268</v>
      </c>
      <c r="G1892" s="880">
        <v>0.99900649670174091</v>
      </c>
      <c r="H1892" s="880">
        <v>1.0420868352320363</v>
      </c>
      <c r="I1892" s="880">
        <v>1.0201862702204914</v>
      </c>
      <c r="K1892">
        <v>1.0783876664042515</v>
      </c>
      <c r="L1892">
        <v>0</v>
      </c>
      <c r="M1892">
        <v>7.2340411238577796E-4</v>
      </c>
      <c r="N1892">
        <v>6.9842950100025183E-2</v>
      </c>
      <c r="O1892">
        <v>8.6490215468440299E-3</v>
      </c>
      <c r="P1892">
        <v>1.2593467018625119E-2</v>
      </c>
      <c r="Q1892">
        <v>2.8745791187440657E-3</v>
      </c>
      <c r="R1892">
        <v>7.1168752765876653E-4</v>
      </c>
      <c r="S1892">
        <v>8.7297290998724242E-2</v>
      </c>
      <c r="T1892">
        <v>0.81667627879951277</v>
      </c>
      <c r="U1892">
        <v>1.6525318079645111E-2</v>
      </c>
      <c r="V1892">
        <v>1.0410919765622641E-2</v>
      </c>
      <c r="W1892">
        <v>4.2046811183705617E-2</v>
      </c>
      <c r="X1892">
        <v>9.5457675349735725E-3</v>
      </c>
      <c r="Y1892">
        <v>1.9369788425567221E-3</v>
      </c>
    </row>
    <row r="1893" spans="1:25">
      <c r="A1893" s="876"/>
      <c r="B1893" s="1202">
        <v>1643</v>
      </c>
      <c r="C1893" s="880">
        <v>1.0177067062182523</v>
      </c>
      <c r="D1893" s="880">
        <v>1.0101439862223394</v>
      </c>
      <c r="E1893" s="880">
        <v>1.0330158497576509</v>
      </c>
      <c r="F1893" s="880">
        <v>1.0098611171664815</v>
      </c>
      <c r="G1893" s="880">
        <v>0.98029596346215575</v>
      </c>
      <c r="H1893" s="880">
        <v>1.0123152882096851</v>
      </c>
      <c r="I1893" s="880">
        <v>1.0374443448184598</v>
      </c>
      <c r="K1893">
        <v>1.0753147256877713</v>
      </c>
      <c r="L1893">
        <v>0</v>
      </c>
      <c r="M1893">
        <v>6.3678519304053176E-4</v>
      </c>
      <c r="N1893">
        <v>7.0321888656656298E-2</v>
      </c>
      <c r="O1893">
        <v>8.5883219030361644E-3</v>
      </c>
      <c r="P1893">
        <v>1.2954480883022486E-2</v>
      </c>
      <c r="Q1893">
        <v>2.9860955155862901E-3</v>
      </c>
      <c r="R1893">
        <v>6.261498514745392E-4</v>
      </c>
      <c r="S1893">
        <v>8.7143394004146932E-2</v>
      </c>
      <c r="T1893">
        <v>0.81318976605930982</v>
      </c>
      <c r="U1893">
        <v>1.6616407028299394E-2</v>
      </c>
      <c r="V1893">
        <v>1.0411443407214241E-2</v>
      </c>
      <c r="W1893">
        <v>4.1106201508259922E-2</v>
      </c>
      <c r="X1893">
        <v>1.0303188578334354E-2</v>
      </c>
      <c r="Y1893">
        <v>1.7041734854706312E-3</v>
      </c>
    </row>
    <row r="1894" spans="1:25">
      <c r="A1894" s="876"/>
      <c r="B1894" s="1202">
        <v>1644</v>
      </c>
      <c r="C1894" s="880">
        <v>1.0112064453444891</v>
      </c>
      <c r="D1894" s="880">
        <v>1.0094127666003889</v>
      </c>
      <c r="E1894" s="880">
        <v>0.96971861476569088</v>
      </c>
      <c r="F1894" s="880">
        <v>0.99007245521437248</v>
      </c>
      <c r="G1894" s="880">
        <v>0.98859645214785918</v>
      </c>
      <c r="H1894" s="880">
        <v>1.0243385431245742</v>
      </c>
      <c r="I1894" s="880">
        <v>0.96424039457094302</v>
      </c>
      <c r="K1894">
        <v>1.0705501412169303</v>
      </c>
      <c r="L1894">
        <v>0</v>
      </c>
      <c r="M1894">
        <v>7.412628558525309E-4</v>
      </c>
      <c r="N1894">
        <v>6.7242205447241868E-2</v>
      </c>
      <c r="O1894">
        <v>8.6468648856984128E-3</v>
      </c>
      <c r="P1894">
        <v>1.2357163892945555E-2</v>
      </c>
      <c r="Q1894">
        <v>2.8210932612487381E-3</v>
      </c>
      <c r="R1894">
        <v>7.2902853092419713E-4</v>
      </c>
      <c r="S1894">
        <v>8.1952313186243186E-2</v>
      </c>
      <c r="T1894">
        <v>0.8182970829846975</v>
      </c>
      <c r="U1894">
        <v>1.672322100378959E-2</v>
      </c>
      <c r="V1894">
        <v>1.0412057447017694E-2</v>
      </c>
      <c r="W1894">
        <v>4.1044266561408548E-2</v>
      </c>
      <c r="X1894">
        <v>9.081931534582241E-3</v>
      </c>
      <c r="Y1894">
        <v>1.9841753369850344E-3</v>
      </c>
    </row>
    <row r="1895" spans="1:25">
      <c r="A1895" s="876"/>
      <c r="B1895" s="1202">
        <v>1645</v>
      </c>
      <c r="C1895" s="880">
        <v>0.99679491321000235</v>
      </c>
      <c r="D1895" s="880">
        <v>0.99102841103855688</v>
      </c>
      <c r="E1895" s="880">
        <v>1.0059364809989069</v>
      </c>
      <c r="F1895" s="880">
        <v>1.002651622054183</v>
      </c>
      <c r="G1895" s="880">
        <v>0.98264536581435347</v>
      </c>
      <c r="H1895" s="880">
        <v>1.029904115773433</v>
      </c>
      <c r="I1895" s="880">
        <v>0.96317408468811627</v>
      </c>
      <c r="K1895">
        <v>1.0777550145699399</v>
      </c>
      <c r="L1895">
        <v>0</v>
      </c>
      <c r="M1895">
        <v>7.0753004877442379E-4</v>
      </c>
      <c r="N1895">
        <v>7.1852734423213077E-2</v>
      </c>
      <c r="O1895">
        <v>8.858282463759427E-3</v>
      </c>
      <c r="P1895">
        <v>1.2690984177304321E-2</v>
      </c>
      <c r="Q1895">
        <v>2.9938514245273131E-3</v>
      </c>
      <c r="R1895">
        <v>6.9593124318678451E-4</v>
      </c>
      <c r="S1895">
        <v>8.4002780950456241E-2</v>
      </c>
      <c r="T1895">
        <v>0.81535807392474746</v>
      </c>
      <c r="U1895">
        <v>1.6965003173516104E-2</v>
      </c>
      <c r="V1895">
        <v>1.0413447376334539E-2</v>
      </c>
      <c r="W1895">
        <v>4.277586962957837E-2</v>
      </c>
      <c r="X1895">
        <v>9.9614904018076669E-3</v>
      </c>
      <c r="Y1895">
        <v>1.894095430281767E-3</v>
      </c>
    </row>
    <row r="1896" spans="1:25">
      <c r="A1896" s="876"/>
      <c r="B1896" s="1202">
        <v>1646</v>
      </c>
      <c r="C1896" s="880">
        <v>0.99177845970639589</v>
      </c>
      <c r="D1896" s="880">
        <v>0.98597928784407185</v>
      </c>
      <c r="E1896" s="880">
        <v>1.0140840597493224</v>
      </c>
      <c r="F1896" s="880">
        <v>0.98956764885311488</v>
      </c>
      <c r="G1896" s="880">
        <v>1.0041505835416316</v>
      </c>
      <c r="H1896" s="880">
        <v>1.0041141656902397</v>
      </c>
      <c r="I1896" s="880">
        <v>1.0443327063911068</v>
      </c>
      <c r="K1896">
        <v>1.0830008583038895</v>
      </c>
      <c r="L1896">
        <v>0</v>
      </c>
      <c r="M1896">
        <v>6.8334588726357893E-4</v>
      </c>
      <c r="N1896">
        <v>7.1146935290642394E-2</v>
      </c>
      <c r="O1896">
        <v>8.9273986034961294E-3</v>
      </c>
      <c r="P1896">
        <v>1.2853616000628216E-2</v>
      </c>
      <c r="Q1896">
        <v>3.0407189688246906E-3</v>
      </c>
      <c r="R1896">
        <v>6.7186014785604114E-4</v>
      </c>
      <c r="S1896">
        <v>9.0797105206837328E-2</v>
      </c>
      <c r="T1896">
        <v>0.81470305002985144</v>
      </c>
      <c r="U1896">
        <v>1.7050812810512728E-2</v>
      </c>
      <c r="V1896">
        <v>1.0413940668831096E-2</v>
      </c>
      <c r="W1896">
        <v>4.2121849232537839E-2</v>
      </c>
      <c r="X1896">
        <v>1.0128335387308391E-2</v>
      </c>
      <c r="Y1896">
        <v>1.828581843825927E-3</v>
      </c>
    </row>
    <row r="1897" spans="1:25">
      <c r="A1897" s="876"/>
      <c r="B1897" s="1202">
        <v>1647</v>
      </c>
      <c r="C1897" s="880">
        <v>1.0113375204560455</v>
      </c>
      <c r="D1897" s="880">
        <v>1.014611736689282</v>
      </c>
      <c r="E1897" s="880">
        <v>1.0115965796811517</v>
      </c>
      <c r="F1897" s="880">
        <v>1.0156611230415156</v>
      </c>
      <c r="G1897" s="880">
        <v>0.97217020263876752</v>
      </c>
      <c r="H1897" s="880">
        <v>1.0034026245245968</v>
      </c>
      <c r="I1897" s="880">
        <v>0.99033980154444068</v>
      </c>
      <c r="K1897">
        <v>1.0702586841836303</v>
      </c>
      <c r="L1897">
        <v>0</v>
      </c>
      <c r="M1897">
        <v>6.6300525446917591E-4</v>
      </c>
      <c r="N1897">
        <v>6.8494223868194037E-2</v>
      </c>
      <c r="O1897">
        <v>8.6221181106730122E-3</v>
      </c>
      <c r="P1897">
        <v>1.2723872175860594E-2</v>
      </c>
      <c r="Q1897">
        <v>2.9357264898650774E-3</v>
      </c>
      <c r="R1897">
        <v>6.5183003649051932E-4</v>
      </c>
      <c r="S1897">
        <v>8.3217318531923865E-2</v>
      </c>
      <c r="T1897">
        <v>0.81490279113561626</v>
      </c>
      <c r="U1897">
        <v>1.6721053578954346E-2</v>
      </c>
      <c r="V1897">
        <v>1.0412044987176992E-2</v>
      </c>
      <c r="W1897">
        <v>4.0619799911460627E-2</v>
      </c>
      <c r="X1897">
        <v>9.8468441282712968E-3</v>
      </c>
      <c r="Y1897">
        <v>1.7740664836134133E-3</v>
      </c>
    </row>
    <row r="1898" spans="1:25">
      <c r="A1898" s="876"/>
      <c r="B1898" s="1202">
        <v>1648</v>
      </c>
      <c r="C1898" s="880">
        <v>1.0333716151063701</v>
      </c>
      <c r="D1898" s="880">
        <v>1.0484353660145107</v>
      </c>
      <c r="E1898" s="880">
        <v>0.98309563175191383</v>
      </c>
      <c r="F1898" s="880">
        <v>1.0142011261814985</v>
      </c>
      <c r="G1898" s="880">
        <v>1.0090098240289505</v>
      </c>
      <c r="H1898" s="880">
        <v>0.96715958740203811</v>
      </c>
      <c r="I1898" s="880">
        <v>0.96456767841065627</v>
      </c>
      <c r="K1898">
        <v>1.0539429465430465</v>
      </c>
      <c r="L1898">
        <v>0</v>
      </c>
      <c r="M1898">
        <v>6.5265063672100541E-4</v>
      </c>
      <c r="N1898">
        <v>6.1660059484805643E-2</v>
      </c>
      <c r="O1898">
        <v>8.2924177153896415E-3</v>
      </c>
      <c r="P1898">
        <v>1.2395805012044401E-2</v>
      </c>
      <c r="Q1898">
        <v>2.7502487496431434E-3</v>
      </c>
      <c r="R1898">
        <v>6.4121056629011693E-4</v>
      </c>
      <c r="S1898">
        <v>7.6863076174036329E-2</v>
      </c>
      <c r="T1898">
        <v>0.81720638840986015</v>
      </c>
      <c r="U1898">
        <v>1.6364518454681638E-2</v>
      </c>
      <c r="V1898">
        <v>1.0409995379373958E-2</v>
      </c>
      <c r="W1898">
        <v>3.7288342726215153E-2</v>
      </c>
      <c r="X1898">
        <v>8.9783707209922323E-3</v>
      </c>
      <c r="Y1898">
        <v>1.7451637864353293E-3</v>
      </c>
    </row>
    <row r="1899" spans="1:25">
      <c r="A1899" s="876"/>
      <c r="B1899" s="1202">
        <v>1649</v>
      </c>
      <c r="C1899" s="880">
        <v>1.0319848391029101</v>
      </c>
      <c r="D1899" s="880">
        <v>0.97647460232092997</v>
      </c>
      <c r="E1899" s="880">
        <v>1.024647827229259</v>
      </c>
      <c r="F1899" s="880">
        <v>0.98457233111968312</v>
      </c>
      <c r="G1899" s="880">
        <v>1.0028758304483429</v>
      </c>
      <c r="H1899" s="880">
        <v>0.97656546487779616</v>
      </c>
      <c r="I1899" s="880">
        <v>1.0354969757075414</v>
      </c>
      <c r="K1899">
        <v>1.0699580752554039</v>
      </c>
      <c r="L1899">
        <v>0</v>
      </c>
      <c r="M1899">
        <v>6.2784458586820325E-4</v>
      </c>
      <c r="N1899">
        <v>6.7517509651715851E-2</v>
      </c>
      <c r="O1899">
        <v>8.6240986726225724E-3</v>
      </c>
      <c r="P1899">
        <v>1.2865135556981018E-2</v>
      </c>
      <c r="Q1899">
        <v>2.9662708272803688E-3</v>
      </c>
      <c r="R1899">
        <v>6.1700180179931417E-4</v>
      </c>
      <c r="S1899">
        <v>8.5939841426337482E-2</v>
      </c>
      <c r="T1899">
        <v>0.81385714356729744</v>
      </c>
      <c r="U1899">
        <v>1.6386509011753092E-2</v>
      </c>
      <c r="V1899">
        <v>1.0410121796139949E-2</v>
      </c>
      <c r="W1899">
        <v>3.9689034708868393E-2</v>
      </c>
      <c r="X1899">
        <v>1.0033977310566452E-2</v>
      </c>
      <c r="Y1899">
        <v>1.6792755099084332E-3</v>
      </c>
    </row>
    <row r="1900" spans="1:25">
      <c r="A1900" s="876"/>
      <c r="B1900" s="1202">
        <v>1650</v>
      </c>
      <c r="C1900" s="880">
        <v>1.0035156522909972</v>
      </c>
      <c r="D1900" s="880">
        <v>1.0029724281854899</v>
      </c>
      <c r="E1900" s="880">
        <v>0.98089809125694993</v>
      </c>
      <c r="F1900" s="880">
        <v>1.0065671998532388</v>
      </c>
      <c r="G1900" s="880">
        <v>0.99957121909455282</v>
      </c>
      <c r="H1900" s="880">
        <v>1.011768704444961</v>
      </c>
      <c r="I1900" s="880">
        <v>0.96454766373732459</v>
      </c>
      <c r="K1900">
        <v>1.0714662360758471</v>
      </c>
      <c r="L1900">
        <v>0</v>
      </c>
      <c r="M1900">
        <v>7.2313381354630838E-4</v>
      </c>
      <c r="N1900">
        <v>6.7910039364741978E-2</v>
      </c>
      <c r="O1900">
        <v>8.7429069417428434E-3</v>
      </c>
      <c r="P1900">
        <v>1.2459152040083122E-2</v>
      </c>
      <c r="Q1900">
        <v>2.8837345095204599E-3</v>
      </c>
      <c r="R1900">
        <v>7.110560883709378E-4</v>
      </c>
      <c r="S1900">
        <v>8.2439198067109462E-2</v>
      </c>
      <c r="T1900">
        <v>0.8173851494024269</v>
      </c>
      <c r="U1900">
        <v>1.6851385254774975E-2</v>
      </c>
      <c r="V1900">
        <v>1.0412794222810631E-2</v>
      </c>
      <c r="W1900">
        <v>4.1130541937071358E-2</v>
      </c>
      <c r="X1900">
        <v>9.3281517877702499E-3</v>
      </c>
      <c r="Y1900">
        <v>1.9352602729691573E-3</v>
      </c>
    </row>
    <row r="1901" spans="1:25">
      <c r="A1901" s="876"/>
      <c r="B1901" s="1202">
        <v>1651</v>
      </c>
      <c r="C1901" s="880">
        <v>0.96769921362246414</v>
      </c>
      <c r="D1901" s="880">
        <v>0.98107028424300402</v>
      </c>
      <c r="E1901" s="880">
        <v>0.99404574426906067</v>
      </c>
      <c r="F1901" s="880">
        <v>1.0228366289487802</v>
      </c>
      <c r="G1901" s="880">
        <v>0.95976610150638708</v>
      </c>
      <c r="H1901" s="880">
        <v>1.022093188799454</v>
      </c>
      <c r="I1901" s="880">
        <v>1.0231887430707671</v>
      </c>
      <c r="K1901">
        <v>1.0899009296344224</v>
      </c>
      <c r="L1901">
        <v>0</v>
      </c>
      <c r="M1901">
        <v>7.4561677605268939E-4</v>
      </c>
      <c r="N1901">
        <v>7.2962240441466819E-2</v>
      </c>
      <c r="O1901">
        <v>9.1739631772224592E-3</v>
      </c>
      <c r="P1901">
        <v>1.2708616901302828E-2</v>
      </c>
      <c r="Q1901">
        <v>3.0613801211537492E-3</v>
      </c>
      <c r="R1901">
        <v>7.3330937577511916E-4</v>
      </c>
      <c r="S1901">
        <v>9.2086403232610706E-2</v>
      </c>
      <c r="T1901">
        <v>0.81631808000981732</v>
      </c>
      <c r="U1901">
        <v>1.7475087948712366E-2</v>
      </c>
      <c r="V1901">
        <v>1.0416379692575679E-2</v>
      </c>
      <c r="W1901">
        <v>4.379123774682471E-2</v>
      </c>
      <c r="X1901">
        <v>9.9240213775242773E-3</v>
      </c>
      <c r="Y1901">
        <v>1.9958263854891181E-3</v>
      </c>
    </row>
    <row r="1902" spans="1:25">
      <c r="A1902" s="876"/>
      <c r="B1902" s="1202">
        <v>1652</v>
      </c>
      <c r="C1902" s="880">
        <v>0.98230265258524063</v>
      </c>
      <c r="D1902" s="880">
        <v>0.99280614536852319</v>
      </c>
      <c r="E1902" s="880">
        <v>0.96371491718221336</v>
      </c>
      <c r="F1902" s="880">
        <v>0.997636120049609</v>
      </c>
      <c r="G1902" s="880">
        <v>1.0051566576467184</v>
      </c>
      <c r="H1902" s="880">
        <v>1.0010034530579379</v>
      </c>
      <c r="I1902" s="880">
        <v>1.019230205055603</v>
      </c>
      <c r="K1902">
        <v>1.0802713572118892</v>
      </c>
      <c r="L1902">
        <v>0</v>
      </c>
      <c r="M1902">
        <v>7.6182149028184288E-4</v>
      </c>
      <c r="N1902">
        <v>6.7800079050461315E-2</v>
      </c>
      <c r="O1902">
        <v>8.9803782580049167E-3</v>
      </c>
      <c r="P1902">
        <v>1.2407469157448673E-2</v>
      </c>
      <c r="Q1902">
        <v>2.9083437091125394E-3</v>
      </c>
      <c r="R1902">
        <v>7.4897039414954976E-4</v>
      </c>
      <c r="S1902">
        <v>8.9046213495292292E-2</v>
      </c>
      <c r="T1902">
        <v>0.81878855883248203</v>
      </c>
      <c r="U1902">
        <v>1.7215293903000976E-2</v>
      </c>
      <c r="V1902">
        <v>1.0414886218673623E-2</v>
      </c>
      <c r="W1902">
        <v>4.1559179623147119E-2</v>
      </c>
      <c r="X1902">
        <v>9.1253555455469339E-3</v>
      </c>
      <c r="Y1902">
        <v>2.0384505148509985E-3</v>
      </c>
    </row>
    <row r="1903" spans="1:25">
      <c r="A1903" s="876"/>
      <c r="B1903" s="1202">
        <v>1653</v>
      </c>
      <c r="C1903" s="880">
        <v>0.99787486899242972</v>
      </c>
      <c r="D1903" s="880">
        <v>0.97984583173839157</v>
      </c>
      <c r="E1903" s="880">
        <v>1.0037294973694186</v>
      </c>
      <c r="F1903" s="880">
        <v>1.0048364369043701</v>
      </c>
      <c r="G1903" s="880">
        <v>1.0063175358888878</v>
      </c>
      <c r="H1903" s="880">
        <v>1.0210843101423999</v>
      </c>
      <c r="I1903" s="880">
        <v>0.99784894439897032</v>
      </c>
      <c r="K1903">
        <v>1.0804452801559501</v>
      </c>
      <c r="L1903">
        <v>0</v>
      </c>
      <c r="M1903">
        <v>7.0824740566775401E-4</v>
      </c>
      <c r="N1903">
        <v>7.1424321763215712E-2</v>
      </c>
      <c r="O1903">
        <v>8.9024813047173315E-3</v>
      </c>
      <c r="P1903">
        <v>1.271484978607634E-2</v>
      </c>
      <c r="Q1903">
        <v>2.9995801594677337E-3</v>
      </c>
      <c r="R1903">
        <v>6.9654636818044027E-4</v>
      </c>
      <c r="S1903">
        <v>8.7107999481593798E-2</v>
      </c>
      <c r="T1903">
        <v>0.815535892971751</v>
      </c>
      <c r="U1903">
        <v>1.6946642701832264E-2</v>
      </c>
      <c r="V1903">
        <v>1.0413341827782739E-2</v>
      </c>
      <c r="W1903">
        <v>4.2584867095815902E-2</v>
      </c>
      <c r="X1903">
        <v>9.9312345034452982E-3</v>
      </c>
      <c r="Y1903">
        <v>1.8957695977385987E-3</v>
      </c>
    </row>
    <row r="1904" spans="1:25">
      <c r="A1904" s="876"/>
      <c r="B1904" s="1202">
        <v>1654</v>
      </c>
      <c r="C1904" s="880">
        <v>0.95742253418063983</v>
      </c>
      <c r="D1904" s="880">
        <v>0.99190591772473768</v>
      </c>
      <c r="E1904" s="880">
        <v>0.96864450086806253</v>
      </c>
      <c r="F1904" s="880">
        <v>1.0115918811682165</v>
      </c>
      <c r="G1904" s="880">
        <v>1.022188246035125</v>
      </c>
      <c r="H1904" s="880">
        <v>1.0276353438935368</v>
      </c>
      <c r="I1904" s="880">
        <v>1.0013554760919552</v>
      </c>
      <c r="K1904">
        <v>1.0892287411734276</v>
      </c>
      <c r="L1904">
        <v>0</v>
      </c>
      <c r="M1904">
        <v>7.9455441823256614E-4</v>
      </c>
      <c r="N1904">
        <v>7.1840850542231188E-2</v>
      </c>
      <c r="O1904">
        <v>9.2182089842202924E-3</v>
      </c>
      <c r="P1904">
        <v>1.2478645407668585E-2</v>
      </c>
      <c r="Q1904">
        <v>3.0002742382984364E-3</v>
      </c>
      <c r="R1904">
        <v>7.8149938092639541E-4</v>
      </c>
      <c r="S1904">
        <v>9.0798807805063275E-2</v>
      </c>
      <c r="T1904">
        <v>0.81838492301103793</v>
      </c>
      <c r="U1904">
        <v>1.7662660175869434E-2</v>
      </c>
      <c r="V1904">
        <v>1.0417457986057144E-2</v>
      </c>
      <c r="W1904">
        <v>4.3884198866423321E-2</v>
      </c>
      <c r="X1904">
        <v>9.4287855001835893E-3</v>
      </c>
      <c r="Y1904">
        <v>2.1269836936799631E-3</v>
      </c>
    </row>
    <row r="1905" spans="1:25">
      <c r="A1905" s="876"/>
      <c r="B1905" s="1202">
        <v>1655</v>
      </c>
      <c r="C1905" s="880">
        <v>1.0194145875204181</v>
      </c>
      <c r="D1905" s="880">
        <v>0.97555286402309904</v>
      </c>
      <c r="E1905" s="880">
        <v>1.0085548561880735</v>
      </c>
      <c r="F1905" s="880">
        <v>0.9909861046805315</v>
      </c>
      <c r="G1905" s="880">
        <v>1.0064042330323204</v>
      </c>
      <c r="H1905" s="880">
        <v>1.0143594852007165</v>
      </c>
      <c r="I1905" s="880">
        <v>1.0038889229158174</v>
      </c>
      <c r="K1905">
        <v>1.0755313816062779</v>
      </c>
      <c r="L1905">
        <v>0</v>
      </c>
      <c r="M1905">
        <v>6.8334461725782787E-4</v>
      </c>
      <c r="N1905">
        <v>6.9947419081248338E-2</v>
      </c>
      <c r="O1905">
        <v>8.7348492489044884E-3</v>
      </c>
      <c r="P1905">
        <v>1.2731324470281464E-2</v>
      </c>
      <c r="Q1905">
        <v>2.9563805080485843E-3</v>
      </c>
      <c r="R1905">
        <v>6.7198385514723158E-4</v>
      </c>
      <c r="S1905">
        <v>8.5732076574421348E-2</v>
      </c>
      <c r="T1905">
        <v>0.81514732350066199</v>
      </c>
      <c r="U1905">
        <v>1.6588568648095482E-2</v>
      </c>
      <c r="V1905">
        <v>1.0411283373160352E-2</v>
      </c>
      <c r="W1905">
        <v>4.1567421230079858E-2</v>
      </c>
      <c r="X1905">
        <v>9.8971771991928359E-3</v>
      </c>
      <c r="Y1905">
        <v>1.8289185342924496E-3</v>
      </c>
    </row>
    <row r="1906" spans="1:25">
      <c r="A1906" s="876"/>
      <c r="B1906" s="1202">
        <v>1656</v>
      </c>
      <c r="C1906" s="880">
        <v>0.99613002610692336</v>
      </c>
      <c r="D1906" s="880">
        <v>0.97763550401732802</v>
      </c>
      <c r="E1906" s="880">
        <v>1.0319578827349751</v>
      </c>
      <c r="F1906" s="880">
        <v>0.99943623252800662</v>
      </c>
      <c r="G1906" s="880">
        <v>0.98603884951798348</v>
      </c>
      <c r="H1906" s="880">
        <v>0.98088393361934156</v>
      </c>
      <c r="I1906" s="880">
        <v>0.99533039370345711</v>
      </c>
      <c r="K1906">
        <v>1.0755075148777071</v>
      </c>
      <c r="L1906">
        <v>0</v>
      </c>
      <c r="M1906">
        <v>6.4288914470746032E-4</v>
      </c>
      <c r="N1906">
        <v>7.072769708064526E-2</v>
      </c>
      <c r="O1906">
        <v>8.9288436684324367E-3</v>
      </c>
      <c r="P1906">
        <v>1.2930397142163531E-2</v>
      </c>
      <c r="Q1906">
        <v>3.0936628820676742E-3</v>
      </c>
      <c r="R1906">
        <v>6.3183444978263947E-4</v>
      </c>
      <c r="S1906">
        <v>8.568501738633387E-2</v>
      </c>
      <c r="T1906">
        <v>0.81327401041777203</v>
      </c>
      <c r="U1906">
        <v>1.6976326807497725E-2</v>
      </c>
      <c r="V1906">
        <v>1.0413512472329243E-2</v>
      </c>
      <c r="W1906">
        <v>4.1372684963318383E-2</v>
      </c>
      <c r="X1906">
        <v>1.0396771663933838E-2</v>
      </c>
      <c r="Y1906">
        <v>1.7196450881379513E-3</v>
      </c>
    </row>
    <row r="1907" spans="1:25">
      <c r="A1907" s="876"/>
      <c r="B1907" s="1202">
        <v>1657</v>
      </c>
      <c r="C1907" s="880">
        <v>1.0119275196250639</v>
      </c>
      <c r="D1907" s="880">
        <v>0.97753653366522741</v>
      </c>
      <c r="E1907" s="880">
        <v>0.9952625140363357</v>
      </c>
      <c r="F1907" s="880">
        <v>1.005119841665123</v>
      </c>
      <c r="G1907" s="880">
        <v>1.0087680276538495</v>
      </c>
      <c r="H1907" s="880">
        <v>1.015566732463965</v>
      </c>
      <c r="I1907" s="880">
        <v>1.0153067108604936</v>
      </c>
      <c r="K1907">
        <v>1.0778139911656734</v>
      </c>
      <c r="L1907">
        <v>0</v>
      </c>
      <c r="M1907">
        <v>7.0802415000976386E-4</v>
      </c>
      <c r="N1907">
        <v>6.9539306382392113E-2</v>
      </c>
      <c r="O1907">
        <v>8.7899284685130953E-3</v>
      </c>
      <c r="P1907">
        <v>1.264340105241449E-2</v>
      </c>
      <c r="Q1907">
        <v>2.9360283391494215E-3</v>
      </c>
      <c r="R1907">
        <v>6.9626530583461073E-4</v>
      </c>
      <c r="S1907">
        <v>8.730390984986354E-2</v>
      </c>
      <c r="T1907">
        <v>0.81621962276533477</v>
      </c>
      <c r="U1907">
        <v>1.6711304454115485E-2</v>
      </c>
      <c r="V1907">
        <v>1.0411988942537954E-2</v>
      </c>
      <c r="W1907">
        <v>4.1701961470457127E-2</v>
      </c>
      <c r="X1907">
        <v>9.6732936463854152E-3</v>
      </c>
      <c r="Y1907">
        <v>1.8950046386854275E-3</v>
      </c>
    </row>
    <row r="1908" spans="1:25">
      <c r="A1908" s="876"/>
      <c r="B1908" s="1202">
        <v>1658</v>
      </c>
      <c r="C1908" s="880">
        <v>0.98538201642126166</v>
      </c>
      <c r="D1908" s="880">
        <v>0.99666655942670379</v>
      </c>
      <c r="E1908" s="880">
        <v>1.0127777357895444</v>
      </c>
      <c r="F1908" s="880">
        <v>0.99362714401369934</v>
      </c>
      <c r="G1908" s="880">
        <v>1.0165245939527394</v>
      </c>
      <c r="H1908" s="880">
        <v>1.0216677889231462</v>
      </c>
      <c r="I1908" s="880">
        <v>0.99387529895307358</v>
      </c>
      <c r="K1908">
        <v>1.0815445043634897</v>
      </c>
      <c r="L1908">
        <v>0</v>
      </c>
      <c r="M1908">
        <v>6.9772050748037422E-4</v>
      </c>
      <c r="N1908">
        <v>7.2369500390785046E-2</v>
      </c>
      <c r="O1908">
        <v>8.9337969408632388E-3</v>
      </c>
      <c r="P1908">
        <v>1.2793808047058191E-2</v>
      </c>
      <c r="Q1908">
        <v>3.0413920895141053E-3</v>
      </c>
      <c r="R1908">
        <v>6.8618548733052019E-4</v>
      </c>
      <c r="S1908">
        <v>8.713896001778286E-2</v>
      </c>
      <c r="T1908">
        <v>0.81480791971029098</v>
      </c>
      <c r="U1908">
        <v>1.7161495322767169E-2</v>
      </c>
      <c r="V1908">
        <v>1.0414576947630363E-2</v>
      </c>
      <c r="W1908">
        <v>4.2883614146378563E-2</v>
      </c>
      <c r="X1908">
        <v>1.014340507504132E-2</v>
      </c>
      <c r="Y1908">
        <v>1.8675706955285705E-3</v>
      </c>
    </row>
    <row r="1909" spans="1:25">
      <c r="A1909" s="876"/>
      <c r="B1909" s="1202">
        <v>1659</v>
      </c>
      <c r="C1909" s="880">
        <v>1.0162865989668635</v>
      </c>
      <c r="D1909" s="880">
        <v>1.0072368535939709</v>
      </c>
      <c r="E1909" s="880">
        <v>0.97937096328233253</v>
      </c>
      <c r="F1909" s="880">
        <v>1.0019773779451635</v>
      </c>
      <c r="G1909" s="880">
        <v>1.0314804010614815</v>
      </c>
      <c r="H1909" s="880">
        <v>0.99969831905047479</v>
      </c>
      <c r="I1909" s="880">
        <v>0.98880194593179893</v>
      </c>
      <c r="K1909">
        <v>1.068391554728799</v>
      </c>
      <c r="L1909">
        <v>0</v>
      </c>
      <c r="M1909">
        <v>7.0619865649293229E-4</v>
      </c>
      <c r="N1909">
        <v>6.599095293436319E-2</v>
      </c>
      <c r="O1909">
        <v>8.6135400779402699E-3</v>
      </c>
      <c r="P1909">
        <v>1.2449097736589278E-2</v>
      </c>
      <c r="Q1909">
        <v>2.837555548721627E-3</v>
      </c>
      <c r="R1909">
        <v>6.942576580246738E-4</v>
      </c>
      <c r="S1909">
        <v>8.2855768039568678E-2</v>
      </c>
      <c r="T1909">
        <v>0.81750947130765539</v>
      </c>
      <c r="U1909">
        <v>1.6639625951127734E-2</v>
      </c>
      <c r="V1909">
        <v>1.0411576885466902E-2</v>
      </c>
      <c r="W1909">
        <v>4.0010595025621279E-2</v>
      </c>
      <c r="X1909">
        <v>9.195771737045744E-3</v>
      </c>
      <c r="Y1909">
        <v>1.8895404831677021E-3</v>
      </c>
    </row>
    <row r="1910" spans="1:25">
      <c r="A1910" s="876"/>
      <c r="B1910" s="1202">
        <v>1660</v>
      </c>
      <c r="C1910" s="880">
        <v>1.0077516452749691</v>
      </c>
      <c r="D1910" s="880">
        <v>1.0072364726000946</v>
      </c>
      <c r="E1910" s="880">
        <v>1.0332778978643093</v>
      </c>
      <c r="F1910" s="880">
        <v>0.96643580439617383</v>
      </c>
      <c r="G1910" s="880">
        <v>0.99261368928548466</v>
      </c>
      <c r="H1910" s="880">
        <v>1.0064990916196539</v>
      </c>
      <c r="I1910" s="880">
        <v>1.0214814489950581</v>
      </c>
      <c r="K1910">
        <v>1.0757045299138974</v>
      </c>
      <c r="L1910">
        <v>0</v>
      </c>
      <c r="M1910">
        <v>6.4000628325466488E-4</v>
      </c>
      <c r="N1910">
        <v>7.072841716403501E-2</v>
      </c>
      <c r="O1910">
        <v>8.6864925068157982E-3</v>
      </c>
      <c r="P1910">
        <v>1.2950865317932703E-2</v>
      </c>
      <c r="Q1910">
        <v>3.0203620504253982E-3</v>
      </c>
      <c r="R1910">
        <v>6.2925764230404159E-4</v>
      </c>
      <c r="S1910">
        <v>8.6564582086385122E-2</v>
      </c>
      <c r="T1910">
        <v>0.81316890546065757</v>
      </c>
      <c r="U1910">
        <v>1.6780551979489175E-2</v>
      </c>
      <c r="V1910">
        <v>1.0412387024686619E-2</v>
      </c>
      <c r="W1910">
        <v>4.1336591443363095E-2</v>
      </c>
      <c r="X1910">
        <v>1.0353491653431798E-2</v>
      </c>
      <c r="Y1910">
        <v>1.712631867625565E-3</v>
      </c>
    </row>
    <row r="1911" spans="1:25">
      <c r="A1911" s="876"/>
      <c r="B1911" s="1202">
        <v>1661</v>
      </c>
      <c r="C1911" s="880">
        <v>1.0049913813685614</v>
      </c>
      <c r="D1911" s="880">
        <v>0.99182586083150859</v>
      </c>
      <c r="E1911" s="880">
        <v>0.98327949825414385</v>
      </c>
      <c r="F1911" s="880">
        <v>0.98608858657140819</v>
      </c>
      <c r="G1911" s="880">
        <v>0.99695097433001201</v>
      </c>
      <c r="H1911" s="880">
        <v>0.98590491869203911</v>
      </c>
      <c r="I1911" s="880">
        <v>0.99030625676342521</v>
      </c>
      <c r="K1911">
        <v>1.0707743871866076</v>
      </c>
      <c r="L1911">
        <v>0</v>
      </c>
      <c r="M1911">
        <v>7.0427962595788051E-4</v>
      </c>
      <c r="N1911">
        <v>6.6603182343279985E-2</v>
      </c>
      <c r="O1911">
        <v>8.7822655491513434E-3</v>
      </c>
      <c r="P1911">
        <v>1.2500774067162015E-2</v>
      </c>
      <c r="Q1911">
        <v>2.9013026058469257E-3</v>
      </c>
      <c r="R1911">
        <v>6.9221813455792771E-4</v>
      </c>
      <c r="S1911">
        <v>8.4073361498738577E-2</v>
      </c>
      <c r="T1911">
        <v>0.81719143902809854</v>
      </c>
      <c r="U1911">
        <v>1.6826640685141111E-2</v>
      </c>
      <c r="V1911">
        <v>1.0412651974096413E-2</v>
      </c>
      <c r="W1911">
        <v>4.0272522976894265E-2</v>
      </c>
      <c r="X1911">
        <v>9.3383183769768889E-3</v>
      </c>
      <c r="Y1911">
        <v>1.8839895726199495E-3</v>
      </c>
    </row>
    <row r="1912" spans="1:25">
      <c r="A1912" s="876"/>
      <c r="B1912" s="1202">
        <v>1662</v>
      </c>
      <c r="C1912" s="880">
        <v>0.97872968221903167</v>
      </c>
      <c r="D1912" s="880">
        <v>1.0035200762461405</v>
      </c>
      <c r="E1912" s="880">
        <v>0.98525015259554483</v>
      </c>
      <c r="F1912" s="880">
        <v>1.0147335224274943</v>
      </c>
      <c r="G1912" s="880">
        <v>1.0052547071601681</v>
      </c>
      <c r="H1912" s="880">
        <v>1.0219565940757263</v>
      </c>
      <c r="I1912" s="880">
        <v>1.0183424895995845</v>
      </c>
      <c r="K1912">
        <v>1.0837113961594387</v>
      </c>
      <c r="L1912">
        <v>0</v>
      </c>
      <c r="M1912">
        <v>7.4188288847903115E-4</v>
      </c>
      <c r="N1912">
        <v>7.063363002970105E-2</v>
      </c>
      <c r="O1912">
        <v>8.9617095440132147E-3</v>
      </c>
      <c r="P1912">
        <v>1.2597951700606591E-2</v>
      </c>
      <c r="Q1912">
        <v>2.9691063458416687E-3</v>
      </c>
      <c r="R1912">
        <v>7.2961505131439292E-4</v>
      </c>
      <c r="S1912">
        <v>8.9595217408140096E-2</v>
      </c>
      <c r="T1912">
        <v>0.81703128562473659</v>
      </c>
      <c r="U1912">
        <v>1.7278140402988123E-2</v>
      </c>
      <c r="V1912">
        <v>1.0415247503349366E-2</v>
      </c>
      <c r="W1912">
        <v>4.2651400491063585E-2</v>
      </c>
      <c r="X1912">
        <v>9.6042032940218472E-3</v>
      </c>
      <c r="Y1912">
        <v>1.9857716521407527E-3</v>
      </c>
    </row>
    <row r="1913" spans="1:25">
      <c r="A1913" s="876"/>
      <c r="B1913" s="1202">
        <v>1663</v>
      </c>
      <c r="C1913" s="880">
        <v>0.98415575050505311</v>
      </c>
      <c r="D1913" s="880">
        <v>0.99189067136088316</v>
      </c>
      <c r="E1913" s="880">
        <v>0.99831759369871198</v>
      </c>
      <c r="F1913" s="880">
        <v>0.97409671103791018</v>
      </c>
      <c r="G1913" s="880">
        <v>0.99482031411784799</v>
      </c>
      <c r="H1913" s="880">
        <v>0.99058917595697682</v>
      </c>
      <c r="I1913" s="880">
        <v>0.99393820382370979</v>
      </c>
      <c r="K1913">
        <v>1.0770840051682022</v>
      </c>
      <c r="L1913">
        <v>0</v>
      </c>
      <c r="M1913">
        <v>7.0008863921292637E-4</v>
      </c>
      <c r="N1913">
        <v>6.9385870396110744E-2</v>
      </c>
      <c r="O1913">
        <v>8.9678827775425598E-3</v>
      </c>
      <c r="P1913">
        <v>1.2662262559222651E-2</v>
      </c>
      <c r="Q1913">
        <v>3.0079934627449149E-3</v>
      </c>
      <c r="R1913">
        <v>6.8815556166260854E-4</v>
      </c>
      <c r="S1913">
        <v>8.633522665113158E-2</v>
      </c>
      <c r="T1913">
        <v>0.81597263670900388</v>
      </c>
      <c r="U1913">
        <v>1.7182878682844776E-2</v>
      </c>
      <c r="V1913">
        <v>1.0414699873812638E-2</v>
      </c>
      <c r="W1913">
        <v>4.1522861684536561E-2</v>
      </c>
      <c r="X1913">
        <v>9.7706928603763649E-3</v>
      </c>
      <c r="Y1913">
        <v>1.8729325884256859E-3</v>
      </c>
    </row>
    <row r="1914" spans="1:25">
      <c r="A1914" s="876"/>
      <c r="B1914" s="1202">
        <v>1664</v>
      </c>
      <c r="C1914" s="880">
        <v>1.029677563555766</v>
      </c>
      <c r="D1914" s="880">
        <v>0.96944659728104132</v>
      </c>
      <c r="E1914" s="880">
        <v>0.98905861540154749</v>
      </c>
      <c r="F1914" s="880">
        <v>1.0312351648310216</v>
      </c>
      <c r="G1914" s="880">
        <v>1.0202854547659275</v>
      </c>
      <c r="H1914" s="880">
        <v>1.0134832120561523</v>
      </c>
      <c r="I1914" s="880">
        <v>0.96945414640244088</v>
      </c>
      <c r="K1914">
        <v>1.0702244284399542</v>
      </c>
      <c r="L1914">
        <v>0</v>
      </c>
      <c r="M1914">
        <v>7.0663707856465508E-4</v>
      </c>
      <c r="N1914">
        <v>6.8073952355439324E-2</v>
      </c>
      <c r="O1914">
        <v>8.6768694772404367E-3</v>
      </c>
      <c r="P1914">
        <v>1.2518244494619682E-2</v>
      </c>
      <c r="Q1914">
        <v>2.8783605329873443E-3</v>
      </c>
      <c r="R1914">
        <v>6.9488440213620899E-4</v>
      </c>
      <c r="S1914">
        <v>8.2193844895104146E-2</v>
      </c>
      <c r="T1914">
        <v>0.81672214791398501</v>
      </c>
      <c r="U1914">
        <v>1.6423227488375335E-2</v>
      </c>
      <c r="V1914">
        <v>1.0410332879062999E-2</v>
      </c>
      <c r="W1914">
        <v>4.0997822433509058E-2</v>
      </c>
      <c r="X1914">
        <v>9.4501323720247825E-3</v>
      </c>
      <c r="Y1914">
        <v>1.89124627403316E-3</v>
      </c>
    </row>
    <row r="1915" spans="1:25">
      <c r="A1915" s="876"/>
      <c r="B1915" s="1202">
        <v>1665</v>
      </c>
      <c r="C1915" s="880">
        <v>1.0067675951362476</v>
      </c>
      <c r="D1915" s="880">
        <v>1.0286191166223491</v>
      </c>
      <c r="E1915" s="880">
        <v>1.0246579726776981</v>
      </c>
      <c r="F1915" s="880">
        <v>1.0093382632410826</v>
      </c>
      <c r="G1915" s="880">
        <v>0.98320562506782361</v>
      </c>
      <c r="H1915" s="880">
        <v>0.97402650679695946</v>
      </c>
      <c r="I1915" s="880">
        <v>1.010353770195537</v>
      </c>
      <c r="K1915">
        <v>1.0674062188453659</v>
      </c>
      <c r="L1915">
        <v>0</v>
      </c>
      <c r="M1915">
        <v>6.2436547841634765E-4</v>
      </c>
      <c r="N1915">
        <v>6.7137887436280574E-2</v>
      </c>
      <c r="O1915">
        <v>8.5982854287656365E-3</v>
      </c>
      <c r="P1915">
        <v>1.2839367602057681E-2</v>
      </c>
      <c r="Q1915">
        <v>2.9689251906170242E-3</v>
      </c>
      <c r="R1915">
        <v>6.1351333361112884E-4</v>
      </c>
      <c r="S1915">
        <v>8.3666932575120576E-2</v>
      </c>
      <c r="T1915">
        <v>0.81385633298722104</v>
      </c>
      <c r="U1915">
        <v>1.6796953882553037E-2</v>
      </c>
      <c r="V1915">
        <v>1.0412481314046122E-2</v>
      </c>
      <c r="W1915">
        <v>3.9465610853101463E-2</v>
      </c>
      <c r="X1915">
        <v>1.0004512670933968E-2</v>
      </c>
      <c r="Y1915">
        <v>1.6697810494734223E-3</v>
      </c>
    </row>
    <row r="1916" spans="1:25">
      <c r="A1916" s="876"/>
      <c r="B1916" s="1202">
        <v>1666</v>
      </c>
      <c r="C1916" s="880">
        <v>1.0140859392316581</v>
      </c>
      <c r="D1916" s="880">
        <v>0.99213679810665423</v>
      </c>
      <c r="E1916" s="880">
        <v>0.99462246129674947</v>
      </c>
      <c r="F1916" s="880">
        <v>0.99841039812318011</v>
      </c>
      <c r="G1916" s="880">
        <v>0.95998401823084412</v>
      </c>
      <c r="H1916" s="880">
        <v>1.0256936573892355</v>
      </c>
      <c r="I1916" s="880">
        <v>0.95952284218136308</v>
      </c>
      <c r="K1916">
        <v>1.0722937342643279</v>
      </c>
      <c r="L1916">
        <v>0</v>
      </c>
      <c r="M1916">
        <v>7.0890252708802261E-4</v>
      </c>
      <c r="N1916">
        <v>6.9497332003335133E-2</v>
      </c>
      <c r="O1916">
        <v>8.7020483419161191E-3</v>
      </c>
      <c r="P1916">
        <v>1.2566382789795216E-2</v>
      </c>
      <c r="Q1916">
        <v>2.9080394194003914E-3</v>
      </c>
      <c r="R1916">
        <v>6.9723255532407426E-4</v>
      </c>
      <c r="S1916">
        <v>8.2068539169517465E-2</v>
      </c>
      <c r="T1916">
        <v>0.81627140758810512</v>
      </c>
      <c r="U1916">
        <v>1.6675735469485996E-2</v>
      </c>
      <c r="V1916">
        <v>1.0411784467681262E-2</v>
      </c>
      <c r="W1916">
        <v>4.1695110898990292E-2</v>
      </c>
      <c r="X1916">
        <v>9.6113869149223961E-3</v>
      </c>
      <c r="Y1916">
        <v>1.8976371729420391E-3</v>
      </c>
    </row>
    <row r="1917" spans="1:25">
      <c r="A1917" s="876"/>
      <c r="B1917" s="1202">
        <v>1667</v>
      </c>
      <c r="C1917" s="880">
        <v>0.97330376109784733</v>
      </c>
      <c r="D1917" s="880">
        <v>1.020384341391785</v>
      </c>
      <c r="E1917" s="880">
        <v>1.0067253891759305</v>
      </c>
      <c r="F1917" s="880">
        <v>1.0012579026839501</v>
      </c>
      <c r="G1917" s="880">
        <v>1.0205052655557254</v>
      </c>
      <c r="H1917" s="880">
        <v>1.0420389375984329</v>
      </c>
      <c r="I1917" s="880">
        <v>0.96322185815004935</v>
      </c>
      <c r="K1917">
        <v>1.0820064361880743</v>
      </c>
      <c r="L1917">
        <v>0</v>
      </c>
      <c r="M1917">
        <v>7.2065297480112069E-4</v>
      </c>
      <c r="N1917">
        <v>7.3376837702818123E-2</v>
      </c>
      <c r="O1917">
        <v>8.9320251009951095E-3</v>
      </c>
      <c r="P1917">
        <v>1.271985519431466E-2</v>
      </c>
      <c r="Q1917">
        <v>3.0277392050447795E-3</v>
      </c>
      <c r="R1917">
        <v>7.0895162223096823E-4</v>
      </c>
      <c r="S1917">
        <v>8.5217088304622754E-2</v>
      </c>
      <c r="T1917">
        <v>0.81529455093635206</v>
      </c>
      <c r="U1917">
        <v>1.7374461644818744E-2</v>
      </c>
      <c r="V1917">
        <v>1.04158012237416E-2</v>
      </c>
      <c r="W1917">
        <v>4.3659739280000963E-2</v>
      </c>
      <c r="X1917">
        <v>1.0070506338062214E-2</v>
      </c>
      <c r="Y1917">
        <v>1.9295326098732373E-3</v>
      </c>
    </row>
    <row r="1918" spans="1:25">
      <c r="A1918" s="876"/>
      <c r="B1918" s="1202">
        <v>1668</v>
      </c>
      <c r="C1918" s="880">
        <v>1.0008181094696664</v>
      </c>
      <c r="D1918" s="880">
        <v>1.03447535143975</v>
      </c>
      <c r="E1918" s="880">
        <v>0.9567817565629676</v>
      </c>
      <c r="F1918" s="880">
        <v>1.019530159675389</v>
      </c>
      <c r="G1918" s="880">
        <v>0.98382129534632845</v>
      </c>
      <c r="H1918" s="880">
        <v>1.0074631046234037</v>
      </c>
      <c r="I1918" s="880">
        <v>1.0180842641643875</v>
      </c>
      <c r="K1918">
        <v>1.0720706946203111</v>
      </c>
      <c r="L1918">
        <v>0</v>
      </c>
      <c r="M1918">
        <v>7.470516057685526E-4</v>
      </c>
      <c r="N1918">
        <v>6.5066550174590412E-2</v>
      </c>
      <c r="O1918">
        <v>8.6233300690955854E-3</v>
      </c>
      <c r="P1918">
        <v>1.2300965919299491E-2</v>
      </c>
      <c r="Q1918">
        <v>2.7813636509704028E-3</v>
      </c>
      <c r="R1918">
        <v>7.3449282319984358E-4</v>
      </c>
      <c r="S1918">
        <v>8.5764227519451591E-2</v>
      </c>
      <c r="T1918">
        <v>0.81935763352454982</v>
      </c>
      <c r="U1918">
        <v>1.6896805429423473E-2</v>
      </c>
      <c r="V1918">
        <v>1.0413055329046836E-2</v>
      </c>
      <c r="W1918">
        <v>4.0078654355119668E-2</v>
      </c>
      <c r="X1918">
        <v>8.8016200920753972E-3</v>
      </c>
      <c r="Y1918">
        <v>1.9990473392558789E-3</v>
      </c>
    </row>
    <row r="1919" spans="1:25">
      <c r="A1919" s="876"/>
      <c r="B1919" s="1202">
        <v>1669</v>
      </c>
      <c r="C1919" s="880">
        <v>0.99615831924353793</v>
      </c>
      <c r="D1919" s="880">
        <v>1.0167039564143292</v>
      </c>
      <c r="E1919" s="880">
        <v>0.97385906016093493</v>
      </c>
      <c r="F1919" s="880">
        <v>1.0230787339382685</v>
      </c>
      <c r="G1919" s="880">
        <v>1.0282537743681786</v>
      </c>
      <c r="H1919" s="880">
        <v>0.99704444555733518</v>
      </c>
      <c r="I1919" s="880">
        <v>1.0238027123371269</v>
      </c>
      <c r="K1919">
        <v>1.0744100464394857</v>
      </c>
      <c r="L1919">
        <v>0</v>
      </c>
      <c r="M1919">
        <v>7.2330897303438276E-4</v>
      </c>
      <c r="N1919">
        <v>6.6434870900197424E-2</v>
      </c>
      <c r="O1919">
        <v>8.7439033559968213E-3</v>
      </c>
      <c r="P1919">
        <v>1.2463107449079101E-2</v>
      </c>
      <c r="Q1919">
        <v>2.8663704126324651E-3</v>
      </c>
      <c r="R1919">
        <v>7.110377217456489E-4</v>
      </c>
      <c r="S1919">
        <v>8.7019049544247773E-2</v>
      </c>
      <c r="T1919">
        <v>0.81795884566317689</v>
      </c>
      <c r="U1919">
        <v>1.6975844641636855E-2</v>
      </c>
      <c r="V1919">
        <v>1.041350970051004E-2</v>
      </c>
      <c r="W1919">
        <v>4.0434463800688797E-2</v>
      </c>
      <c r="X1919">
        <v>9.1771419375369333E-3</v>
      </c>
      <c r="Y1919">
        <v>1.9352102850696774E-3</v>
      </c>
    </row>
    <row r="1920" spans="1:25">
      <c r="A1920" s="876"/>
      <c r="B1920" s="1202">
        <v>1670</v>
      </c>
      <c r="C1920" s="880">
        <v>1.0364544639509041</v>
      </c>
      <c r="D1920" s="880">
        <v>0.99484132298302186</v>
      </c>
      <c r="E1920" s="880">
        <v>0.98130673114888256</v>
      </c>
      <c r="F1920" s="880">
        <v>0.99691868473111145</v>
      </c>
      <c r="G1920" s="880">
        <v>0.98489659135858043</v>
      </c>
      <c r="H1920" s="880">
        <v>1.0078422012009167</v>
      </c>
      <c r="I1920" s="880">
        <v>1.0040460741446762</v>
      </c>
      <c r="K1920">
        <v>1.0678379627703709</v>
      </c>
      <c r="L1920">
        <v>0</v>
      </c>
      <c r="M1920">
        <v>6.9986163742368314E-4</v>
      </c>
      <c r="N1920">
        <v>6.5804575401369303E-2</v>
      </c>
      <c r="O1920">
        <v>8.5018839652724748E-3</v>
      </c>
      <c r="P1920">
        <v>1.2466764326019902E-2</v>
      </c>
      <c r="Q1920">
        <v>2.8036945144999238E-3</v>
      </c>
      <c r="R1920">
        <v>6.8813407758877261E-4</v>
      </c>
      <c r="S1920">
        <v>8.3289230730708638E-2</v>
      </c>
      <c r="T1920">
        <v>0.81735189583573642</v>
      </c>
      <c r="U1920">
        <v>1.6315843535942755E-2</v>
      </c>
      <c r="V1920">
        <v>1.0409715562642124E-2</v>
      </c>
      <c r="W1920">
        <v>3.9844051370206725E-2</v>
      </c>
      <c r="X1920">
        <v>9.1891609719483222E-3</v>
      </c>
      <c r="Y1920">
        <v>1.8728741158589271E-3</v>
      </c>
    </row>
    <row r="1921" spans="1:25">
      <c r="A1921" s="876"/>
      <c r="B1921" s="1202">
        <v>1671</v>
      </c>
      <c r="C1921" s="880">
        <v>1.0251830064608509</v>
      </c>
      <c r="D1921" s="880">
        <v>1.0250781875691197</v>
      </c>
      <c r="E1921" s="880">
        <v>0.98358240884923642</v>
      </c>
      <c r="F1921" s="880">
        <v>0.98427224889972631</v>
      </c>
      <c r="G1921" s="880">
        <v>0.98242297252889421</v>
      </c>
      <c r="H1921" s="880">
        <v>0.97939008833810681</v>
      </c>
      <c r="I1921" s="880">
        <v>1.0180358010356934</v>
      </c>
      <c r="K1921">
        <v>1.0641457929481863</v>
      </c>
      <c r="L1921">
        <v>0</v>
      </c>
      <c r="M1921">
        <v>6.7349941787518328E-4</v>
      </c>
      <c r="N1921">
        <v>6.3742356207456774E-2</v>
      </c>
      <c r="O1921">
        <v>8.4593364287979811E-3</v>
      </c>
      <c r="P1921">
        <v>1.2485947375065786E-2</v>
      </c>
      <c r="Q1921">
        <v>2.8023480866545825E-3</v>
      </c>
      <c r="R1921">
        <v>6.6186029413235878E-4</v>
      </c>
      <c r="S1921">
        <v>8.3118471437240049E-2</v>
      </c>
      <c r="T1921">
        <v>0.81716681318765871</v>
      </c>
      <c r="U1921">
        <v>1.6495229397462854E-2</v>
      </c>
      <c r="V1921">
        <v>1.0410746795293536E-2</v>
      </c>
      <c r="W1921">
        <v>3.853460458817027E-2</v>
      </c>
      <c r="X1921">
        <v>9.1402130296870318E-3</v>
      </c>
      <c r="Y1921">
        <v>1.8013655384409577E-3</v>
      </c>
    </row>
    <row r="1922" spans="1:25">
      <c r="A1922" s="876"/>
      <c r="B1922" s="1202">
        <v>1672</v>
      </c>
      <c r="C1922" s="880">
        <v>1.0157313556189955</v>
      </c>
      <c r="D1922" s="880">
        <v>0.98033357391857734</v>
      </c>
      <c r="E1922" s="880">
        <v>1.035846094668867</v>
      </c>
      <c r="F1922" s="880">
        <v>0.97781399814777126</v>
      </c>
      <c r="G1922" s="880">
        <v>0.99074298265386029</v>
      </c>
      <c r="H1922" s="880">
        <v>1.0010713194891492</v>
      </c>
      <c r="I1922" s="880">
        <v>1.015655720851391</v>
      </c>
      <c r="K1922">
        <v>1.0756512923482076</v>
      </c>
      <c r="L1922">
        <v>0</v>
      </c>
      <c r="M1922">
        <v>6.3724763293115537E-4</v>
      </c>
      <c r="N1922">
        <v>7.0982892206296458E-2</v>
      </c>
      <c r="O1922">
        <v>8.7436511357776615E-3</v>
      </c>
      <c r="P1922">
        <v>1.296737966708301E-2</v>
      </c>
      <c r="Q1922">
        <v>3.0417728501069175E-3</v>
      </c>
      <c r="R1922">
        <v>6.2650872295104843E-4</v>
      </c>
      <c r="S1922">
        <v>8.6359021222288501E-2</v>
      </c>
      <c r="T1922">
        <v>0.8129645857548824</v>
      </c>
      <c r="U1922">
        <v>1.6648721901124035E-2</v>
      </c>
      <c r="V1922">
        <v>1.0411629175210109E-2</v>
      </c>
      <c r="W1922">
        <v>4.1414207353938776E-2</v>
      </c>
      <c r="X1922">
        <v>1.0423019776151125E-2</v>
      </c>
      <c r="Y1922">
        <v>1.705150215327739E-3</v>
      </c>
    </row>
    <row r="1923" spans="1:25">
      <c r="A1923" s="876"/>
      <c r="B1923" s="1202">
        <v>1673</v>
      </c>
      <c r="C1923" s="880">
        <v>1.0068534082256657</v>
      </c>
      <c r="D1923" s="880">
        <v>1.0224550644048365</v>
      </c>
      <c r="E1923" s="880">
        <v>1.027938715878252</v>
      </c>
      <c r="F1923" s="880">
        <v>0.97077922294070429</v>
      </c>
      <c r="G1923" s="880">
        <v>0.99272997090809478</v>
      </c>
      <c r="H1923" s="880">
        <v>1.0079438001271614</v>
      </c>
      <c r="I1923" s="880">
        <v>0.99722298983942204</v>
      </c>
      <c r="K1923">
        <v>1.0721951019260976</v>
      </c>
      <c r="L1923">
        <v>0</v>
      </c>
      <c r="M1923">
        <v>6.4363592423805896E-4</v>
      </c>
      <c r="N1923">
        <v>6.9960812740202494E-2</v>
      </c>
      <c r="O1923">
        <v>8.6250878210231106E-3</v>
      </c>
      <c r="P1923">
        <v>1.2871196880985638E-2</v>
      </c>
      <c r="Q1923">
        <v>2.986548960271175E-3</v>
      </c>
      <c r="R1923">
        <v>6.328300018367157E-4</v>
      </c>
      <c r="S1923">
        <v>8.4006227926503529E-2</v>
      </c>
      <c r="T1923">
        <v>0.81359439914092191</v>
      </c>
      <c r="U1923">
        <v>1.6795522295299428E-2</v>
      </c>
      <c r="V1923">
        <v>1.0412473084303235E-2</v>
      </c>
      <c r="W1923">
        <v>4.1034464036334352E-2</v>
      </c>
      <c r="X1923">
        <v>1.0196820310007376E-2</v>
      </c>
      <c r="Y1923">
        <v>1.7223546526455003E-3</v>
      </c>
    </row>
    <row r="1924" spans="1:25">
      <c r="A1924" s="876"/>
      <c r="B1924" s="1202">
        <v>1674</v>
      </c>
      <c r="C1924" s="880">
        <v>1.0296393599791167</v>
      </c>
      <c r="D1924" s="880">
        <v>0.97735850635929888</v>
      </c>
      <c r="E1924" s="880">
        <v>1.0155339056729658</v>
      </c>
      <c r="F1924" s="880">
        <v>1.0277778842546121</v>
      </c>
      <c r="G1924" s="880">
        <v>1.0094525727222079</v>
      </c>
      <c r="H1924" s="880">
        <v>1.0084357478408983</v>
      </c>
      <c r="I1924" s="880">
        <v>1.0129936982752541</v>
      </c>
      <c r="K1924">
        <v>1.0730824153073992</v>
      </c>
      <c r="L1924">
        <v>0</v>
      </c>
      <c r="M1924">
        <v>6.6212320267543094E-4</v>
      </c>
      <c r="N1924">
        <v>6.925447392572133E-2</v>
      </c>
      <c r="O1924">
        <v>8.6395651755651198E-3</v>
      </c>
      <c r="P1924">
        <v>1.2781992164985864E-2</v>
      </c>
      <c r="Q1924">
        <v>2.9449902365784753E-3</v>
      </c>
      <c r="R1924">
        <v>6.5104906958466909E-4</v>
      </c>
      <c r="S1924">
        <v>8.5360511293857397E-2</v>
      </c>
      <c r="T1924">
        <v>0.8145867266822916</v>
      </c>
      <c r="U1924">
        <v>1.6423836853221463E-2</v>
      </c>
      <c r="V1924">
        <v>1.0410336382108989E-2</v>
      </c>
      <c r="W1924">
        <v>4.0961198038294816E-2</v>
      </c>
      <c r="X1924">
        <v>9.9579177387232598E-3</v>
      </c>
      <c r="Y1924">
        <v>1.7719409491413606E-3</v>
      </c>
    </row>
    <row r="1925" spans="1:25">
      <c r="A1925" s="876"/>
      <c r="B1925" s="1202">
        <v>1675</v>
      </c>
      <c r="C1925" s="880">
        <v>1.0034163941048284</v>
      </c>
      <c r="D1925" s="880">
        <v>1.0425808039033417</v>
      </c>
      <c r="E1925" s="880">
        <v>1.0175150704899996</v>
      </c>
      <c r="F1925" s="880">
        <v>0.95640027962501428</v>
      </c>
      <c r="G1925" s="880">
        <v>1.00525053691855</v>
      </c>
      <c r="H1925" s="880">
        <v>0.98118601260190519</v>
      </c>
      <c r="I1925" s="880">
        <v>0.96523911910705584</v>
      </c>
      <c r="K1925">
        <v>1.0637945359414707</v>
      </c>
      <c r="L1925">
        <v>0</v>
      </c>
      <c r="M1925">
        <v>6.3608723723732161E-4</v>
      </c>
      <c r="N1925">
        <v>6.6904924429062276E-2</v>
      </c>
      <c r="O1925">
        <v>8.5654050711932404E-3</v>
      </c>
      <c r="P1925">
        <v>1.2728982867926264E-2</v>
      </c>
      <c r="Q1925">
        <v>2.9395708526816092E-3</v>
      </c>
      <c r="R1925">
        <v>6.2510132168107748E-4</v>
      </c>
      <c r="S1925">
        <v>7.9904573350823016E-2</v>
      </c>
      <c r="T1925">
        <v>0.81442789060499976</v>
      </c>
      <c r="U1925">
        <v>1.6853052197775529E-2</v>
      </c>
      <c r="V1925">
        <v>1.0412803805539354E-2</v>
      </c>
      <c r="W1925">
        <v>3.9518541847068669E-2</v>
      </c>
      <c r="X1925">
        <v>9.8484570969370484E-3</v>
      </c>
      <c r="Y1925">
        <v>1.7013197330205815E-3</v>
      </c>
    </row>
    <row r="1926" spans="1:25">
      <c r="A1926" s="876"/>
      <c r="B1926" s="1202">
        <v>1676</v>
      </c>
      <c r="C1926" s="880">
        <v>1.0067646672223243</v>
      </c>
      <c r="D1926" s="880">
        <v>0.97361322743797629</v>
      </c>
      <c r="E1926" s="880">
        <v>0.99676557004365218</v>
      </c>
      <c r="F1926" s="880">
        <v>0.99879416883951488</v>
      </c>
      <c r="G1926" s="880">
        <v>0.99567258653444946</v>
      </c>
      <c r="H1926" s="880">
        <v>1.0135765458005737</v>
      </c>
      <c r="I1926" s="880">
        <v>1.0183167320766739</v>
      </c>
      <c r="K1926">
        <v>1.0794898684118659</v>
      </c>
      <c r="L1926">
        <v>0</v>
      </c>
      <c r="M1926">
        <v>7.0953710211201773E-4</v>
      </c>
      <c r="N1926">
        <v>7.001266689455736E-2</v>
      </c>
      <c r="O1926">
        <v>8.8540170370722676E-3</v>
      </c>
      <c r="P1926">
        <v>1.2668226860826864E-2</v>
      </c>
      <c r="Q1926">
        <v>2.9610177154989845E-3</v>
      </c>
      <c r="R1926">
        <v>6.9773351630889697E-4</v>
      </c>
      <c r="S1926">
        <v>8.811581945794722E-2</v>
      </c>
      <c r="T1926">
        <v>0.81609806951122355</v>
      </c>
      <c r="U1926">
        <v>1.6797002732136995E-2</v>
      </c>
      <c r="V1926">
        <v>1.0412481594866949E-2</v>
      </c>
      <c r="W1926">
        <v>4.1942552065049661E-2</v>
      </c>
      <c r="X1926">
        <v>9.7408175048876514E-3</v>
      </c>
      <c r="Y1926">
        <v>1.8990006236009823E-3</v>
      </c>
    </row>
    <row r="1927" spans="1:25">
      <c r="A1927" s="876"/>
      <c r="B1927" s="1202">
        <v>1677</v>
      </c>
      <c r="C1927" s="880">
        <v>0.99449694876814165</v>
      </c>
      <c r="D1927" s="880">
        <v>0.98322726445612829</v>
      </c>
      <c r="E1927" s="880">
        <v>1.0043328243274916</v>
      </c>
      <c r="F1927" s="880">
        <v>0.96743631110148365</v>
      </c>
      <c r="G1927" s="880">
        <v>0.99510590760010653</v>
      </c>
      <c r="H1927" s="880">
        <v>0.99716609609017581</v>
      </c>
      <c r="I1927" s="880">
        <v>0.9959003711390001</v>
      </c>
      <c r="K1927">
        <v>1.0769903807360981</v>
      </c>
      <c r="L1927">
        <v>0</v>
      </c>
      <c r="M1927">
        <v>6.9185328175645495E-4</v>
      </c>
      <c r="N1927">
        <v>6.9873603129533612E-2</v>
      </c>
      <c r="O1927">
        <v>8.9162949102771488E-3</v>
      </c>
      <c r="P1927">
        <v>1.2708516033046333E-2</v>
      </c>
      <c r="Q1927">
        <v>3.0068327427415702E-3</v>
      </c>
      <c r="R1927">
        <v>6.8014594167001361E-4</v>
      </c>
      <c r="S1927">
        <v>8.621908843457092E-2</v>
      </c>
      <c r="T1927">
        <v>0.8154872658180371</v>
      </c>
      <c r="U1927">
        <v>1.7004203871011515E-2</v>
      </c>
      <c r="V1927">
        <v>1.0413672728761253E-2</v>
      </c>
      <c r="W1927">
        <v>4.1643145630664069E-2</v>
      </c>
      <c r="X1927">
        <v>9.8783317343638672E-3</v>
      </c>
      <c r="Y1927">
        <v>1.8511330431763633E-3</v>
      </c>
    </row>
    <row r="1928" spans="1:25">
      <c r="A1928" s="876"/>
      <c r="B1928" s="1202">
        <v>1678</v>
      </c>
      <c r="C1928" s="880">
        <v>0.99069701912228325</v>
      </c>
      <c r="D1928" s="880">
        <v>1.0321415038566428</v>
      </c>
      <c r="E1928" s="880">
        <v>0.99329110575703361</v>
      </c>
      <c r="F1928" s="880">
        <v>0.96633218412167854</v>
      </c>
      <c r="G1928" s="880">
        <v>1.0219282293289405</v>
      </c>
      <c r="H1928" s="880">
        <v>0.9888228376283984</v>
      </c>
      <c r="I1928" s="880">
        <v>0.96001187545720734</v>
      </c>
      <c r="K1928">
        <v>1.0677956651497473</v>
      </c>
      <c r="L1928">
        <v>0</v>
      </c>
      <c r="M1928">
        <v>6.8693349846615749E-4</v>
      </c>
      <c r="N1928">
        <v>6.7019888875576444E-2</v>
      </c>
      <c r="O1928">
        <v>8.7218932198683281E-3</v>
      </c>
      <c r="P1928">
        <v>1.2548258623956745E-2</v>
      </c>
      <c r="Q1928">
        <v>2.9193228076994622E-3</v>
      </c>
      <c r="R1928">
        <v>6.7516959945748678E-4</v>
      </c>
      <c r="S1928">
        <v>8.1154944124158662E-2</v>
      </c>
      <c r="T1928">
        <v>0.8163791682681687</v>
      </c>
      <c r="U1928">
        <v>1.7069425404080137E-2</v>
      </c>
      <c r="V1928">
        <v>1.0414047666751938E-2</v>
      </c>
      <c r="W1928">
        <v>4.0245562990679058E-2</v>
      </c>
      <c r="X1928">
        <v>9.4973279876921796E-3</v>
      </c>
      <c r="Y1928">
        <v>1.8375890801246347E-3</v>
      </c>
    </row>
    <row r="1929" spans="1:25">
      <c r="A1929" s="876"/>
      <c r="B1929" s="1202">
        <v>1679</v>
      </c>
      <c r="C1929" s="880">
        <v>1.0178402386049643</v>
      </c>
      <c r="D1929" s="880">
        <v>1.0082287092524329</v>
      </c>
      <c r="E1929" s="880">
        <v>1.0428982835850429</v>
      </c>
      <c r="F1929" s="880">
        <v>0.98282824667470303</v>
      </c>
      <c r="G1929" s="880">
        <v>1.0366195284720419</v>
      </c>
      <c r="H1929" s="880">
        <v>1.0078911503091033</v>
      </c>
      <c r="I1929" s="880">
        <v>1.0017350069626718</v>
      </c>
      <c r="K1929">
        <v>1.0720714168687846</v>
      </c>
      <c r="L1929">
        <v>0</v>
      </c>
      <c r="M1929">
        <v>6.2141499104783964E-4</v>
      </c>
      <c r="N1929">
        <v>7.0755962401398739E-2</v>
      </c>
      <c r="O1929">
        <v>8.5958827453621808E-3</v>
      </c>
      <c r="P1929">
        <v>1.2992724862954087E-2</v>
      </c>
      <c r="Q1929">
        <v>3.0175150584699859E-3</v>
      </c>
      <c r="R1929">
        <v>6.1099224649412847E-4</v>
      </c>
      <c r="S1929">
        <v>8.405735242065733E-2</v>
      </c>
      <c r="T1929">
        <v>0.81240468933417942</v>
      </c>
      <c r="U1929">
        <v>1.6614227090422193E-2</v>
      </c>
      <c r="V1929">
        <v>1.0411430875440013E-2</v>
      </c>
      <c r="W1929">
        <v>4.1088433004441975E-2</v>
      </c>
      <c r="X1929">
        <v>1.048070233859376E-2</v>
      </c>
      <c r="Y1929">
        <v>1.6629194814170923E-3</v>
      </c>
    </row>
    <row r="1930" spans="1:25">
      <c r="A1930" s="876"/>
      <c r="B1930" s="1202">
        <v>1680</v>
      </c>
      <c r="C1930" s="880">
        <v>1.0414779132875471</v>
      </c>
      <c r="D1930" s="880">
        <v>1.0151027500242589</v>
      </c>
      <c r="E1930" s="880">
        <v>0.985988450083921</v>
      </c>
      <c r="F1930" s="880">
        <v>0.95464944590785272</v>
      </c>
      <c r="G1930" s="880">
        <v>1.005079456821439</v>
      </c>
      <c r="H1930" s="880">
        <v>0.99459666011705505</v>
      </c>
      <c r="I1930" s="880">
        <v>0.99569106952839403</v>
      </c>
      <c r="K1930">
        <v>1.0621040935051018</v>
      </c>
      <c r="L1930">
        <v>0</v>
      </c>
      <c r="M1930">
        <v>6.733482065173625E-4</v>
      </c>
      <c r="N1930">
        <v>6.4225465533328918E-2</v>
      </c>
      <c r="O1930">
        <v>8.3704369435895869E-3</v>
      </c>
      <c r="P1930">
        <v>1.2472981760153639E-2</v>
      </c>
      <c r="Q1930">
        <v>2.7776573044127756E-3</v>
      </c>
      <c r="R1930">
        <v>6.6189776304587198E-4</v>
      </c>
      <c r="S1930">
        <v>8.0927490128317403E-2</v>
      </c>
      <c r="T1930">
        <v>0.81697131868635353</v>
      </c>
      <c r="U1930">
        <v>1.6237145934830249E-2</v>
      </c>
      <c r="V1930">
        <v>1.0409263154993234E-2</v>
      </c>
      <c r="W1930">
        <v>3.8762110762972639E-2</v>
      </c>
      <c r="X1930">
        <v>9.1602062231482609E-3</v>
      </c>
      <c r="Y1930">
        <v>1.8014675164719166E-3</v>
      </c>
    </row>
    <row r="1931" spans="1:25">
      <c r="A1931" s="876"/>
      <c r="B1931" s="1202">
        <v>1681</v>
      </c>
      <c r="C1931" s="880">
        <v>0.97222684386573188</v>
      </c>
      <c r="D1931" s="880">
        <v>0.99680667897773201</v>
      </c>
      <c r="E1931" s="880">
        <v>1.0375014281069346</v>
      </c>
      <c r="F1931" s="880">
        <v>1.0383813805511177</v>
      </c>
      <c r="G1931" s="880">
        <v>1.0028143480130058</v>
      </c>
      <c r="H1931" s="880">
        <v>0.96330046282091819</v>
      </c>
      <c r="I1931" s="880">
        <v>1.0038997867566073</v>
      </c>
      <c r="K1931">
        <v>1.0771820244751631</v>
      </c>
      <c r="L1931">
        <v>0</v>
      </c>
      <c r="M1931">
        <v>6.3276072678298385E-4</v>
      </c>
      <c r="N1931">
        <v>7.0796859295345904E-2</v>
      </c>
      <c r="O1931">
        <v>9.05400090431536E-3</v>
      </c>
      <c r="P1931">
        <v>1.3001183765078573E-2</v>
      </c>
      <c r="Q1931">
        <v>3.1588274968274415E-3</v>
      </c>
      <c r="R1931">
        <v>6.2166568844351539E-4</v>
      </c>
      <c r="S1931">
        <v>8.7044046720201732E-2</v>
      </c>
      <c r="T1931">
        <v>0.81283301074075687</v>
      </c>
      <c r="U1931">
        <v>1.7393707006394702E-2</v>
      </c>
      <c r="V1931">
        <v>1.041591185924586E-2</v>
      </c>
      <c r="W1931">
        <v>4.1260085719657787E-2</v>
      </c>
      <c r="X1931">
        <v>1.0543516933773076E-2</v>
      </c>
      <c r="Y1931">
        <v>1.69196907190413E-3</v>
      </c>
    </row>
    <row r="1932" spans="1:25">
      <c r="A1932" s="876"/>
      <c r="B1932" s="1202">
        <v>1682</v>
      </c>
      <c r="C1932" s="880">
        <v>0.98775532594874416</v>
      </c>
      <c r="D1932" s="880">
        <v>1.0167231629695976</v>
      </c>
      <c r="E1932" s="880">
        <v>0.99318882380937901</v>
      </c>
      <c r="F1932" s="880">
        <v>0.99515878748262721</v>
      </c>
      <c r="G1932" s="880">
        <v>1.0116497294599696</v>
      </c>
      <c r="H1932" s="880">
        <v>0.96948554908113682</v>
      </c>
      <c r="I1932" s="880">
        <v>1.0157153935533241</v>
      </c>
      <c r="K1932">
        <v>1.071978802515174</v>
      </c>
      <c r="L1932">
        <v>0</v>
      </c>
      <c r="M1932">
        <v>6.8107042195329835E-4</v>
      </c>
      <c r="N1932">
        <v>6.6404917854401779E-2</v>
      </c>
      <c r="O1932">
        <v>8.8182004534054399E-3</v>
      </c>
      <c r="P1932">
        <v>1.2614717406298692E-2</v>
      </c>
      <c r="Q1932">
        <v>2.9479720368636737E-3</v>
      </c>
      <c r="R1932">
        <v>6.6918729346048759E-4</v>
      </c>
      <c r="S1932">
        <v>8.6060935211006148E-2</v>
      </c>
      <c r="T1932">
        <v>0.81638744951563269</v>
      </c>
      <c r="U1932">
        <v>1.7120260880101698E-2</v>
      </c>
      <c r="V1932">
        <v>1.0414339903845105E-2</v>
      </c>
      <c r="W1932">
        <v>3.9879075869749869E-2</v>
      </c>
      <c r="X1932">
        <v>9.5215092970934376E-3</v>
      </c>
      <c r="Y1932">
        <v>1.8213072152674452E-3</v>
      </c>
    </row>
    <row r="1933" spans="1:25">
      <c r="A1933" s="876"/>
      <c r="B1933" s="1202">
        <v>1683</v>
      </c>
      <c r="C1933" s="880">
        <v>1.0054654687031499</v>
      </c>
      <c r="D1933" s="880">
        <v>1.0132893358524175</v>
      </c>
      <c r="E1933" s="880">
        <v>0.98886025350701634</v>
      </c>
      <c r="F1933" s="880">
        <v>0.98242513739220572</v>
      </c>
      <c r="G1933" s="880">
        <v>1.0465228692234665</v>
      </c>
      <c r="H1933" s="880">
        <v>1.0064919699016535</v>
      </c>
      <c r="I1933" s="880">
        <v>1.013933792711305</v>
      </c>
      <c r="K1933">
        <v>1.0736006652407646</v>
      </c>
      <c r="L1933">
        <v>0</v>
      </c>
      <c r="M1933">
        <v>7.0222634078028346E-4</v>
      </c>
      <c r="N1933">
        <v>6.7595571449549516E-2</v>
      </c>
      <c r="O1933">
        <v>8.6784981871481544E-3</v>
      </c>
      <c r="P1933">
        <v>1.2571642243487668E-2</v>
      </c>
      <c r="Q1933">
        <v>2.8878850587251985E-3</v>
      </c>
      <c r="R1933">
        <v>6.9042748953367138E-4</v>
      </c>
      <c r="S1933">
        <v>8.5863694959208509E-2</v>
      </c>
      <c r="T1933">
        <v>0.8167382370629489</v>
      </c>
      <c r="U1933">
        <v>1.6818706750579615E-2</v>
      </c>
      <c r="V1933">
        <v>1.0412606364412855E-2</v>
      </c>
      <c r="W1933">
        <v>4.0715284161042337E-2</v>
      </c>
      <c r="X1933">
        <v>9.45122182775897E-3</v>
      </c>
      <c r="Y1933">
        <v>1.8791160271498973E-3</v>
      </c>
    </row>
    <row r="1934" spans="1:25">
      <c r="A1934" s="876"/>
      <c r="B1934" s="1202">
        <v>1684</v>
      </c>
      <c r="C1934" s="880">
        <v>1.0443878089751888</v>
      </c>
      <c r="D1934" s="880">
        <v>0.97915364456452203</v>
      </c>
      <c r="E1934" s="880">
        <v>1.0259393341383733</v>
      </c>
      <c r="F1934" s="880">
        <v>0.98153629650705176</v>
      </c>
      <c r="G1934" s="880">
        <v>0.99038545161145364</v>
      </c>
      <c r="H1934" s="880">
        <v>1.0282126957452458</v>
      </c>
      <c r="I1934" s="880">
        <v>0.98921209652279973</v>
      </c>
      <c r="K1934">
        <v>1.0708454712892346</v>
      </c>
      <c r="L1934">
        <v>0</v>
      </c>
      <c r="M1934">
        <v>6.5046681630871685E-4</v>
      </c>
      <c r="N1934">
        <v>7.0293127211283613E-2</v>
      </c>
      <c r="O1934">
        <v>8.5092120840817922E-3</v>
      </c>
      <c r="P1934">
        <v>1.282918046869979E-2</v>
      </c>
      <c r="Q1934">
        <v>2.9311102846688942E-3</v>
      </c>
      <c r="R1934">
        <v>6.3979544020542482E-4</v>
      </c>
      <c r="S1934">
        <v>8.2781431194956387E-2</v>
      </c>
      <c r="T1934">
        <v>0.81375398564760493</v>
      </c>
      <c r="U1934">
        <v>1.6191905650972727E-2</v>
      </c>
      <c r="V1934">
        <v>1.0409003082892365E-2</v>
      </c>
      <c r="W1934">
        <v>4.1284772353750249E-2</v>
      </c>
      <c r="X1934">
        <v>1.013110240669806E-2</v>
      </c>
      <c r="Y1934">
        <v>1.7413122797289855E-3</v>
      </c>
    </row>
    <row r="1935" spans="1:25">
      <c r="A1935" s="876"/>
      <c r="B1935" s="1202">
        <v>1685</v>
      </c>
      <c r="C1935" s="880">
        <v>0.98338754481679114</v>
      </c>
      <c r="D1935" s="880">
        <v>0.98371596350935331</v>
      </c>
      <c r="E1935" s="880">
        <v>1.0034973721804992</v>
      </c>
      <c r="F1935" s="880">
        <v>1.0009824576492774</v>
      </c>
      <c r="G1935" s="880">
        <v>1.0419739749666637</v>
      </c>
      <c r="H1935" s="880">
        <v>1.0274560312773493</v>
      </c>
      <c r="I1935" s="880">
        <v>0.96025179665509586</v>
      </c>
      <c r="K1935">
        <v>1.0811105079270595</v>
      </c>
      <c r="L1935">
        <v>0</v>
      </c>
      <c r="M1935">
        <v>7.2200144850940692E-4</v>
      </c>
      <c r="N1935">
        <v>7.2766046139691676E-2</v>
      </c>
      <c r="O1935">
        <v>9.0146300911490493E-3</v>
      </c>
      <c r="P1935">
        <v>1.2689113905111892E-2</v>
      </c>
      <c r="Q1935">
        <v>3.0375614287969713E-3</v>
      </c>
      <c r="R1935">
        <v>7.1014369229990978E-4</v>
      </c>
      <c r="S1935">
        <v>8.5117960266042486E-2</v>
      </c>
      <c r="T1935">
        <v>0.81555460517453138</v>
      </c>
      <c r="U1935">
        <v>1.7196301656538602E-2</v>
      </c>
      <c r="V1935">
        <v>1.0414777038248217E-2</v>
      </c>
      <c r="W1935">
        <v>4.339170883286779E-2</v>
      </c>
      <c r="X1935">
        <v>1.0006884118653732E-2</v>
      </c>
      <c r="Y1935">
        <v>1.9327770316351031E-3</v>
      </c>
    </row>
    <row r="1936" spans="1:25">
      <c r="A1936" s="876"/>
      <c r="B1936" s="1202">
        <v>1686</v>
      </c>
      <c r="C1936" s="880">
        <v>1.0155052516353451</v>
      </c>
      <c r="D1936" s="880">
        <v>0.9961155999495076</v>
      </c>
      <c r="E1936" s="880">
        <v>1.0370191953027346</v>
      </c>
      <c r="F1936" s="880">
        <v>1.0083613446436395</v>
      </c>
      <c r="G1936" s="880">
        <v>1.0013203824454868</v>
      </c>
      <c r="H1936" s="880">
        <v>0.96295750705999128</v>
      </c>
      <c r="I1936" s="880">
        <v>1.0208210365828805</v>
      </c>
      <c r="K1936">
        <v>1.0684587700789818</v>
      </c>
      <c r="L1936">
        <v>0</v>
      </c>
      <c r="M1936">
        <v>6.0642085269795151E-4</v>
      </c>
      <c r="N1936">
        <v>6.7747998226153655E-2</v>
      </c>
      <c r="O1936">
        <v>8.6713485071676782E-3</v>
      </c>
      <c r="P1936">
        <v>1.2954650188488175E-2</v>
      </c>
      <c r="Q1936">
        <v>3.0237316491445745E-3</v>
      </c>
      <c r="R1936">
        <v>5.9578442204219907E-4</v>
      </c>
      <c r="S1936">
        <v>8.4755990285247176E-2</v>
      </c>
      <c r="T1936">
        <v>0.81287133159383806</v>
      </c>
      <c r="U1936">
        <v>1.6652428767571531E-2</v>
      </c>
      <c r="V1936">
        <v>1.0411650484814353E-2</v>
      </c>
      <c r="W1936">
        <v>3.9495920638120137E-2</v>
      </c>
      <c r="X1936">
        <v>1.0262827372574163E-2</v>
      </c>
      <c r="Y1936">
        <v>1.6215287965169235E-3</v>
      </c>
    </row>
    <row r="1937" spans="1:25">
      <c r="A1937" s="876"/>
      <c r="B1937" s="1202">
        <v>1687</v>
      </c>
      <c r="C1937" s="880">
        <v>1.0220553008656041</v>
      </c>
      <c r="D1937" s="880">
        <v>0.98717448238984895</v>
      </c>
      <c r="E1937" s="880">
        <v>0.98004078711167275</v>
      </c>
      <c r="F1937" s="880">
        <v>1.0008715756962021</v>
      </c>
      <c r="G1937" s="880">
        <v>0.98456848092086557</v>
      </c>
      <c r="H1937" s="880">
        <v>0.99939799485210168</v>
      </c>
      <c r="I1937" s="880">
        <v>0.99094770712563851</v>
      </c>
      <c r="K1937">
        <v>1.0694467014868245</v>
      </c>
      <c r="L1937">
        <v>0</v>
      </c>
      <c r="M1937">
        <v>7.0856107167477941E-4</v>
      </c>
      <c r="N1937">
        <v>6.6351384261850277E-2</v>
      </c>
      <c r="O1937">
        <v>8.6573360045924773E-3</v>
      </c>
      <c r="P1937">
        <v>1.2460599635365496E-2</v>
      </c>
      <c r="Q1937">
        <v>2.8496351488899864E-3</v>
      </c>
      <c r="R1937">
        <v>6.9659424110418548E-4</v>
      </c>
      <c r="S1937">
        <v>8.3388301676318013E-2</v>
      </c>
      <c r="T1937">
        <v>0.8174549319296045</v>
      </c>
      <c r="U1937">
        <v>1.6545708291547768E-2</v>
      </c>
      <c r="V1937">
        <v>1.0411036982509775E-2</v>
      </c>
      <c r="W1937">
        <v>4.0210428690790799E-2</v>
      </c>
      <c r="X1937">
        <v>9.2334058038705639E-3</v>
      </c>
      <c r="Y1937">
        <v>1.8958998920557283E-3</v>
      </c>
    </row>
    <row r="1938" spans="1:25">
      <c r="A1938" s="876"/>
      <c r="B1938" s="1202">
        <v>1688</v>
      </c>
      <c r="C1938" s="880">
        <v>1.0369258131332764</v>
      </c>
      <c r="D1938" s="880">
        <v>1.0046734241741271</v>
      </c>
      <c r="E1938" s="880">
        <v>0.97686623401856232</v>
      </c>
      <c r="F1938" s="880">
        <v>0.99868233633910719</v>
      </c>
      <c r="G1938" s="880">
        <v>0.97308877288838347</v>
      </c>
      <c r="H1938" s="880">
        <v>0.99231036218563784</v>
      </c>
      <c r="I1938" s="880">
        <v>0.99186876757789255</v>
      </c>
      <c r="K1938">
        <v>1.0633003532473622</v>
      </c>
      <c r="L1938">
        <v>0</v>
      </c>
      <c r="M1938">
        <v>6.915846489180202E-4</v>
      </c>
      <c r="N1938">
        <v>6.4114891952510328E-2</v>
      </c>
      <c r="O1938">
        <v>8.4535674334027221E-3</v>
      </c>
      <c r="P1938">
        <v>1.2402898764064614E-2</v>
      </c>
      <c r="Q1938">
        <v>2.7772404452104465E-3</v>
      </c>
      <c r="R1938">
        <v>6.7980589138478089E-4</v>
      </c>
      <c r="S1938">
        <v>8.130979917634451E-2</v>
      </c>
      <c r="T1938">
        <v>0.81771354951861697</v>
      </c>
      <c r="U1938">
        <v>1.6308426940258674E-2</v>
      </c>
      <c r="V1938">
        <v>1.0409672926976364E-2</v>
      </c>
      <c r="W1938">
        <v>3.8940841310197608E-2</v>
      </c>
      <c r="X1938">
        <v>9.0310359989165846E-3</v>
      </c>
      <c r="Y1938">
        <v>1.8502075383975062E-3</v>
      </c>
    </row>
    <row r="1939" spans="1:25">
      <c r="A1939" s="876"/>
      <c r="B1939" s="1202">
        <v>1689</v>
      </c>
      <c r="C1939" s="880">
        <v>0.97453765570389439</v>
      </c>
      <c r="D1939" s="880">
        <v>0.98792212468488383</v>
      </c>
      <c r="E1939" s="880">
        <v>1.005934520494447</v>
      </c>
      <c r="F1939" s="880">
        <v>0.99251163058870384</v>
      </c>
      <c r="G1939" s="880">
        <v>0.99847860251938336</v>
      </c>
      <c r="H1939" s="880">
        <v>0.98862577228019788</v>
      </c>
      <c r="I1939" s="880">
        <v>0.95714175245963962</v>
      </c>
      <c r="K1939">
        <v>1.0765065080040086</v>
      </c>
      <c r="L1939">
        <v>0</v>
      </c>
      <c r="M1939">
        <v>6.9584909526865073E-4</v>
      </c>
      <c r="N1939">
        <v>7.0617160954806107E-2</v>
      </c>
      <c r="O1939">
        <v>9.0757912980869056E-3</v>
      </c>
      <c r="P1939">
        <v>1.2697068639380747E-2</v>
      </c>
      <c r="Q1939">
        <v>3.0666348561428419E-3</v>
      </c>
      <c r="R1939">
        <v>6.8396823903506786E-4</v>
      </c>
      <c r="S1939">
        <v>8.4058138832904666E-2</v>
      </c>
      <c r="T1939">
        <v>0.81535823181118894</v>
      </c>
      <c r="U1939">
        <v>1.7352463259860468E-2</v>
      </c>
      <c r="V1939">
        <v>1.0415674761975573E-2</v>
      </c>
      <c r="W1939">
        <v>4.20403556005726E-2</v>
      </c>
      <c r="X1939">
        <v>9.9753327687390151E-3</v>
      </c>
      <c r="Y1939">
        <v>1.8615360765840538E-3</v>
      </c>
    </row>
    <row r="1940" spans="1:25">
      <c r="A1940" s="876"/>
      <c r="B1940" s="1202">
        <v>1690</v>
      </c>
      <c r="C1940" s="880">
        <v>1.004221660799518</v>
      </c>
      <c r="D1940" s="880">
        <v>0.99286187511514989</v>
      </c>
      <c r="E1940" s="880">
        <v>1.0151361360356805</v>
      </c>
      <c r="F1940" s="880">
        <v>1.0297926126941717</v>
      </c>
      <c r="G1940" s="880">
        <v>1.0025490381761919</v>
      </c>
      <c r="H1940" s="880">
        <v>0.98572044220913502</v>
      </c>
      <c r="I1940" s="880">
        <v>1.0044191291207534</v>
      </c>
      <c r="K1940">
        <v>1.072906815791477</v>
      </c>
      <c r="L1940">
        <v>0</v>
      </c>
      <c r="M1940">
        <v>6.5860212801796992E-4</v>
      </c>
      <c r="N1940">
        <v>6.8772729136311078E-2</v>
      </c>
      <c r="O1940">
        <v>8.7841016536029503E-3</v>
      </c>
      <c r="P1940">
        <v>1.2783426975813158E-2</v>
      </c>
      <c r="Q1940">
        <v>2.9966152071180924E-3</v>
      </c>
      <c r="R1940">
        <v>6.4731993071327201E-4</v>
      </c>
      <c r="S1940">
        <v>8.5285841902599829E-2</v>
      </c>
      <c r="T1940">
        <v>0.8146186332183285</v>
      </c>
      <c r="U1940">
        <v>1.6839538048291931E-2</v>
      </c>
      <c r="V1940">
        <v>1.0412726116962995E-2</v>
      </c>
      <c r="W1940">
        <v>4.068722031878573E-2</v>
      </c>
      <c r="X1940">
        <v>9.9754739485217701E-3</v>
      </c>
      <c r="Y1940">
        <v>1.7617914624437165E-3</v>
      </c>
    </row>
    <row r="1941" spans="1:25">
      <c r="A1941" s="876"/>
      <c r="B1941" s="1202">
        <v>1691</v>
      </c>
      <c r="C1941" s="880">
        <v>0.98898555792629605</v>
      </c>
      <c r="D1941" s="880">
        <v>0.9998446248242836</v>
      </c>
      <c r="E1941" s="880">
        <v>1.0055175746895066</v>
      </c>
      <c r="F1941" s="880">
        <v>0.99675921023491276</v>
      </c>
      <c r="G1941" s="880">
        <v>1.0073261065655381</v>
      </c>
      <c r="H1941" s="880">
        <v>0.96449859210456668</v>
      </c>
      <c r="I1941" s="880">
        <v>1.0155808675636302</v>
      </c>
      <c r="K1941">
        <v>1.0730850784280939</v>
      </c>
      <c r="L1941">
        <v>0</v>
      </c>
      <c r="M1941">
        <v>6.6527594992056083E-4</v>
      </c>
      <c r="N1941">
        <v>6.7396649742344036E-2</v>
      </c>
      <c r="O1941">
        <v>8.8861435650904944E-3</v>
      </c>
      <c r="P1941">
        <v>1.272325929945229E-2</v>
      </c>
      <c r="Q1941">
        <v>3.0039978131826419E-3</v>
      </c>
      <c r="R1941">
        <v>6.5362266411974615E-4</v>
      </c>
      <c r="S1941">
        <v>8.6477704044128176E-2</v>
      </c>
      <c r="T1941">
        <v>0.81539181292008256</v>
      </c>
      <c r="U1941">
        <v>1.7098964419066522E-2</v>
      </c>
      <c r="V1941">
        <v>1.0414217477217977E-2</v>
      </c>
      <c r="W1941">
        <v>4.013449865866766E-2</v>
      </c>
      <c r="X1941">
        <v>9.7905383495817434E-3</v>
      </c>
      <c r="Y1941">
        <v>1.7789454250806301E-3</v>
      </c>
    </row>
    <row r="1942" spans="1:25">
      <c r="A1942" s="876"/>
      <c r="B1942" s="1202">
        <v>1692</v>
      </c>
      <c r="C1942" s="880">
        <v>1.0022821990555575</v>
      </c>
      <c r="D1942" s="880">
        <v>1.0294509849192575</v>
      </c>
      <c r="E1942" s="880">
        <v>1.0005942455128169</v>
      </c>
      <c r="F1942" s="880">
        <v>0.98812556875963775</v>
      </c>
      <c r="G1942" s="880">
        <v>0.98615636806259899</v>
      </c>
      <c r="H1942" s="880">
        <v>0.99847776385659337</v>
      </c>
      <c r="I1942" s="880">
        <v>1.0044235906527077</v>
      </c>
      <c r="K1942">
        <v>1.0708872064694257</v>
      </c>
      <c r="L1942">
        <v>0</v>
      </c>
      <c r="M1942">
        <v>6.7609938236125647E-4</v>
      </c>
      <c r="N1942">
        <v>6.7490697438665023E-2</v>
      </c>
      <c r="O1942">
        <v>8.6330520169412926E-3</v>
      </c>
      <c r="P1942">
        <v>1.2650311686495127E-2</v>
      </c>
      <c r="Q1942">
        <v>2.9103531887453627E-3</v>
      </c>
      <c r="R1942">
        <v>6.646351474713831E-4</v>
      </c>
      <c r="S1942">
        <v>8.4377280141273631E-2</v>
      </c>
      <c r="T1942">
        <v>0.81578878831654456</v>
      </c>
      <c r="U1942">
        <v>1.6872123322041556E-2</v>
      </c>
      <c r="V1942">
        <v>1.0412913439408353E-2</v>
      </c>
      <c r="W1942">
        <v>4.0325834227642354E-2</v>
      </c>
      <c r="X1942">
        <v>9.6283991520592378E-3</v>
      </c>
      <c r="Y1942">
        <v>1.8089177744996241E-3</v>
      </c>
    </row>
    <row r="1943" spans="1:25">
      <c r="A1943" s="876"/>
      <c r="B1943" s="1202">
        <v>1693</v>
      </c>
      <c r="C1943" s="880">
        <v>0.96533662351802763</v>
      </c>
      <c r="D1943" s="880">
        <v>0.98793157773604823</v>
      </c>
      <c r="E1943" s="880">
        <v>0.98545988788561878</v>
      </c>
      <c r="F1943" s="880">
        <v>0.99793074990748742</v>
      </c>
      <c r="G1943" s="880">
        <v>1.0327324451494653</v>
      </c>
      <c r="H1943" s="880">
        <v>1.001097570212552</v>
      </c>
      <c r="I1943" s="880">
        <v>1.0162956402087786</v>
      </c>
      <c r="K1943">
        <v>1.0854183365990266</v>
      </c>
      <c r="L1943">
        <v>0</v>
      </c>
      <c r="M1943">
        <v>7.4266095876891888E-4</v>
      </c>
      <c r="N1943">
        <v>7.0730521552471406E-2</v>
      </c>
      <c r="O1943">
        <v>9.1622497029011461E-3</v>
      </c>
      <c r="P1943">
        <v>1.2616215980012642E-2</v>
      </c>
      <c r="Q1943">
        <v>3.0326377342586391E-3</v>
      </c>
      <c r="R1943">
        <v>7.3013880320025736E-4</v>
      </c>
      <c r="S1943">
        <v>9.0575936489304301E-2</v>
      </c>
      <c r="T1943">
        <v>0.81701424836030423</v>
      </c>
      <c r="U1943">
        <v>1.7517856936085228E-2</v>
      </c>
      <c r="V1943">
        <v>1.0416625557973732E-2</v>
      </c>
      <c r="W1943">
        <v>4.2703715498619434E-2</v>
      </c>
      <c r="X1943">
        <v>9.6736538105450451E-3</v>
      </c>
      <c r="Y1943">
        <v>1.9871971321193125E-3</v>
      </c>
    </row>
    <row r="1944" spans="1:25">
      <c r="A1944" s="876"/>
      <c r="B1944" s="1202">
        <v>1694</v>
      </c>
      <c r="C1944" s="880">
        <v>1.0315702023133544</v>
      </c>
      <c r="D1944" s="880">
        <v>0.99979498444137971</v>
      </c>
      <c r="E1944" s="880">
        <v>0.99841614991425975</v>
      </c>
      <c r="F1944" s="880">
        <v>1.0374032597909904</v>
      </c>
      <c r="G1944" s="880">
        <v>1.0050572080933928</v>
      </c>
      <c r="H1944" s="880">
        <v>1.0061447875689535</v>
      </c>
      <c r="I1944" s="880">
        <v>1.0218051719932961</v>
      </c>
      <c r="K1944">
        <v>1.0700596485443807</v>
      </c>
      <c r="L1944">
        <v>0</v>
      </c>
      <c r="M1944">
        <v>6.7539872451961402E-4</v>
      </c>
      <c r="N1944">
        <v>6.6976664273663875E-2</v>
      </c>
      <c r="O1944">
        <v>8.5195368383879314E-3</v>
      </c>
      <c r="P1944">
        <v>1.2632600201445817E-2</v>
      </c>
      <c r="Q1944">
        <v>2.8595911704629787E-3</v>
      </c>
      <c r="R1944">
        <v>6.6405785527675633E-4</v>
      </c>
      <c r="S1944">
        <v>8.4893064662117004E-2</v>
      </c>
      <c r="T1944">
        <v>0.81596467426922192</v>
      </c>
      <c r="U1944">
        <v>1.6393095523726198E-2</v>
      </c>
      <c r="V1944">
        <v>1.0410159659916646E-2</v>
      </c>
      <c r="W1944">
        <v>4.0078404995926117E-2</v>
      </c>
      <c r="X1944">
        <v>9.5358512433046088E-3</v>
      </c>
      <c r="Y1944">
        <v>1.8073465754501713E-3</v>
      </c>
    </row>
    <row r="1945" spans="1:25">
      <c r="A1945" s="876"/>
      <c r="B1945" s="1202">
        <v>1695</v>
      </c>
      <c r="C1945" s="880">
        <v>1.0311887984425601</v>
      </c>
      <c r="D1945" s="880">
        <v>0.97545008699873281</v>
      </c>
      <c r="E1945" s="880">
        <v>0.99726027805005146</v>
      </c>
      <c r="F1945" s="880">
        <v>0.95855305010419534</v>
      </c>
      <c r="G1945" s="880">
        <v>1.0013878808937269</v>
      </c>
      <c r="H1945" s="880">
        <v>0.98501261501717563</v>
      </c>
      <c r="I1945" s="880">
        <v>1.0054393844621259</v>
      </c>
      <c r="K1945">
        <v>1.068261386415944</v>
      </c>
      <c r="L1945">
        <v>0</v>
      </c>
      <c r="M1945">
        <v>6.718329826661477E-4</v>
      </c>
      <c r="N1945">
        <v>6.6361659285533836E-2</v>
      </c>
      <c r="O1945">
        <v>8.6356002368840161E-3</v>
      </c>
      <c r="P1945">
        <v>1.2608851167068103E-2</v>
      </c>
      <c r="Q1945">
        <v>2.8898235539653347E-3</v>
      </c>
      <c r="R1945">
        <v>6.603309203750239E-4</v>
      </c>
      <c r="S1945">
        <v>8.3851838195644776E-2</v>
      </c>
      <c r="T1945">
        <v>0.81605807888613258</v>
      </c>
      <c r="U1945">
        <v>1.6399158807284431E-2</v>
      </c>
      <c r="V1945">
        <v>1.0410194515818476E-2</v>
      </c>
      <c r="W1945">
        <v>3.9741856630589288E-2</v>
      </c>
      <c r="X1945">
        <v>9.5186241120828307E-3</v>
      </c>
      <c r="Y1945">
        <v>1.7972030872314153E-3</v>
      </c>
    </row>
    <row r="1946" spans="1:25">
      <c r="A1946" s="876"/>
      <c r="B1946" s="1202">
        <v>1696</v>
      </c>
      <c r="C1946" s="880">
        <v>0.9768736307395719</v>
      </c>
      <c r="D1946" s="880">
        <v>0.99048292830756102</v>
      </c>
      <c r="E1946" s="880">
        <v>1.0208813871947453</v>
      </c>
      <c r="F1946" s="880">
        <v>0.98084323446773747</v>
      </c>
      <c r="G1946" s="880">
        <v>1.007813877907118</v>
      </c>
      <c r="H1946" s="880">
        <v>0.99002580394886164</v>
      </c>
      <c r="I1946" s="880">
        <v>1.0118636791904814</v>
      </c>
      <c r="K1946">
        <v>1.0812313154624023</v>
      </c>
      <c r="L1946">
        <v>0</v>
      </c>
      <c r="M1946">
        <v>6.7265556041635902E-4</v>
      </c>
      <c r="N1946">
        <v>7.1510926043203984E-2</v>
      </c>
      <c r="O1946">
        <v>9.0415850908536731E-3</v>
      </c>
      <c r="P1946">
        <v>1.2883499026628956E-2</v>
      </c>
      <c r="Q1946">
        <v>3.1015825498503288E-3</v>
      </c>
      <c r="R1946">
        <v>6.611847588274258E-4</v>
      </c>
      <c r="S1946">
        <v>8.8589200090651757E-2</v>
      </c>
      <c r="T1946">
        <v>0.81415830940341738</v>
      </c>
      <c r="U1946">
        <v>1.7310968720846379E-2</v>
      </c>
      <c r="V1946">
        <v>1.0415436222978544E-2</v>
      </c>
      <c r="W1946">
        <v>4.2143264334794241E-2</v>
      </c>
      <c r="X1946">
        <v>1.028848782673538E-2</v>
      </c>
      <c r="Y1946">
        <v>1.7995269540310836E-3</v>
      </c>
    </row>
    <row r="1947" spans="1:25">
      <c r="A1947" s="876"/>
      <c r="B1947" s="1202">
        <v>1697</v>
      </c>
      <c r="C1947" s="880">
        <v>0.99491335544610826</v>
      </c>
      <c r="D1947" s="880">
        <v>1.0305782959157972</v>
      </c>
      <c r="E1947" s="880">
        <v>1.0166343619968632</v>
      </c>
      <c r="F1947" s="880">
        <v>0.98635476396123201</v>
      </c>
      <c r="G1947" s="880">
        <v>1.0371806581948251</v>
      </c>
      <c r="H1947" s="880">
        <v>1.0165842176498467</v>
      </c>
      <c r="I1947" s="880">
        <v>0.99955891917238571</v>
      </c>
      <c r="K1947">
        <v>1.0752737045761576</v>
      </c>
      <c r="L1947">
        <v>0</v>
      </c>
      <c r="M1947">
        <v>6.7000566773840449E-4</v>
      </c>
      <c r="N1947">
        <v>7.0323952740778933E-2</v>
      </c>
      <c r="O1947">
        <v>8.6919326898038541E-3</v>
      </c>
      <c r="P1947">
        <v>1.2796669920692732E-2</v>
      </c>
      <c r="Q1947">
        <v>2.9778424999981827E-3</v>
      </c>
      <c r="R1947">
        <v>6.5884622510965025E-4</v>
      </c>
      <c r="S1947">
        <v>8.5184669357642892E-2</v>
      </c>
      <c r="T1947">
        <v>0.81449848320152995</v>
      </c>
      <c r="U1947">
        <v>1.6997087006003473E-2</v>
      </c>
      <c r="V1947">
        <v>1.0413631816152479E-2</v>
      </c>
      <c r="W1947">
        <v>4.1562792526894571E-2</v>
      </c>
      <c r="X1947">
        <v>1.0044640023141064E-2</v>
      </c>
      <c r="Y1947">
        <v>1.7931622361487315E-3</v>
      </c>
    </row>
    <row r="1948" spans="1:25">
      <c r="A1948" s="876"/>
      <c r="B1948" s="1202">
        <v>1698</v>
      </c>
      <c r="C1948" s="880">
        <v>0.99987050700952473</v>
      </c>
      <c r="D1948" s="880">
        <v>0.96050369543758196</v>
      </c>
      <c r="E1948" s="880">
        <v>1.0051899738635146</v>
      </c>
      <c r="F1948" s="880">
        <v>1.023485886591035</v>
      </c>
      <c r="G1948" s="880">
        <v>1.0094469109851225</v>
      </c>
      <c r="H1948" s="880">
        <v>1.0105708221959451</v>
      </c>
      <c r="I1948" s="880">
        <v>1.0214673969022217</v>
      </c>
      <c r="K1948">
        <v>1.0827846498058866</v>
      </c>
      <c r="L1948">
        <v>0</v>
      </c>
      <c r="M1948">
        <v>7.0486439393503675E-4</v>
      </c>
      <c r="N1948">
        <v>7.139608231282131E-2</v>
      </c>
      <c r="O1948">
        <v>8.9799559713916767E-3</v>
      </c>
      <c r="P1948">
        <v>1.2759245621657469E-2</v>
      </c>
      <c r="Q1948">
        <v>3.0255501433098979E-3</v>
      </c>
      <c r="R1948">
        <v>6.9311553743928959E-4</v>
      </c>
      <c r="S1948">
        <v>8.9491259640134171E-2</v>
      </c>
      <c r="T1948">
        <v>0.81541820226942174</v>
      </c>
      <c r="U1948">
        <v>1.6912818957456544E-2</v>
      </c>
      <c r="V1948">
        <v>1.0413147385760954E-2</v>
      </c>
      <c r="W1948">
        <v>4.2525644370984876E-2</v>
      </c>
      <c r="X1948">
        <v>9.9880599820094864E-3</v>
      </c>
      <c r="Y1948">
        <v>1.8864320074342357E-3</v>
      </c>
    </row>
    <row r="1949" spans="1:25">
      <c r="A1949" s="876"/>
      <c r="B1949" s="1202">
        <v>1699</v>
      </c>
      <c r="C1949" s="880">
        <v>1.0103654957033046</v>
      </c>
      <c r="D1949" s="880">
        <v>0.9865536893494693</v>
      </c>
      <c r="E1949" s="880">
        <v>1.018608303527794</v>
      </c>
      <c r="F1949" s="880">
        <v>1.0040283457726209</v>
      </c>
      <c r="G1949" s="880">
        <v>0.97599066294423209</v>
      </c>
      <c r="H1949" s="880">
        <v>1.0122925527470075</v>
      </c>
      <c r="I1949" s="880">
        <v>0.98887091481986544</v>
      </c>
      <c r="K1949">
        <v>1.0750462151356703</v>
      </c>
      <c r="L1949">
        <v>0</v>
      </c>
      <c r="M1949">
        <v>6.6960202123400939E-4</v>
      </c>
      <c r="N1949">
        <v>7.071271574771075E-2</v>
      </c>
      <c r="O1949">
        <v>8.7604422754624378E-3</v>
      </c>
      <c r="P1949">
        <v>1.2802151516666076E-2</v>
      </c>
      <c r="Q1949">
        <v>2.9974619404493389E-3</v>
      </c>
      <c r="R1949">
        <v>6.58437737484496E-4</v>
      </c>
      <c r="S1949">
        <v>8.465721968236245E-2</v>
      </c>
      <c r="T1949">
        <v>0.81434030001888336</v>
      </c>
      <c r="U1949">
        <v>1.6737140112035486E-2</v>
      </c>
      <c r="V1949">
        <v>1.0412137463574092E-2</v>
      </c>
      <c r="W1949">
        <v>4.1736837433307306E-2</v>
      </c>
      <c r="X1949">
        <v>1.0108922761476489E-2</v>
      </c>
      <c r="Y1949">
        <v>1.7920504674909705E-3</v>
      </c>
    </row>
    <row r="1950" spans="1:25">
      <c r="A1950" s="876"/>
      <c r="B1950" s="1202">
        <v>1700</v>
      </c>
      <c r="C1950" s="880">
        <v>0.97886512617927246</v>
      </c>
      <c r="D1950" s="880">
        <v>0.99613387258325725</v>
      </c>
      <c r="E1950" s="880">
        <v>1.0218562034778909</v>
      </c>
      <c r="F1950" s="880">
        <v>0.99348058777029025</v>
      </c>
      <c r="G1950" s="880">
        <v>1.0238884374954618</v>
      </c>
      <c r="H1950" s="880">
        <v>0.99815173008811109</v>
      </c>
      <c r="I1950" s="880">
        <v>1.0450613838446059</v>
      </c>
      <c r="K1950">
        <v>1.0843643173068054</v>
      </c>
      <c r="L1950">
        <v>0</v>
      </c>
      <c r="M1950">
        <v>6.7336195869445285E-4</v>
      </c>
      <c r="N1950">
        <v>7.1812736433657792E-2</v>
      </c>
      <c r="O1950">
        <v>8.9958397143044717E-3</v>
      </c>
      <c r="P1950">
        <v>1.2929588775333059E-2</v>
      </c>
      <c r="Q1950">
        <v>3.0901966401251143E-3</v>
      </c>
      <c r="R1950">
        <v>6.6196781980368345E-4</v>
      </c>
      <c r="S1950">
        <v>9.1361843581856755E-2</v>
      </c>
      <c r="T1950">
        <v>0.8140803163537943</v>
      </c>
      <c r="U1950">
        <v>1.7275749655070779E-2</v>
      </c>
      <c r="V1950">
        <v>1.0415233759694819E-2</v>
      </c>
      <c r="W1950">
        <v>4.229332649727565E-2</v>
      </c>
      <c r="X1950">
        <v>1.0319221846709982E-2</v>
      </c>
      <c r="Y1950">
        <v>1.8016581878724752E-3</v>
      </c>
    </row>
    <row r="1951" spans="1:25">
      <c r="A1951" s="876"/>
      <c r="B1951" s="1202">
        <v>1701</v>
      </c>
      <c r="C1951" s="880">
        <v>0.97193596221794831</v>
      </c>
      <c r="D1951" s="880">
        <v>1.0125906326201806</v>
      </c>
      <c r="E1951" s="880">
        <v>0.97952166955057396</v>
      </c>
      <c r="F1951" s="880">
        <v>1.0226042457208906</v>
      </c>
      <c r="G1951" s="880">
        <v>0.96719135313256643</v>
      </c>
      <c r="H1951" s="880">
        <v>1.0290466676600976</v>
      </c>
      <c r="I1951" s="880">
        <v>0.97708952941505822</v>
      </c>
      <c r="K1951">
        <v>1.0815534280838581</v>
      </c>
      <c r="L1951">
        <v>0</v>
      </c>
      <c r="M1951">
        <v>7.5772298253972304E-4</v>
      </c>
      <c r="N1951">
        <v>7.087320622381689E-2</v>
      </c>
      <c r="O1951">
        <v>8.9811849305326333E-3</v>
      </c>
      <c r="P1951">
        <v>1.2508695800943909E-2</v>
      </c>
      <c r="Q1951">
        <v>2.960288951601062E-3</v>
      </c>
      <c r="R1951">
        <v>7.4527134588481887E-4</v>
      </c>
      <c r="S1951">
        <v>8.643274874923014E-2</v>
      </c>
      <c r="T1951">
        <v>0.81749719895753514</v>
      </c>
      <c r="U1951">
        <v>1.7398912606713786E-2</v>
      </c>
      <c r="V1951">
        <v>1.041594178459767E-2</v>
      </c>
      <c r="W1951">
        <v>4.2966230813497742E-2</v>
      </c>
      <c r="X1951">
        <v>9.5030879771801132E-3</v>
      </c>
      <c r="Y1951">
        <v>2.0283829248653332E-3</v>
      </c>
    </row>
    <row r="1952" spans="1:25">
      <c r="A1952" s="876"/>
      <c r="B1952" s="1202">
        <v>1702</v>
      </c>
      <c r="C1952" s="880">
        <v>0.99492768807148335</v>
      </c>
      <c r="D1952" s="880">
        <v>1.002346541078007</v>
      </c>
      <c r="E1952" s="880">
        <v>1.0071553177507535</v>
      </c>
      <c r="F1952" s="880">
        <v>1.0119982127281519</v>
      </c>
      <c r="G1952" s="880">
        <v>1.0147040140638346</v>
      </c>
      <c r="H1952" s="880">
        <v>0.99519005743017785</v>
      </c>
      <c r="I1952" s="880">
        <v>1.0476402772275035</v>
      </c>
      <c r="K1952">
        <v>1.0790114230511607</v>
      </c>
      <c r="L1952">
        <v>0</v>
      </c>
      <c r="M1952">
        <v>6.7909101603117448E-4</v>
      </c>
      <c r="N1952">
        <v>6.9185263337437422E-2</v>
      </c>
      <c r="O1952">
        <v>8.8213087078507849E-3</v>
      </c>
      <c r="P1952">
        <v>1.2779993745137587E-2</v>
      </c>
      <c r="Q1952">
        <v>2.9875334902613659E-3</v>
      </c>
      <c r="R1952">
        <v>6.6756047226244333E-4</v>
      </c>
      <c r="S1952">
        <v>8.9718663338378052E-2</v>
      </c>
      <c r="T1952">
        <v>0.81525994194496298</v>
      </c>
      <c r="U1952">
        <v>1.6996842151142746E-2</v>
      </c>
      <c r="V1952">
        <v>1.0413630408559249E-2</v>
      </c>
      <c r="W1952">
        <v>4.1153673115880439E-2</v>
      </c>
      <c r="X1952">
        <v>9.8892238110697972E-3</v>
      </c>
      <c r="Y1952">
        <v>1.8168795442478323E-3</v>
      </c>
    </row>
    <row r="1953" spans="1:25">
      <c r="A1953" s="876"/>
      <c r="B1953" s="1202">
        <v>1703</v>
      </c>
      <c r="C1953" s="880">
        <v>1.0043247279891587</v>
      </c>
      <c r="D1953" s="880">
        <v>1.026436082028005</v>
      </c>
      <c r="E1953" s="880">
        <v>0.96295719247233313</v>
      </c>
      <c r="F1953" s="880">
        <v>1.0052906813974738</v>
      </c>
      <c r="G1953" s="880">
        <v>1.0151867905615426</v>
      </c>
      <c r="H1953" s="880">
        <v>0.98610077993004774</v>
      </c>
      <c r="I1953" s="880">
        <v>0.99028321180427914</v>
      </c>
      <c r="K1953">
        <v>1.0667612343554229</v>
      </c>
      <c r="L1953">
        <v>0</v>
      </c>
      <c r="M1953">
        <v>7.2228599118028555E-4</v>
      </c>
      <c r="N1953">
        <v>6.4110402995748078E-2</v>
      </c>
      <c r="O1953">
        <v>8.6289449097725259E-3</v>
      </c>
      <c r="P1953">
        <v>1.2311926164078448E-2</v>
      </c>
      <c r="Q1953">
        <v>2.7992867294644621E-3</v>
      </c>
      <c r="R1953">
        <v>7.0988751230784619E-4</v>
      </c>
      <c r="S1953">
        <v>8.2710878929275783E-2</v>
      </c>
      <c r="T1953">
        <v>0.8188506741932321</v>
      </c>
      <c r="U1953">
        <v>1.6837809918123343E-2</v>
      </c>
      <c r="V1953">
        <v>1.0412716182488539E-2</v>
      </c>
      <c r="W1953">
        <v>3.9318442717876649E-2</v>
      </c>
      <c r="X1953">
        <v>8.8604703000881007E-3</v>
      </c>
      <c r="Y1953">
        <v>1.9320797941464179E-3</v>
      </c>
    </row>
    <row r="1954" spans="1:25">
      <c r="A1954" s="876"/>
      <c r="B1954" s="1202">
        <v>1704</v>
      </c>
      <c r="C1954" s="880">
        <v>0.99003919240858151</v>
      </c>
      <c r="D1954" s="880">
        <v>1.0211336778897169</v>
      </c>
      <c r="E1954" s="880">
        <v>1.0091573871356503</v>
      </c>
      <c r="F1954" s="880">
        <v>1.0021916499837467</v>
      </c>
      <c r="G1954" s="880">
        <v>0.97935430538636126</v>
      </c>
      <c r="H1954" s="880">
        <v>1.0118113934620281</v>
      </c>
      <c r="I1954" s="880">
        <v>0.97535856540295462</v>
      </c>
      <c r="K1954">
        <v>1.0743877630520289</v>
      </c>
      <c r="L1954">
        <v>0</v>
      </c>
      <c r="M1954">
        <v>6.8413454902183394E-4</v>
      </c>
      <c r="N1954">
        <v>7.0152600152253192E-2</v>
      </c>
      <c r="O1954">
        <v>8.7776097466367529E-3</v>
      </c>
      <c r="P1954">
        <v>1.2715886542561856E-2</v>
      </c>
      <c r="Q1954">
        <v>2.9828088414989391E-3</v>
      </c>
      <c r="R1954">
        <v>6.7269368066371509E-4</v>
      </c>
      <c r="S1954">
        <v>8.3748244152465512E-2</v>
      </c>
      <c r="T1954">
        <v>0.81509885939885829</v>
      </c>
      <c r="U1954">
        <v>1.7080767100554822E-2</v>
      </c>
      <c r="V1954">
        <v>1.0414112866582226E-2</v>
      </c>
      <c r="W1954">
        <v>4.1672275297149453E-2</v>
      </c>
      <c r="X1954">
        <v>9.9251893764724479E-3</v>
      </c>
      <c r="Y1954">
        <v>1.8308504453543996E-3</v>
      </c>
    </row>
    <row r="1955" spans="1:25">
      <c r="A1955" s="876"/>
      <c r="B1955" s="1202">
        <v>1705</v>
      </c>
      <c r="C1955" s="880">
        <v>0.96976105635831233</v>
      </c>
      <c r="D1955" s="880">
        <v>0.97391723927566165</v>
      </c>
      <c r="E1955" s="880">
        <v>1.0221887834595869</v>
      </c>
      <c r="F1955" s="880">
        <v>1.0407427804543807</v>
      </c>
      <c r="G1955" s="880">
        <v>1.0144340959094453</v>
      </c>
      <c r="H1955" s="880">
        <v>1.0433291876474113</v>
      </c>
      <c r="I1955" s="880">
        <v>0.99093721104600052</v>
      </c>
      <c r="K1955">
        <v>1.0917532419505465</v>
      </c>
      <c r="L1955">
        <v>0</v>
      </c>
      <c r="M1955">
        <v>7.1853036615691576E-4</v>
      </c>
      <c r="N1955">
        <v>7.6768336169338119E-2</v>
      </c>
      <c r="O1955">
        <v>9.1903296738182812E-3</v>
      </c>
      <c r="P1955">
        <v>1.2917224508769769E-2</v>
      </c>
      <c r="Q1955">
        <v>3.1526987999680772E-3</v>
      </c>
      <c r="R1955">
        <v>7.0691777209550227E-4</v>
      </c>
      <c r="S1955">
        <v>9.0107052814740851E-2</v>
      </c>
      <c r="T1955">
        <v>0.81405371472602128</v>
      </c>
      <c r="U1955">
        <v>1.7437933555979127E-2</v>
      </c>
      <c r="V1955">
        <v>1.0416166103708624E-2</v>
      </c>
      <c r="W1955">
        <v>4.5201741841801694E-2</v>
      </c>
      <c r="X1955">
        <v>1.0595659210198069E-2</v>
      </c>
      <c r="Y1955">
        <v>1.9239971402630156E-3</v>
      </c>
    </row>
    <row r="1956" spans="1:25">
      <c r="A1956" s="876"/>
      <c r="B1956" s="1202">
        <v>1706</v>
      </c>
      <c r="C1956" s="880">
        <v>1.0236661361904731</v>
      </c>
      <c r="D1956" s="880">
        <v>0.98362496114135212</v>
      </c>
      <c r="E1956" s="880">
        <v>0.9899344066959056</v>
      </c>
      <c r="F1956" s="880">
        <v>1.002549527705751</v>
      </c>
      <c r="G1956" s="880">
        <v>1.0008213156856005</v>
      </c>
      <c r="H1956" s="880">
        <v>1.0007455943291859</v>
      </c>
      <c r="I1956" s="880">
        <v>0.99841207128177223</v>
      </c>
      <c r="K1956">
        <v>1.0705822261729077</v>
      </c>
      <c r="L1956">
        <v>0</v>
      </c>
      <c r="M1956">
        <v>6.9515966185885103E-4</v>
      </c>
      <c r="N1956">
        <v>6.7135437539749904E-2</v>
      </c>
      <c r="O1956">
        <v>8.6603558323866819E-3</v>
      </c>
      <c r="P1956">
        <v>1.2552448890782995E-2</v>
      </c>
      <c r="Q1956">
        <v>2.8785796286701654E-3</v>
      </c>
      <c r="R1956">
        <v>6.8343809688368204E-4</v>
      </c>
      <c r="S1956">
        <v>8.4082524847470835E-2</v>
      </c>
      <c r="T1956">
        <v>0.81665112835993825</v>
      </c>
      <c r="U1956">
        <v>1.6519672057224141E-2</v>
      </c>
      <c r="V1956">
        <v>1.041088730842327E-2</v>
      </c>
      <c r="W1956">
        <v>4.0408197386670799E-2</v>
      </c>
      <c r="X1956">
        <v>9.4346226821561165E-3</v>
      </c>
      <c r="Y1956">
        <v>1.8600932044092941E-3</v>
      </c>
    </row>
    <row r="1957" spans="1:25">
      <c r="A1957" s="876"/>
      <c r="B1957" s="1202">
        <v>1707</v>
      </c>
      <c r="C1957" s="880">
        <v>1.022758631392471</v>
      </c>
      <c r="D1957" s="880">
        <v>1.0075994058080815</v>
      </c>
      <c r="E1957" s="880">
        <v>1.0148865062479231</v>
      </c>
      <c r="F1957" s="880">
        <v>1.0168718661848459</v>
      </c>
      <c r="G1957" s="880">
        <v>1.0034623023602727</v>
      </c>
      <c r="H1957" s="880">
        <v>0.985559257854145</v>
      </c>
      <c r="I1957" s="880">
        <v>0.98721044946453806</v>
      </c>
      <c r="K1957">
        <v>1.0656016457090451</v>
      </c>
      <c r="L1957">
        <v>0</v>
      </c>
      <c r="M1957">
        <v>6.4184934269679835E-4</v>
      </c>
      <c r="N1957">
        <v>6.696993659886108E-2</v>
      </c>
      <c r="O1957">
        <v>8.5573921821272565E-3</v>
      </c>
      <c r="P1957">
        <v>1.2727609977973705E-2</v>
      </c>
      <c r="Q1957">
        <v>2.9217623948823699E-3</v>
      </c>
      <c r="R1957">
        <v>6.3084042775617491E-4</v>
      </c>
      <c r="S1957">
        <v>8.1698220377608266E-2</v>
      </c>
      <c r="T1957">
        <v>0.81463865967601068</v>
      </c>
      <c r="U1957">
        <v>1.653433014095302E-2</v>
      </c>
      <c r="V1957">
        <v>1.0410971573116283E-2</v>
      </c>
      <c r="W1957">
        <v>3.9627352494119125E-2</v>
      </c>
      <c r="X1957">
        <v>9.809479520471712E-3</v>
      </c>
      <c r="Y1957">
        <v>1.7169396878611884E-3</v>
      </c>
    </row>
    <row r="1958" spans="1:25">
      <c r="A1958" s="876"/>
      <c r="B1958" s="1202">
        <v>1708</v>
      </c>
      <c r="C1958" s="880">
        <v>1.0132055729464753</v>
      </c>
      <c r="D1958" s="880">
        <v>1.0014812078881152</v>
      </c>
      <c r="E1958" s="880">
        <v>0.9718263509287608</v>
      </c>
      <c r="F1958" s="880">
        <v>0.98925505431333371</v>
      </c>
      <c r="G1958" s="880">
        <v>1.0135454257110366</v>
      </c>
      <c r="H1958" s="880">
        <v>0.99469970041160538</v>
      </c>
      <c r="I1958" s="880">
        <v>1.0212121365062772</v>
      </c>
      <c r="K1958">
        <v>1.0715434577897751</v>
      </c>
      <c r="L1958">
        <v>0</v>
      </c>
      <c r="M1958">
        <v>7.1823380278004771E-4</v>
      </c>
      <c r="N1958">
        <v>6.5550603282829009E-2</v>
      </c>
      <c r="O1958">
        <v>8.6661650415522807E-3</v>
      </c>
      <c r="P1958">
        <v>1.2427116636506176E-2</v>
      </c>
      <c r="Q1958">
        <v>2.8318198475768049E-3</v>
      </c>
      <c r="R1958">
        <v>7.0603340006683492E-4</v>
      </c>
      <c r="S1958">
        <v>8.5897006836499451E-2</v>
      </c>
      <c r="T1958">
        <v>0.81812482747576643</v>
      </c>
      <c r="U1958">
        <v>1.6690224883756821E-2</v>
      </c>
      <c r="V1958">
        <v>1.0411867762746815E-2</v>
      </c>
      <c r="W1958">
        <v>3.9952865888017268E-2</v>
      </c>
      <c r="X1958">
        <v>9.0815703661044182E-3</v>
      </c>
      <c r="Y1958">
        <v>1.9215901711341439E-3</v>
      </c>
    </row>
    <row r="1959" spans="1:25">
      <c r="A1959" s="876"/>
      <c r="B1959" s="1202">
        <v>1709</v>
      </c>
      <c r="C1959" s="880">
        <v>1.0008846020738253</v>
      </c>
      <c r="D1959" s="880">
        <v>1.0133216082883116</v>
      </c>
      <c r="E1959" s="880">
        <v>0.97717516955688566</v>
      </c>
      <c r="F1959" s="880">
        <v>0.9906642518111598</v>
      </c>
      <c r="G1959" s="880">
        <v>1.0146781457001817</v>
      </c>
      <c r="H1959" s="880">
        <v>1.0260165953796467</v>
      </c>
      <c r="I1959" s="880">
        <v>0.98628106189023346</v>
      </c>
      <c r="K1959">
        <v>1.0748510220669516</v>
      </c>
      <c r="L1959">
        <v>0</v>
      </c>
      <c r="M1959">
        <v>7.3697998897833479E-4</v>
      </c>
      <c r="N1959">
        <v>6.8427388233539777E-2</v>
      </c>
      <c r="O1959">
        <v>8.7180702121766734E-3</v>
      </c>
      <c r="P1959">
        <v>1.2457358230709051E-2</v>
      </c>
      <c r="Q1959">
        <v>2.8668658419544976E-3</v>
      </c>
      <c r="R1959">
        <v>7.2483281520661935E-4</v>
      </c>
      <c r="S1959">
        <v>8.4585973178855273E-2</v>
      </c>
      <c r="T1959">
        <v>0.81768836686068169</v>
      </c>
      <c r="U1959">
        <v>1.6895682909811659E-2</v>
      </c>
      <c r="V1959">
        <v>1.0413048876036175E-2</v>
      </c>
      <c r="W1959">
        <v>4.1551153603366454E-2</v>
      </c>
      <c r="X1959">
        <v>9.2865053116720723E-3</v>
      </c>
      <c r="Y1959">
        <v>1.9727559819191025E-3</v>
      </c>
    </row>
    <row r="1960" spans="1:25">
      <c r="A1960" s="876"/>
      <c r="B1960" s="1202">
        <v>1710</v>
      </c>
      <c r="C1960" s="880">
        <v>1.026918026234678</v>
      </c>
      <c r="D1960" s="880">
        <v>0.98187229129942477</v>
      </c>
      <c r="E1960" s="880">
        <v>1.0359818412184802</v>
      </c>
      <c r="F1960" s="880">
        <v>1.0112118082890997</v>
      </c>
      <c r="G1960" s="880">
        <v>1.0394510386969029</v>
      </c>
      <c r="H1960" s="880">
        <v>1.0012042394355229</v>
      </c>
      <c r="I1960" s="880">
        <v>1.0043792077001312</v>
      </c>
      <c r="K1960">
        <v>1.0719534288353569</v>
      </c>
      <c r="L1960">
        <v>0</v>
      </c>
      <c r="M1960">
        <v>6.2968177922099317E-4</v>
      </c>
      <c r="N1960">
        <v>7.0169702625410682E-2</v>
      </c>
      <c r="O1960">
        <v>8.6411594246460065E-3</v>
      </c>
      <c r="P1960">
        <v>1.2938613610766182E-2</v>
      </c>
      <c r="Q1960">
        <v>3.0068749637611704E-3</v>
      </c>
      <c r="R1960">
        <v>6.1907054585117827E-4</v>
      </c>
      <c r="S1960">
        <v>8.4408486104298297E-2</v>
      </c>
      <c r="T1960">
        <v>0.81295379234781506</v>
      </c>
      <c r="U1960">
        <v>1.646736003647465E-2</v>
      </c>
      <c r="V1960">
        <v>1.041058658314091E-2</v>
      </c>
      <c r="W1960">
        <v>4.0936051864018844E-2</v>
      </c>
      <c r="X1960">
        <v>1.03465065591392E-2</v>
      </c>
      <c r="Y1960">
        <v>1.6849059492563142E-3</v>
      </c>
    </row>
    <row r="1961" spans="1:25">
      <c r="A1961" s="876"/>
      <c r="B1961" s="1202">
        <v>1711</v>
      </c>
      <c r="C1961" s="880">
        <v>1.0295374919696731</v>
      </c>
      <c r="D1961" s="880">
        <v>1.0253072469164728</v>
      </c>
      <c r="E1961" s="880">
        <v>0.97959230747955772</v>
      </c>
      <c r="F1961" s="880">
        <v>1.01401245346457</v>
      </c>
      <c r="G1961" s="880">
        <v>0.99239558906360814</v>
      </c>
      <c r="H1961" s="880">
        <v>0.97376915342426806</v>
      </c>
      <c r="I1961" s="880">
        <v>0.99046063986818123</v>
      </c>
      <c r="K1961">
        <v>1.0600056272183251</v>
      </c>
      <c r="L1961">
        <v>0</v>
      </c>
      <c r="M1961">
        <v>6.7233243827360847E-4</v>
      </c>
      <c r="N1961">
        <v>6.2839424560368159E-2</v>
      </c>
      <c r="O1961">
        <v>8.4225559813741347E-3</v>
      </c>
      <c r="P1961">
        <v>1.2414048026999629E-2</v>
      </c>
      <c r="Q1961">
        <v>2.7789268662818324E-3</v>
      </c>
      <c r="R1961">
        <v>6.6064622343472664E-4</v>
      </c>
      <c r="S1961">
        <v>8.0325316094565807E-2</v>
      </c>
      <c r="T1961">
        <v>0.81749144701669285</v>
      </c>
      <c r="U1961">
        <v>1.6425461916495705E-2</v>
      </c>
      <c r="V1961">
        <v>1.0410345724084407E-2</v>
      </c>
      <c r="W1961">
        <v>3.8093956611534349E-2</v>
      </c>
      <c r="X1961">
        <v>9.0177693965470679E-3</v>
      </c>
      <c r="Y1961">
        <v>1.7980612382203014E-3</v>
      </c>
    </row>
    <row r="1962" spans="1:25">
      <c r="A1962" s="876"/>
      <c r="B1962" s="1202">
        <v>1712</v>
      </c>
      <c r="C1962" s="880">
        <v>0.96681397692157467</v>
      </c>
      <c r="D1962" s="880">
        <v>1.0068330505228935</v>
      </c>
      <c r="E1962" s="880">
        <v>1.0152788548643232</v>
      </c>
      <c r="F1962" s="880">
        <v>0.98869443139601554</v>
      </c>
      <c r="G1962" s="880">
        <v>1.0006303535109331</v>
      </c>
      <c r="H1962" s="880">
        <v>1.0310905832916311</v>
      </c>
      <c r="I1962" s="880">
        <v>1.003597872045211</v>
      </c>
      <c r="K1962">
        <v>1.0874505493125735</v>
      </c>
      <c r="L1962">
        <v>0</v>
      </c>
      <c r="M1962">
        <v>7.1005733691438305E-4</v>
      </c>
      <c r="N1962">
        <v>7.4234310798514849E-2</v>
      </c>
      <c r="O1962">
        <v>9.0562366144422545E-3</v>
      </c>
      <c r="P1962">
        <v>1.2852894631815012E-2</v>
      </c>
      <c r="Q1962">
        <v>3.093117887145887E-3</v>
      </c>
      <c r="R1962">
        <v>6.984169727333974E-4</v>
      </c>
      <c r="S1962">
        <v>8.9577356775828648E-2</v>
      </c>
      <c r="T1962">
        <v>0.81460718460672055</v>
      </c>
      <c r="U1962">
        <v>1.7491088533698473E-2</v>
      </c>
      <c r="V1962">
        <v>1.0416471674884322E-2</v>
      </c>
      <c r="W1962">
        <v>4.3914149786332311E-2</v>
      </c>
      <c r="X1962">
        <v>1.0318517600685183E-2</v>
      </c>
      <c r="Y1962">
        <v>1.9008607666871232E-3</v>
      </c>
    </row>
    <row r="1963" spans="1:25">
      <c r="A1963" s="876"/>
      <c r="B1963" s="1202">
        <v>1713</v>
      </c>
      <c r="C1963" s="880">
        <v>1.007026973502116</v>
      </c>
      <c r="D1963" s="880">
        <v>1.0118929271683004</v>
      </c>
      <c r="E1963" s="880">
        <v>0.97391433269773364</v>
      </c>
      <c r="F1963" s="880">
        <v>1.0220695515164293</v>
      </c>
      <c r="G1963" s="880">
        <v>0.98172273923548692</v>
      </c>
      <c r="H1963" s="880">
        <v>0.99662522269864939</v>
      </c>
      <c r="I1963" s="880">
        <v>0.97611210845034879</v>
      </c>
      <c r="K1963">
        <v>1.0682813050970255</v>
      </c>
      <c r="L1963">
        <v>0</v>
      </c>
      <c r="M1963">
        <v>7.1692308098563807E-4</v>
      </c>
      <c r="N1963">
        <v>6.5859597620754828E-2</v>
      </c>
      <c r="O1963">
        <v>8.6714082481627736E-3</v>
      </c>
      <c r="P1963">
        <v>1.239728098060131E-2</v>
      </c>
      <c r="Q1963">
        <v>2.8417650046585409E-3</v>
      </c>
      <c r="R1963">
        <v>7.0475926410372175E-4</v>
      </c>
      <c r="S1963">
        <v>8.2249476807170541E-2</v>
      </c>
      <c r="T1963">
        <v>0.81795433430773679</v>
      </c>
      <c r="U1963">
        <v>1.6792627517357002E-2</v>
      </c>
      <c r="V1963">
        <v>1.0412456443139272E-2</v>
      </c>
      <c r="W1963">
        <v>4.0082789474601477E-2</v>
      </c>
      <c r="X1963">
        <v>9.1136101166631005E-3</v>
      </c>
      <c r="Y1963">
        <v>1.9181223930613571E-3</v>
      </c>
    </row>
    <row r="1964" spans="1:25">
      <c r="A1964" s="876"/>
      <c r="B1964" s="1202">
        <v>1714</v>
      </c>
      <c r="C1964" s="880">
        <v>0.9997495047970919</v>
      </c>
      <c r="D1964" s="880">
        <v>1.0185187968869822</v>
      </c>
      <c r="E1964" s="880">
        <v>1.0183500675382307</v>
      </c>
      <c r="F1964" s="880">
        <v>0.99306257705314394</v>
      </c>
      <c r="G1964" s="880">
        <v>1.0005597216858211</v>
      </c>
      <c r="H1964" s="880">
        <v>0.99525416369281283</v>
      </c>
      <c r="I1964" s="880">
        <v>1.0207229969247145</v>
      </c>
      <c r="K1964">
        <v>1.0740675276766813</v>
      </c>
      <c r="L1964">
        <v>0</v>
      </c>
      <c r="M1964">
        <v>6.5449022210314499E-4</v>
      </c>
      <c r="N1964">
        <v>6.9038581564077273E-2</v>
      </c>
      <c r="O1964">
        <v>8.7042262143461526E-3</v>
      </c>
      <c r="P1964">
        <v>1.2825268327210055E-2</v>
      </c>
      <c r="Q1964">
        <v>2.9845543650432295E-3</v>
      </c>
      <c r="R1964">
        <v>6.4336509149565916E-4</v>
      </c>
      <c r="S1964">
        <v>8.6304326732129871E-2</v>
      </c>
      <c r="T1964">
        <v>0.81436098639011045</v>
      </c>
      <c r="U1964">
        <v>1.6914865958732869E-2</v>
      </c>
      <c r="V1964">
        <v>1.0413159153324658E-2</v>
      </c>
      <c r="W1964">
        <v>4.0755820196316295E-2</v>
      </c>
      <c r="X1964">
        <v>1.0025836212192017E-2</v>
      </c>
      <c r="Y1964">
        <v>1.751027693805772E-3</v>
      </c>
    </row>
    <row r="1965" spans="1:25">
      <c r="A1965" s="876"/>
      <c r="B1965" s="1202">
        <v>1715</v>
      </c>
      <c r="C1965" s="880">
        <v>0.99276890627776282</v>
      </c>
      <c r="D1965" s="880">
        <v>0.97573816970004978</v>
      </c>
      <c r="E1965" s="880">
        <v>0.99376498346810904</v>
      </c>
      <c r="F1965" s="880">
        <v>1.0041425630391838</v>
      </c>
      <c r="G1965" s="880">
        <v>0.99251732480206745</v>
      </c>
      <c r="H1965" s="880">
        <v>1.018552619502318</v>
      </c>
      <c r="I1965" s="880">
        <v>0.98985325984709827</v>
      </c>
      <c r="K1965">
        <v>1.080725807794243</v>
      </c>
      <c r="L1965">
        <v>0</v>
      </c>
      <c r="M1965">
        <v>7.2680713790820243E-4</v>
      </c>
      <c r="N1965">
        <v>7.1055839193428352E-2</v>
      </c>
      <c r="O1965">
        <v>8.9683799814203671E-3</v>
      </c>
      <c r="P1965">
        <v>1.2630380663856864E-2</v>
      </c>
      <c r="Q1965">
        <v>2.990699875989379E-3</v>
      </c>
      <c r="R1965">
        <v>7.1477337589281626E-4</v>
      </c>
      <c r="S1965">
        <v>8.6945500801878184E-2</v>
      </c>
      <c r="T1965">
        <v>0.81634080543994936</v>
      </c>
      <c r="U1965">
        <v>1.703380188382031E-2</v>
      </c>
      <c r="V1965">
        <v>1.0413842878387139E-2</v>
      </c>
      <c r="W1965">
        <v>4.2655262581853634E-2</v>
      </c>
      <c r="X1965">
        <v>9.7579507514736659E-3</v>
      </c>
      <c r="Y1965">
        <v>1.9453775042002086E-3</v>
      </c>
    </row>
    <row r="1966" spans="1:25">
      <c r="A1966" s="876"/>
      <c r="B1966" s="1202">
        <v>1716</v>
      </c>
      <c r="C1966" s="880">
        <v>1.0215400786949294</v>
      </c>
      <c r="D1966" s="880">
        <v>1.032502612232054</v>
      </c>
      <c r="E1966" s="880">
        <v>0.99384601561305341</v>
      </c>
      <c r="F1966" s="880">
        <v>0.97769316971832376</v>
      </c>
      <c r="G1966" s="880">
        <v>0.98998738111939943</v>
      </c>
      <c r="H1966" s="880">
        <v>1.031511235218032</v>
      </c>
      <c r="I1966" s="880">
        <v>1.0342616932130964</v>
      </c>
      <c r="K1966">
        <v>1.0734539721744267</v>
      </c>
      <c r="L1966">
        <v>0</v>
      </c>
      <c r="M1966">
        <v>6.9401367400055008E-4</v>
      </c>
      <c r="N1966">
        <v>6.7876589178162389E-2</v>
      </c>
      <c r="O1966">
        <v>8.4569827312091731E-3</v>
      </c>
      <c r="P1966">
        <v>1.2615687454268809E-2</v>
      </c>
      <c r="Q1966">
        <v>2.8323120306353745E-3</v>
      </c>
      <c r="R1966">
        <v>6.8262009555239455E-4</v>
      </c>
      <c r="S1966">
        <v>8.6296428718975082E-2</v>
      </c>
      <c r="T1966">
        <v>0.81633424623565831</v>
      </c>
      <c r="U1966">
        <v>1.6554053256096039E-2</v>
      </c>
      <c r="V1966">
        <v>1.0411084955074874E-2</v>
      </c>
      <c r="W1966">
        <v>4.0744470045125609E-2</v>
      </c>
      <c r="X1966">
        <v>9.485644273228332E-3</v>
      </c>
      <c r="Y1966">
        <v>1.8578668744395962E-3</v>
      </c>
    </row>
    <row r="1967" spans="1:25">
      <c r="A1967" s="876"/>
      <c r="B1967" s="1202">
        <v>1717</v>
      </c>
      <c r="C1967" s="880">
        <v>1.0221782013724767</v>
      </c>
      <c r="D1967" s="880">
        <v>0.98513928957736829</v>
      </c>
      <c r="E1967" s="880">
        <v>0.98019332563070771</v>
      </c>
      <c r="F1967" s="880">
        <v>1.0298871220422241</v>
      </c>
      <c r="G1967" s="880">
        <v>0.98858533936973247</v>
      </c>
      <c r="H1967" s="880">
        <v>1.0383024630287896</v>
      </c>
      <c r="I1967" s="880">
        <v>0.99855617713783595</v>
      </c>
      <c r="K1967">
        <v>1.0760908742101762</v>
      </c>
      <c r="L1967">
        <v>0</v>
      </c>
      <c r="M1967">
        <v>7.3662908028649038E-4</v>
      </c>
      <c r="N1967">
        <v>6.9057128782716637E-2</v>
      </c>
      <c r="O1967">
        <v>8.66583961474429E-3</v>
      </c>
      <c r="P1967">
        <v>1.2489905826562935E-2</v>
      </c>
      <c r="Q1967">
        <v>2.8524340561122087E-3</v>
      </c>
      <c r="R1967">
        <v>7.2465618755383852E-4</v>
      </c>
      <c r="S1967">
        <v>8.5474730243898386E-2</v>
      </c>
      <c r="T1967">
        <v>0.81744251383662447</v>
      </c>
      <c r="U1967">
        <v>1.6543718935941424E-2</v>
      </c>
      <c r="V1967">
        <v>1.0411025546332832E-2</v>
      </c>
      <c r="W1967">
        <v>4.1845741591506051E-2</v>
      </c>
      <c r="X1967">
        <v>9.3475334087946473E-3</v>
      </c>
      <c r="Y1967">
        <v>1.9722752596735217E-3</v>
      </c>
    </row>
    <row r="1968" spans="1:25">
      <c r="A1968" s="876"/>
      <c r="B1968" s="1202">
        <v>1718</v>
      </c>
      <c r="C1968" s="880">
        <v>0.97038659642604175</v>
      </c>
      <c r="D1968" s="880">
        <v>1.0356543254039476</v>
      </c>
      <c r="E1968" s="880">
        <v>0.96476628921058094</v>
      </c>
      <c r="F1968" s="880">
        <v>0.99550002168328067</v>
      </c>
      <c r="G1968" s="880">
        <v>1.0111308096484386</v>
      </c>
      <c r="H1968" s="880">
        <v>1.0039060959929034</v>
      </c>
      <c r="I1968" s="880">
        <v>1.0014067781858424</v>
      </c>
      <c r="K1968">
        <v>1.077289169784643</v>
      </c>
      <c r="L1968">
        <v>0</v>
      </c>
      <c r="M1968">
        <v>7.5458028964424015E-4</v>
      </c>
      <c r="N1968">
        <v>6.7376020353037622E-2</v>
      </c>
      <c r="O1968">
        <v>8.8883765362639828E-3</v>
      </c>
      <c r="P1968">
        <v>1.2389726718450192E-2</v>
      </c>
      <c r="Q1968">
        <v>2.8907072841464743E-3</v>
      </c>
      <c r="R1968">
        <v>7.4184894611265353E-4</v>
      </c>
      <c r="S1968">
        <v>8.6826836046603684E-2</v>
      </c>
      <c r="T1968">
        <v>0.81870240343787382</v>
      </c>
      <c r="U1968">
        <v>1.7426692545254297E-2</v>
      </c>
      <c r="V1968">
        <v>1.0416101482688919E-2</v>
      </c>
      <c r="W1968">
        <v>4.12687917957196E-2</v>
      </c>
      <c r="X1968">
        <v>9.0971766472551091E-3</v>
      </c>
      <c r="Y1968">
        <v>2.0190682808792805E-3</v>
      </c>
    </row>
    <row r="1969" spans="1:25">
      <c r="A1969" s="876"/>
      <c r="B1969" s="1202">
        <v>1719</v>
      </c>
      <c r="C1969" s="880">
        <v>0.97558995620396582</v>
      </c>
      <c r="D1969" s="880">
        <v>0.98075594936778843</v>
      </c>
      <c r="E1969" s="880">
        <v>1.0211871949605575</v>
      </c>
      <c r="F1969" s="880">
        <v>0.99362840559877552</v>
      </c>
      <c r="G1969" s="880">
        <v>0.96466324315161267</v>
      </c>
      <c r="H1969" s="880">
        <v>1.0292452536446322</v>
      </c>
      <c r="I1969" s="880">
        <v>0.98778988604074724</v>
      </c>
      <c r="K1969">
        <v>1.0868219851228169</v>
      </c>
      <c r="L1969">
        <v>0</v>
      </c>
      <c r="M1969">
        <v>7.0345919157329079E-4</v>
      </c>
      <c r="N1969">
        <v>7.4907173110837569E-2</v>
      </c>
      <c r="O1969">
        <v>9.1013205761496675E-3</v>
      </c>
      <c r="P1969">
        <v>1.2884535946887718E-2</v>
      </c>
      <c r="Q1969">
        <v>3.1207070519321568E-3</v>
      </c>
      <c r="R1969">
        <v>6.9192861883606927E-4</v>
      </c>
      <c r="S1969">
        <v>8.8457206890726753E-2</v>
      </c>
      <c r="T1969">
        <v>0.81413383886369917</v>
      </c>
      <c r="U1969">
        <v>1.7333746374093344E-2</v>
      </c>
      <c r="V1969">
        <v>1.0415567164511809E-2</v>
      </c>
      <c r="W1969">
        <v>4.4135659909455977E-2</v>
      </c>
      <c r="X1969">
        <v>1.0460558200994776E-2</v>
      </c>
      <c r="Y1969">
        <v>1.8832016062638828E-3</v>
      </c>
    </row>
    <row r="1970" spans="1:25">
      <c r="A1970" s="876"/>
      <c r="B1970" s="1202">
        <v>1720</v>
      </c>
      <c r="C1970" s="880">
        <v>1.0281459935087049</v>
      </c>
      <c r="D1970" s="880">
        <v>1.0183002736972211</v>
      </c>
      <c r="E1970" s="880">
        <v>1.0012839520954193</v>
      </c>
      <c r="F1970" s="880">
        <v>0.98340538163473912</v>
      </c>
      <c r="G1970" s="880">
        <v>1.0008836361413678</v>
      </c>
      <c r="H1970" s="880">
        <v>1.0089775026306347</v>
      </c>
      <c r="I1970" s="880">
        <v>0.96697569319376764</v>
      </c>
      <c r="K1970">
        <v>1.064691341788971</v>
      </c>
      <c r="L1970">
        <v>0</v>
      </c>
      <c r="M1970">
        <v>6.689114694321132E-4</v>
      </c>
      <c r="N1970">
        <v>6.6929511622854931E-2</v>
      </c>
      <c r="O1970">
        <v>8.4647899817400021E-3</v>
      </c>
      <c r="P1970">
        <v>1.2589987832826213E-2</v>
      </c>
      <c r="Q1970">
        <v>2.853308793121275E-3</v>
      </c>
      <c r="R1970">
        <v>6.5769602908311768E-4</v>
      </c>
      <c r="S1970">
        <v>7.99672671397956E-2</v>
      </c>
      <c r="T1970">
        <v>0.81573312661423658</v>
      </c>
      <c r="U1970">
        <v>1.6447692227289919E-2</v>
      </c>
      <c r="V1970">
        <v>1.0410473519118817E-2</v>
      </c>
      <c r="W1970">
        <v>3.9971668786098015E-2</v>
      </c>
      <c r="X1970">
        <v>9.5446989305106207E-3</v>
      </c>
      <c r="Y1970">
        <v>1.790031781726528E-3</v>
      </c>
    </row>
    <row r="1971" spans="1:25">
      <c r="A1971" s="876"/>
      <c r="B1971" s="1202">
        <v>1721</v>
      </c>
      <c r="C1971" s="880">
        <v>0.99296619209261727</v>
      </c>
      <c r="D1971" s="880">
        <v>0.98784630764164816</v>
      </c>
      <c r="E1971" s="880">
        <v>1.0044809955300604</v>
      </c>
      <c r="F1971" s="880">
        <v>0.99593403161655347</v>
      </c>
      <c r="G1971" s="880">
        <v>0.98697954354805528</v>
      </c>
      <c r="H1971" s="880">
        <v>1.0145586774213071</v>
      </c>
      <c r="I1971" s="880">
        <v>0.99048876627798876</v>
      </c>
      <c r="K1971">
        <v>1.0790472752686269</v>
      </c>
      <c r="L1971">
        <v>0</v>
      </c>
      <c r="M1971">
        <v>7.0302808975520703E-4</v>
      </c>
      <c r="N1971">
        <v>7.1055473053163828E-2</v>
      </c>
      <c r="O1971">
        <v>8.9077179647218969E-3</v>
      </c>
      <c r="P1971">
        <v>1.2711312225855758E-2</v>
      </c>
      <c r="Q1971">
        <v>3.0054452451825898E-3</v>
      </c>
      <c r="R1971">
        <v>6.9133154332215343E-4</v>
      </c>
      <c r="S1971">
        <v>8.6306552448492432E-2</v>
      </c>
      <c r="T1971">
        <v>0.81547532535763856</v>
      </c>
      <c r="U1971">
        <v>1.7030417551592816E-2</v>
      </c>
      <c r="V1971">
        <v>1.0413823422930251E-2</v>
      </c>
      <c r="W1971">
        <v>4.2343234369103644E-2</v>
      </c>
      <c r="X1971">
        <v>9.9280936128365235E-3</v>
      </c>
      <c r="Y1971">
        <v>1.8815765635408943E-3</v>
      </c>
    </row>
    <row r="1972" spans="1:25">
      <c r="A1972" s="876"/>
      <c r="B1972" s="1202">
        <v>1722</v>
      </c>
      <c r="C1972" s="880">
        <v>1.0285908203354617</v>
      </c>
      <c r="D1972" s="880">
        <v>1.0041843277708367</v>
      </c>
      <c r="E1972" s="880">
        <v>1.0036424894067395</v>
      </c>
      <c r="F1972" s="880">
        <v>1.0201278557003302</v>
      </c>
      <c r="G1972" s="880">
        <v>0.99782930116632673</v>
      </c>
      <c r="H1972" s="880">
        <v>0.99699709204064058</v>
      </c>
      <c r="I1972" s="880">
        <v>0.98007226607650366</v>
      </c>
      <c r="K1972">
        <v>1.0654939105067824</v>
      </c>
      <c r="L1972">
        <v>0</v>
      </c>
      <c r="M1972">
        <v>6.6230358637168986E-4</v>
      </c>
      <c r="N1972">
        <v>6.6743794024746006E-2</v>
      </c>
      <c r="O1972">
        <v>8.5242816047477066E-3</v>
      </c>
      <c r="P1972">
        <v>1.2625933476509369E-2</v>
      </c>
      <c r="Q1972">
        <v>2.8771861043298606E-3</v>
      </c>
      <c r="R1972">
        <v>6.5107695713203292E-4</v>
      </c>
      <c r="S1972">
        <v>8.117275259800498E-2</v>
      </c>
      <c r="T1972">
        <v>0.81554290669061236</v>
      </c>
      <c r="U1972">
        <v>1.6440579219282936E-2</v>
      </c>
      <c r="V1972">
        <v>1.0410432628682716E-2</v>
      </c>
      <c r="W1972">
        <v>3.9796589051557842E-2</v>
      </c>
      <c r="X1972">
        <v>9.598664887695188E-3</v>
      </c>
      <c r="Y1972">
        <v>1.7720168498521569E-3</v>
      </c>
    </row>
    <row r="1973" spans="1:25">
      <c r="A1973" s="876"/>
      <c r="B1973" s="1202">
        <v>1723</v>
      </c>
      <c r="C1973" s="880">
        <v>1.0144981947764213</v>
      </c>
      <c r="D1973" s="880">
        <v>0.97943632482800758</v>
      </c>
      <c r="E1973" s="880">
        <v>1.0126959199036536</v>
      </c>
      <c r="F1973" s="880">
        <v>0.98957270936515029</v>
      </c>
      <c r="G1973" s="880">
        <v>0.99904198958604051</v>
      </c>
      <c r="H1973" s="880">
        <v>1.0066302685218196</v>
      </c>
      <c r="I1973" s="880">
        <v>1.0377805839906384</v>
      </c>
      <c r="K1973">
        <v>1.0781059138742948</v>
      </c>
      <c r="L1973">
        <v>0</v>
      </c>
      <c r="M1973">
        <v>6.7406837057676892E-4</v>
      </c>
      <c r="N1973">
        <v>6.98824391810383E-2</v>
      </c>
      <c r="O1973">
        <v>8.7585634015232543E-3</v>
      </c>
      <c r="P1973">
        <v>1.2806339872724372E-2</v>
      </c>
      <c r="Q1973">
        <v>2.977591456936394E-3</v>
      </c>
      <c r="R1973">
        <v>6.627724534991221E-4</v>
      </c>
      <c r="S1973">
        <v>8.8593489167184652E-2</v>
      </c>
      <c r="T1973">
        <v>0.81481448969783654</v>
      </c>
      <c r="U1973">
        <v>1.6668959050912049E-2</v>
      </c>
      <c r="V1973">
        <v>1.0411745512191492E-2</v>
      </c>
      <c r="W1973">
        <v>4.1412167141087274E-2</v>
      </c>
      <c r="X1973">
        <v>9.9875771743945033E-3</v>
      </c>
      <c r="Y1973">
        <v>1.8038481355440329E-3</v>
      </c>
    </row>
    <row r="1974" spans="1:25">
      <c r="A1974" s="876"/>
      <c r="B1974" s="1202">
        <v>1724</v>
      </c>
      <c r="C1974" s="880">
        <v>1.0124188841385948</v>
      </c>
      <c r="D1974" s="880">
        <v>1.036575291648729</v>
      </c>
      <c r="E1974" s="880">
        <v>0.95562853811942672</v>
      </c>
      <c r="F1974" s="880">
        <v>1.0338729332723753</v>
      </c>
      <c r="G1974" s="880">
        <v>1.0163833241575557</v>
      </c>
      <c r="H1974" s="880">
        <v>0.99899043687402045</v>
      </c>
      <c r="I1974" s="880">
        <v>0.96733510844544524</v>
      </c>
      <c r="K1974">
        <v>1.0637105667308293</v>
      </c>
      <c r="L1974">
        <v>0</v>
      </c>
      <c r="M1974">
        <v>7.332601421092095E-4</v>
      </c>
      <c r="N1974">
        <v>6.3626486815380148E-2</v>
      </c>
      <c r="O1974">
        <v>8.5153368565297829E-3</v>
      </c>
      <c r="P1974">
        <v>1.2215076351576122E-2</v>
      </c>
      <c r="Q1974">
        <v>2.7436804911552749E-3</v>
      </c>
      <c r="R1974">
        <v>7.2082683872318697E-4</v>
      </c>
      <c r="S1974">
        <v>8.0190339485571971E-2</v>
      </c>
      <c r="T1974">
        <v>0.81945244672943884</v>
      </c>
      <c r="U1974">
        <v>1.6703193836946868E-2</v>
      </c>
      <c r="V1974">
        <v>1.0411942317161943E-2</v>
      </c>
      <c r="W1974">
        <v>3.9223531587711254E-2</v>
      </c>
      <c r="X1974">
        <v>8.6791125282408409E-3</v>
      </c>
      <c r="Y1974">
        <v>1.9618530345009923E-3</v>
      </c>
    </row>
    <row r="1975" spans="1:25">
      <c r="A1975" s="876"/>
      <c r="B1975" s="1202">
        <v>1725</v>
      </c>
      <c r="C1975" s="880">
        <v>1.0196311785448366</v>
      </c>
      <c r="D1975" s="880">
        <v>0.97963857072619553</v>
      </c>
      <c r="E1975" s="880">
        <v>1.0119527796441803</v>
      </c>
      <c r="F1975" s="880">
        <v>1.0188203734456418</v>
      </c>
      <c r="G1975" s="880">
        <v>1.0126366284244523</v>
      </c>
      <c r="H1975" s="880">
        <v>1.0231183423267629</v>
      </c>
      <c r="I1975" s="880">
        <v>0.95881305404149297</v>
      </c>
      <c r="K1975">
        <v>1.0725260954146485</v>
      </c>
      <c r="L1975">
        <v>0</v>
      </c>
      <c r="M1975">
        <v>6.8265482805299888E-4</v>
      </c>
      <c r="N1975">
        <v>7.0628707665534168E-2</v>
      </c>
      <c r="O1975">
        <v>8.7135100728443875E-3</v>
      </c>
      <c r="P1975">
        <v>1.2708075487676213E-2</v>
      </c>
      <c r="Q1975">
        <v>2.9601240750330238E-3</v>
      </c>
      <c r="R1975">
        <v>6.7139920680932036E-4</v>
      </c>
      <c r="S1975">
        <v>8.1992179102750098E-2</v>
      </c>
      <c r="T1975">
        <v>0.81487417586020927</v>
      </c>
      <c r="U1975">
        <v>1.6585044888570689E-2</v>
      </c>
      <c r="V1975">
        <v>1.0411263116179953E-2</v>
      </c>
      <c r="W1975">
        <v>4.1875509759914491E-2</v>
      </c>
      <c r="X1975">
        <v>9.9614336929341359E-3</v>
      </c>
      <c r="Y1975">
        <v>1.8273273142459282E-3</v>
      </c>
    </row>
    <row r="1976" spans="1:25">
      <c r="A1976" s="876"/>
      <c r="B1976" s="1202">
        <v>1726</v>
      </c>
      <c r="C1976" s="880">
        <v>0.97466211580911277</v>
      </c>
      <c r="D1976" s="880">
        <v>1.0058617109879699</v>
      </c>
      <c r="E1976" s="880">
        <v>1.0041213546346381</v>
      </c>
      <c r="F1976" s="880">
        <v>0.99255164104480176</v>
      </c>
      <c r="G1976" s="880">
        <v>0.99672768667829137</v>
      </c>
      <c r="H1976" s="880">
        <v>0.96666016259348797</v>
      </c>
      <c r="I1976" s="880">
        <v>0.99941116214677905</v>
      </c>
      <c r="K1976">
        <v>1.0747027612732321</v>
      </c>
      <c r="L1976">
        <v>0</v>
      </c>
      <c r="M1976">
        <v>6.7639740069199621E-4</v>
      </c>
      <c r="N1976">
        <v>6.8228608666449753E-2</v>
      </c>
      <c r="O1976">
        <v>8.9879365768954882E-3</v>
      </c>
      <c r="P1976">
        <v>1.2710884998635768E-2</v>
      </c>
      <c r="Q1976">
        <v>3.0355177959024765E-3</v>
      </c>
      <c r="R1976">
        <v>6.6457059716337633E-4</v>
      </c>
      <c r="S1976">
        <v>8.6173120245622389E-2</v>
      </c>
      <c r="T1976">
        <v>0.81550430851625055</v>
      </c>
      <c r="U1976">
        <v>1.7350247425913432E-2</v>
      </c>
      <c r="V1976">
        <v>1.0415662023846185E-2</v>
      </c>
      <c r="W1976">
        <v>4.0668631599432951E-2</v>
      </c>
      <c r="X1976">
        <v>9.8309281379698448E-3</v>
      </c>
      <c r="Y1976">
        <v>1.8087420898402335E-3</v>
      </c>
    </row>
    <row r="1977" spans="1:25">
      <c r="A1977" s="876"/>
      <c r="B1977" s="1202">
        <v>1727</v>
      </c>
      <c r="C1977" s="880">
        <v>1.015966377719244</v>
      </c>
      <c r="D1977" s="880">
        <v>0.99908135111206453</v>
      </c>
      <c r="E1977" s="880">
        <v>0.99615922302511395</v>
      </c>
      <c r="F1977" s="880">
        <v>0.95543472373432625</v>
      </c>
      <c r="G1977" s="880">
        <v>0.98472983250191015</v>
      </c>
      <c r="H1977" s="880">
        <v>1.0125773964549212</v>
      </c>
      <c r="I1977" s="880">
        <v>1.0124397600491473</v>
      </c>
      <c r="K1977">
        <v>1.0737516885085123</v>
      </c>
      <c r="L1977">
        <v>0</v>
      </c>
      <c r="M1977">
        <v>6.9370643884942174E-4</v>
      </c>
      <c r="N1977">
        <v>6.831820885081076E-2</v>
      </c>
      <c r="O1977">
        <v>8.6536796471795782E-3</v>
      </c>
      <c r="P1977">
        <v>1.2627725947400085E-2</v>
      </c>
      <c r="Q1977">
        <v>2.8978698792518276E-3</v>
      </c>
      <c r="R1977">
        <v>6.8213276312713441E-4</v>
      </c>
      <c r="S1977">
        <v>8.5666557124517748E-2</v>
      </c>
      <c r="T1977">
        <v>0.81614709601445157</v>
      </c>
      <c r="U1977">
        <v>1.6644870575259842E-2</v>
      </c>
      <c r="V1977">
        <v>1.0411607035154315E-2</v>
      </c>
      <c r="W1977">
        <v>4.0944477386107021E-2</v>
      </c>
      <c r="X1977">
        <v>9.5946292078744732E-3</v>
      </c>
      <c r="Y1977">
        <v>1.8565405162271292E-3</v>
      </c>
    </row>
    <row r="1978" spans="1:25">
      <c r="A1978" s="876"/>
      <c r="B1978" s="1202">
        <v>1728</v>
      </c>
      <c r="C1978" s="880">
        <v>0.9965101136159612</v>
      </c>
      <c r="D1978" s="880">
        <v>0.98260042212152476</v>
      </c>
      <c r="E1978" s="880">
        <v>1.0313685113893003</v>
      </c>
      <c r="F1978" s="880">
        <v>1.0092918056315563</v>
      </c>
      <c r="G1978" s="880">
        <v>1.0192916646886776</v>
      </c>
      <c r="H1978" s="880">
        <v>1.0386344437152937</v>
      </c>
      <c r="I1978" s="880">
        <v>0.96379670941949469</v>
      </c>
      <c r="K1978">
        <v>1.0811096931645614</v>
      </c>
      <c r="L1978">
        <v>0</v>
      </c>
      <c r="M1978">
        <v>6.7949224010236872E-4</v>
      </c>
      <c r="N1978">
        <v>7.4690104289461781E-2</v>
      </c>
      <c r="O1978">
        <v>8.9013137503076E-3</v>
      </c>
      <c r="P1978">
        <v>1.2912302377508494E-2</v>
      </c>
      <c r="Q1978">
        <v>3.0835059428533781E-3</v>
      </c>
      <c r="R1978">
        <v>6.6845366481801591E-4</v>
      </c>
      <c r="S1978">
        <v>8.4745146152568049E-2</v>
      </c>
      <c r="T1978">
        <v>0.81332095776932967</v>
      </c>
      <c r="U1978">
        <v>1.6969851720410604E-2</v>
      </c>
      <c r="V1978">
        <v>1.0413475249099014E-2</v>
      </c>
      <c r="W1978">
        <v>4.3707763096376147E-2</v>
      </c>
      <c r="X1978">
        <v>1.0557000871986333E-2</v>
      </c>
      <c r="Y1978">
        <v>1.8193105199432538E-3</v>
      </c>
    </row>
    <row r="1979" spans="1:25">
      <c r="A1979" s="876"/>
      <c r="B1979" s="1202">
        <v>1729</v>
      </c>
      <c r="C1979" s="880">
        <v>0.99473167276123586</v>
      </c>
      <c r="D1979" s="880">
        <v>0.9741534408416116</v>
      </c>
      <c r="E1979" s="880">
        <v>0.99518926278790543</v>
      </c>
      <c r="F1979" s="880">
        <v>0.978987579057777</v>
      </c>
      <c r="G1979" s="880">
        <v>1.0049526607346786</v>
      </c>
      <c r="H1979" s="880">
        <v>0.98207934360067495</v>
      </c>
      <c r="I1979" s="880">
        <v>0.98000930856055002</v>
      </c>
      <c r="K1979">
        <v>1.0739676556377682</v>
      </c>
      <c r="L1979">
        <v>0</v>
      </c>
      <c r="M1979">
        <v>6.9791004835086264E-4</v>
      </c>
      <c r="N1979">
        <v>6.8491158123637597E-2</v>
      </c>
      <c r="O1979">
        <v>8.9584645894620514E-3</v>
      </c>
      <c r="P1979">
        <v>1.2611028323781158E-2</v>
      </c>
      <c r="Q1979">
        <v>2.9913192926625579E-3</v>
      </c>
      <c r="R1979">
        <v>6.8592703145489546E-4</v>
      </c>
      <c r="S1979">
        <v>8.4677993909894916E-2</v>
      </c>
      <c r="T1979">
        <v>0.81622554860810448</v>
      </c>
      <c r="U1979">
        <v>1.7000191437567119E-2</v>
      </c>
      <c r="V1979">
        <v>1.0413649662548884E-2</v>
      </c>
      <c r="W1979">
        <v>4.1075464014588309E-2</v>
      </c>
      <c r="X1979">
        <v>9.6679534285814012E-3</v>
      </c>
      <c r="Y1979">
        <v>1.8668672638350761E-3</v>
      </c>
    </row>
    <row r="1980" spans="1:25">
      <c r="A1980" s="876"/>
      <c r="B1980" s="1202">
        <v>1730</v>
      </c>
      <c r="C1980" s="880">
        <v>0.99745513123728391</v>
      </c>
      <c r="D1980" s="880">
        <v>1.0102564674655814</v>
      </c>
      <c r="E1980" s="880">
        <v>0.99771773987317214</v>
      </c>
      <c r="F1980" s="880">
        <v>0.99666913006356972</v>
      </c>
      <c r="G1980" s="880">
        <v>0.95426815504779205</v>
      </c>
      <c r="H1980" s="880">
        <v>0.97675061284342379</v>
      </c>
      <c r="I1980" s="880">
        <v>0.9767888838447083</v>
      </c>
      <c r="K1980">
        <v>1.0683141708218959</v>
      </c>
      <c r="L1980">
        <v>0</v>
      </c>
      <c r="M1980">
        <v>6.7534166816690254E-4</v>
      </c>
      <c r="N1980">
        <v>6.6790384950233692E-2</v>
      </c>
      <c r="O1980">
        <v>8.7621729154504328E-3</v>
      </c>
      <c r="P1980">
        <v>1.2601454708780989E-2</v>
      </c>
      <c r="Q1980">
        <v>2.9412469593388746E-3</v>
      </c>
      <c r="R1980">
        <v>6.6365158312027572E-4</v>
      </c>
      <c r="S1980">
        <v>8.2471155982575969E-2</v>
      </c>
      <c r="T1980">
        <v>0.81602110652024162</v>
      </c>
      <c r="U1980">
        <v>1.6953773995804455E-2</v>
      </c>
      <c r="V1980">
        <v>1.0413382823339064E-2</v>
      </c>
      <c r="W1980">
        <v>3.9986066457839468E-2</v>
      </c>
      <c r="X1980">
        <v>9.578874756768798E-3</v>
      </c>
      <c r="Y1980">
        <v>1.8062408365678117E-3</v>
      </c>
    </row>
    <row r="1981" spans="1:25">
      <c r="A1981" s="876"/>
      <c r="B1981" s="1202">
        <v>1731</v>
      </c>
      <c r="C1981" s="880">
        <v>1.0121364515016837</v>
      </c>
      <c r="D1981" s="880">
        <v>1.0010367897875128</v>
      </c>
      <c r="E1981" s="880">
        <v>0.97160695968448441</v>
      </c>
      <c r="F1981" s="880">
        <v>1.0116888633591519</v>
      </c>
      <c r="G1981" s="880">
        <v>0.97337205453879683</v>
      </c>
      <c r="H1981" s="880">
        <v>0.99369512840511065</v>
      </c>
      <c r="I1981" s="880">
        <v>1.036512284346671</v>
      </c>
      <c r="K1981">
        <v>1.0729890819444405</v>
      </c>
      <c r="L1981">
        <v>0</v>
      </c>
      <c r="M1981">
        <v>7.1876648427180053E-4</v>
      </c>
      <c r="N1981">
        <v>6.5553257497412962E-2</v>
      </c>
      <c r="O1981">
        <v>8.6773725333225069E-3</v>
      </c>
      <c r="P1981">
        <v>1.2443692270402693E-2</v>
      </c>
      <c r="Q1981">
        <v>2.8347530280244163E-3</v>
      </c>
      <c r="R1981">
        <v>7.0654508808585983E-4</v>
      </c>
      <c r="S1981">
        <v>8.725856770213665E-2</v>
      </c>
      <c r="T1981">
        <v>0.81814275031237715</v>
      </c>
      <c r="U1981">
        <v>1.6707854796517287E-2</v>
      </c>
      <c r="V1981">
        <v>1.0411969111546153E-2</v>
      </c>
      <c r="W1981">
        <v>3.9960602017297446E-2</v>
      </c>
      <c r="X1981">
        <v>9.0875012543444877E-3</v>
      </c>
      <c r="Y1981">
        <v>1.9229828172440191E-3</v>
      </c>
    </row>
    <row r="1982" spans="1:25">
      <c r="A1982" s="876"/>
      <c r="B1982" s="1202">
        <v>1732</v>
      </c>
      <c r="C1982" s="880">
        <v>0.9656334923118699</v>
      </c>
      <c r="D1982" s="880">
        <v>0.99597601061196961</v>
      </c>
      <c r="E1982" s="880">
        <v>0.97437381462873784</v>
      </c>
      <c r="F1982" s="880">
        <v>0.9733503061708576</v>
      </c>
      <c r="G1982" s="880">
        <v>0.96922191226264531</v>
      </c>
      <c r="H1982" s="880">
        <v>1.0147482238183705</v>
      </c>
      <c r="I1982" s="880">
        <v>1.0074424766558667</v>
      </c>
      <c r="K1982">
        <v>1.0853904545607025</v>
      </c>
      <c r="L1982">
        <v>0</v>
      </c>
      <c r="M1982">
        <v>7.6695716930809323E-4</v>
      </c>
      <c r="N1982">
        <v>7.0580061985315468E-2</v>
      </c>
      <c r="O1982">
        <v>9.1198766233851428E-3</v>
      </c>
      <c r="P1982">
        <v>1.2513342410853117E-2</v>
      </c>
      <c r="Q1982">
        <v>2.9866033479725579E-3</v>
      </c>
      <c r="R1982">
        <v>7.5419168652092808E-4</v>
      </c>
      <c r="S1982">
        <v>8.9907399194784535E-2</v>
      </c>
      <c r="T1982">
        <v>0.81791683529663395</v>
      </c>
      <c r="U1982">
        <v>1.7512471347142091E-2</v>
      </c>
      <c r="V1982">
        <v>1.0416594597924163E-2</v>
      </c>
      <c r="W1982">
        <v>4.2941960001146792E-2</v>
      </c>
      <c r="X1982">
        <v>9.455414086844258E-3</v>
      </c>
      <c r="Y1982">
        <v>2.0526611514873226E-3</v>
      </c>
    </row>
    <row r="1983" spans="1:25">
      <c r="A1983" s="876"/>
      <c r="B1983" s="1202">
        <v>1733</v>
      </c>
      <c r="C1983" s="880">
        <v>1.0325028777330203</v>
      </c>
      <c r="D1983" s="880">
        <v>1.0269656958431641</v>
      </c>
      <c r="E1983" s="880">
        <v>0.97928331411286762</v>
      </c>
      <c r="F1983" s="880">
        <v>0.99032837424367381</v>
      </c>
      <c r="G1983" s="880">
        <v>1.0181524102778394</v>
      </c>
      <c r="H1983" s="880">
        <v>0.97328677933156671</v>
      </c>
      <c r="I1983" s="880">
        <v>0.99023432944237577</v>
      </c>
      <c r="K1983">
        <v>1.0591208556790621</v>
      </c>
      <c r="L1983">
        <v>0</v>
      </c>
      <c r="M1983">
        <v>6.6992927233070799E-4</v>
      </c>
      <c r="N1983">
        <v>6.2553879545574509E-2</v>
      </c>
      <c r="O1983">
        <v>8.3911486450017805E-3</v>
      </c>
      <c r="P1983">
        <v>1.2406402453812897E-2</v>
      </c>
      <c r="Q1983">
        <v>2.7680251493470563E-3</v>
      </c>
      <c r="R1983">
        <v>6.5827768995540149E-4</v>
      </c>
      <c r="S1983">
        <v>7.9995807271846478E-2</v>
      </c>
      <c r="T1983">
        <v>0.81751660912987578</v>
      </c>
      <c r="U1983">
        <v>1.6378287393330682E-2</v>
      </c>
      <c r="V1983">
        <v>1.0410074532652764E-2</v>
      </c>
      <c r="W1983">
        <v>3.7928990652500619E-2</v>
      </c>
      <c r="X1983">
        <v>8.991667616618142E-3</v>
      </c>
      <c r="Y1983">
        <v>1.7916148708764297E-3</v>
      </c>
    </row>
    <row r="1984" spans="1:25">
      <c r="A1984" s="876"/>
      <c r="B1984" s="1202">
        <v>1734</v>
      </c>
      <c r="C1984" s="880">
        <v>1.0052269390858086</v>
      </c>
      <c r="D1984" s="880">
        <v>0.99133512925838119</v>
      </c>
      <c r="E1984" s="880">
        <v>0.98577356083560952</v>
      </c>
      <c r="F1984" s="880">
        <v>0.9819701806891642</v>
      </c>
      <c r="G1984" s="880">
        <v>1.0220441331816585</v>
      </c>
      <c r="H1984" s="880">
        <v>1.031606624066475</v>
      </c>
      <c r="I1984" s="880">
        <v>1.0072980045491793</v>
      </c>
      <c r="K1984">
        <v>1.0792419096326791</v>
      </c>
      <c r="L1984">
        <v>0</v>
      </c>
      <c r="M1984">
        <v>7.3309681003778265E-4</v>
      </c>
      <c r="N1984">
        <v>6.9923032321748083E-2</v>
      </c>
      <c r="O1984">
        <v>8.7825269640468134E-3</v>
      </c>
      <c r="P1984">
        <v>1.2563326543493914E-2</v>
      </c>
      <c r="Q1984">
        <v>2.9086267546526577E-3</v>
      </c>
      <c r="R1984">
        <v>7.2109843901291021E-4</v>
      </c>
      <c r="S1984">
        <v>8.7161946690942918E-2</v>
      </c>
      <c r="T1984">
        <v>0.81698877078925858</v>
      </c>
      <c r="U1984">
        <v>1.6822697650076473E-2</v>
      </c>
      <c r="V1984">
        <v>1.041262930683339E-2</v>
      </c>
      <c r="W1984">
        <v>4.2207040593219398E-2</v>
      </c>
      <c r="X1984">
        <v>9.5207181484738904E-3</v>
      </c>
      <c r="Y1984">
        <v>1.9625922409566071E-3</v>
      </c>
    </row>
    <row r="1985" spans="1:25">
      <c r="A1985" s="876"/>
      <c r="B1985" s="1202">
        <v>1735</v>
      </c>
      <c r="C1985" s="880">
        <v>0.95833485013304343</v>
      </c>
      <c r="D1985" s="880">
        <v>1.0021229671804865</v>
      </c>
      <c r="E1985" s="880">
        <v>0.97160077142149925</v>
      </c>
      <c r="F1985" s="880">
        <v>1.0108184752826324</v>
      </c>
      <c r="G1985" s="880">
        <v>0.96649241381553952</v>
      </c>
      <c r="H1985" s="880">
        <v>0.98700164647703714</v>
      </c>
      <c r="I1985" s="880">
        <v>1.0024624083835814</v>
      </c>
      <c r="K1985">
        <v>1.08162697287848</v>
      </c>
      <c r="L1985">
        <v>0</v>
      </c>
      <c r="M1985">
        <v>7.5358011212995344E-4</v>
      </c>
      <c r="N1985">
        <v>6.871886211679816E-2</v>
      </c>
      <c r="O1985">
        <v>9.1592288090058677E-3</v>
      </c>
      <c r="P1985">
        <v>1.2477257471173311E-2</v>
      </c>
      <c r="Q1985">
        <v>2.9923907423302374E-3</v>
      </c>
      <c r="R1985">
        <v>7.4067884771051847E-4</v>
      </c>
      <c r="S1985">
        <v>8.8831743641148153E-2</v>
      </c>
      <c r="T1985">
        <v>0.81814325587674819</v>
      </c>
      <c r="U1985">
        <v>1.7645845670336103E-2</v>
      </c>
      <c r="V1985">
        <v>1.0417361324776385E-2</v>
      </c>
      <c r="W1985">
        <v>4.1890503481383186E-2</v>
      </c>
      <c r="X1985">
        <v>9.3475413504481228E-3</v>
      </c>
      <c r="Y1985">
        <v>2.0158836587515039E-3</v>
      </c>
    </row>
    <row r="1986" spans="1:25">
      <c r="A1986" s="876"/>
      <c r="B1986" s="1202">
        <v>1736</v>
      </c>
      <c r="C1986" s="880">
        <v>0.95713861084105167</v>
      </c>
      <c r="D1986" s="880">
        <v>1.0424933393426463</v>
      </c>
      <c r="E1986" s="880">
        <v>0.98550975484525172</v>
      </c>
      <c r="F1986" s="880">
        <v>0.97359708548099255</v>
      </c>
      <c r="G1986" s="880">
        <v>1.0313037303845749</v>
      </c>
      <c r="H1986" s="880">
        <v>0.95892645760015127</v>
      </c>
      <c r="I1986" s="880">
        <v>0.99789719201039173</v>
      </c>
      <c r="K1986">
        <v>1.0731164569992615</v>
      </c>
      <c r="L1986">
        <v>0</v>
      </c>
      <c r="M1986">
        <v>6.9719582893777905E-4</v>
      </c>
      <c r="N1986">
        <v>6.6356005235158166E-2</v>
      </c>
      <c r="O1986">
        <v>8.9799437389013002E-3</v>
      </c>
      <c r="P1986">
        <v>1.255411878901037E-2</v>
      </c>
      <c r="Q1986">
        <v>2.9843287575871992E-3</v>
      </c>
      <c r="R1986">
        <v>6.8487506108618553E-4</v>
      </c>
      <c r="S1986">
        <v>8.5794160153480015E-2</v>
      </c>
      <c r="T1986">
        <v>0.81701019777544859</v>
      </c>
      <c r="U1986">
        <v>1.7667899585717042E-2</v>
      </c>
      <c r="V1986">
        <v>1.0417488105769283E-2</v>
      </c>
      <c r="W1986">
        <v>4.0061210278210593E-2</v>
      </c>
      <c r="X1986">
        <v>9.4394212005560526E-3</v>
      </c>
      <c r="Y1986">
        <v>1.8640041472733865E-3</v>
      </c>
    </row>
    <row r="1987" spans="1:25">
      <c r="A1987" s="876"/>
      <c r="B1987" s="1202">
        <v>1737</v>
      </c>
      <c r="C1987" s="880">
        <v>0.98110963996103295</v>
      </c>
      <c r="D1987" s="880">
        <v>0.9942152865349575</v>
      </c>
      <c r="E1987" s="880">
        <v>0.99542682448598829</v>
      </c>
      <c r="F1987" s="880">
        <v>0.99261827265756575</v>
      </c>
      <c r="G1987" s="880">
        <v>1.0284119559089135</v>
      </c>
      <c r="H1987" s="880">
        <v>1.0060361829724609</v>
      </c>
      <c r="I1987" s="880">
        <v>1.0023776058436604</v>
      </c>
      <c r="K1987">
        <v>1.0806202552903301</v>
      </c>
      <c r="L1987">
        <v>0</v>
      </c>
      <c r="M1987">
        <v>7.1667248863392142E-4</v>
      </c>
      <c r="N1987">
        <v>7.0411946191080974E-2</v>
      </c>
      <c r="O1987">
        <v>8.9844959606077482E-3</v>
      </c>
      <c r="P1987">
        <v>1.2658744781488826E-2</v>
      </c>
      <c r="Q1987">
        <v>3.0053337591169757E-3</v>
      </c>
      <c r="R1987">
        <v>7.0464222847556627E-4</v>
      </c>
      <c r="S1987">
        <v>8.7802793826077044E-2</v>
      </c>
      <c r="T1987">
        <v>0.81620633112348129</v>
      </c>
      <c r="U1987">
        <v>1.7236227407391516E-2</v>
      </c>
      <c r="V1987">
        <v>1.0415006558777655E-2</v>
      </c>
      <c r="W1987">
        <v>4.2220511520880112E-2</v>
      </c>
      <c r="X1987">
        <v>9.7730905609234361E-3</v>
      </c>
      <c r="Y1987">
        <v>1.9178038606623023E-3</v>
      </c>
    </row>
    <row r="1988" spans="1:25">
      <c r="A1988" s="876"/>
      <c r="B1988" s="1202">
        <v>1738</v>
      </c>
      <c r="C1988" s="880">
        <v>1.0290618396425877</v>
      </c>
      <c r="D1988" s="880">
        <v>0.96307687378785523</v>
      </c>
      <c r="E1988" s="880">
        <v>0.98683032292990769</v>
      </c>
      <c r="F1988" s="880">
        <v>0.98417522589072881</v>
      </c>
      <c r="G1988" s="880">
        <v>1.0313053699060208</v>
      </c>
      <c r="H1988" s="880">
        <v>0.98908405262617094</v>
      </c>
      <c r="I1988" s="880">
        <v>1.045036028293485</v>
      </c>
      <c r="K1988">
        <v>1.0738664438676893</v>
      </c>
      <c r="L1988">
        <v>0</v>
      </c>
      <c r="M1988">
        <v>6.9572091806912445E-4</v>
      </c>
      <c r="N1988">
        <v>6.6531704078060319E-2</v>
      </c>
      <c r="O1988">
        <v>8.7127362723489286E-3</v>
      </c>
      <c r="P1988">
        <v>1.2578834042396365E-2</v>
      </c>
      <c r="Q1988">
        <v>2.8823080864166617E-3</v>
      </c>
      <c r="R1988">
        <v>6.838701796804637E-4</v>
      </c>
      <c r="S1988">
        <v>8.8043949948017411E-2</v>
      </c>
      <c r="T1988">
        <v>0.81690296155353648</v>
      </c>
      <c r="U1988">
        <v>1.6433054083344254E-2</v>
      </c>
      <c r="V1988">
        <v>1.0410389369053327E-2</v>
      </c>
      <c r="W1988">
        <v>4.0130654420904716E-2</v>
      </c>
      <c r="X1988">
        <v>9.3904335606528801E-3</v>
      </c>
      <c r="Y1988">
        <v>1.8612691913460779E-3</v>
      </c>
    </row>
    <row r="1989" spans="1:25">
      <c r="A1989" s="876"/>
      <c r="B1989" s="1202">
        <v>1739</v>
      </c>
      <c r="C1989" s="880">
        <v>1.0439563333636841</v>
      </c>
      <c r="D1989" s="880">
        <v>0.99846117415845459</v>
      </c>
      <c r="E1989" s="880">
        <v>1.0393800523314471</v>
      </c>
      <c r="F1989" s="880">
        <v>0.99101534694212734</v>
      </c>
      <c r="G1989" s="880">
        <v>1.0292508715029545</v>
      </c>
      <c r="H1989" s="880">
        <v>0.98623927570561531</v>
      </c>
      <c r="I1989" s="880">
        <v>0.98678879335394076</v>
      </c>
      <c r="K1989">
        <v>1.0626938406408899</v>
      </c>
      <c r="L1989">
        <v>0</v>
      </c>
      <c r="M1989">
        <v>6.0039063690417297E-4</v>
      </c>
      <c r="N1989">
        <v>6.7595654821524145E-2</v>
      </c>
      <c r="O1989">
        <v>8.4244516034276528E-3</v>
      </c>
      <c r="P1989">
        <v>1.2906401915540159E-2</v>
      </c>
      <c r="Q1989">
        <v>2.9449897966387908E-3</v>
      </c>
      <c r="R1989">
        <v>5.9010678964202816E-4</v>
      </c>
      <c r="S1989">
        <v>8.039176528572535E-2</v>
      </c>
      <c r="T1989">
        <v>0.81268380077983782</v>
      </c>
      <c r="U1989">
        <v>1.6198597896777345E-2</v>
      </c>
      <c r="V1989">
        <v>1.0409041554499466E-2</v>
      </c>
      <c r="W1989">
        <v>3.9345164397259894E-2</v>
      </c>
      <c r="X1989">
        <v>1.0198180284166251E-2</v>
      </c>
      <c r="Y1989">
        <v>1.6060761527546756E-3</v>
      </c>
    </row>
    <row r="1990" spans="1:25">
      <c r="A1990" s="876"/>
      <c r="B1990" s="1202">
        <v>1740</v>
      </c>
      <c r="C1990" s="880">
        <v>1.0160632992998233</v>
      </c>
      <c r="D1990" s="880">
        <v>0.99855111142390274</v>
      </c>
      <c r="E1990" s="880">
        <v>0.97923424307975926</v>
      </c>
      <c r="F1990" s="880">
        <v>0.99409966511912473</v>
      </c>
      <c r="G1990" s="880">
        <v>1.0348876206686983</v>
      </c>
      <c r="H1990" s="880">
        <v>1.0269879570756328</v>
      </c>
      <c r="I1990" s="880">
        <v>1.0426113106609278</v>
      </c>
      <c r="K1990">
        <v>1.0780836911671339</v>
      </c>
      <c r="L1990">
        <v>0</v>
      </c>
      <c r="M1990">
        <v>7.291952629233905E-4</v>
      </c>
      <c r="N1990">
        <v>6.814270955416947E-2</v>
      </c>
      <c r="O1990">
        <v>8.655304378631332E-3</v>
      </c>
      <c r="P1990">
        <v>1.2527380593110503E-2</v>
      </c>
      <c r="Q1990">
        <v>2.8490763041485777E-3</v>
      </c>
      <c r="R1990">
        <v>7.1720067415852727E-4</v>
      </c>
      <c r="S1990">
        <v>8.8763526019719902E-2</v>
      </c>
      <c r="T1990">
        <v>0.81752060540569615</v>
      </c>
      <c r="U1990">
        <v>1.6643282832482623E-2</v>
      </c>
      <c r="V1990">
        <v>1.0411597907722663E-2</v>
      </c>
      <c r="W1990">
        <v>4.1319135834164307E-2</v>
      </c>
      <c r="X1990">
        <v>9.3110831161309273E-3</v>
      </c>
      <c r="Y1990">
        <v>1.9519838099208155E-3</v>
      </c>
    </row>
    <row r="1991" spans="1:25">
      <c r="A1991" s="876"/>
      <c r="B1991" s="1202">
        <v>1741</v>
      </c>
      <c r="C1991" s="880">
        <v>1.0203424849943143</v>
      </c>
      <c r="D1991" s="880">
        <v>1.0077113352048286</v>
      </c>
      <c r="E1991" s="880">
        <v>0.97487882176723317</v>
      </c>
      <c r="F1991" s="880">
        <v>1.0237159191970013</v>
      </c>
      <c r="G1991" s="880">
        <v>1.0168746781121962</v>
      </c>
      <c r="H1991" s="880">
        <v>0.98746539179079118</v>
      </c>
      <c r="I1991" s="880">
        <v>0.98691489342147021</v>
      </c>
      <c r="K1991">
        <v>1.0653821975404405</v>
      </c>
      <c r="L1991">
        <v>0</v>
      </c>
      <c r="M1991">
        <v>7.0118889086868302E-4</v>
      </c>
      <c r="N1991">
        <v>6.459812696521397E-2</v>
      </c>
      <c r="O1991">
        <v>8.5771481686625524E-3</v>
      </c>
      <c r="P1991">
        <v>1.2398118054037493E-2</v>
      </c>
      <c r="Q1991">
        <v>2.8127734475194965E-3</v>
      </c>
      <c r="R1991">
        <v>6.891853097692899E-4</v>
      </c>
      <c r="S1991">
        <v>8.1928289692125442E-2</v>
      </c>
      <c r="T1991">
        <v>0.81787562913350043</v>
      </c>
      <c r="U1991">
        <v>1.6573483035989236E-2</v>
      </c>
      <c r="V1991">
        <v>1.0411196650741767E-2</v>
      </c>
      <c r="W1991">
        <v>3.9288639700973946E-2</v>
      </c>
      <c r="X1991">
        <v>9.0550610494597086E-3</v>
      </c>
      <c r="Y1991">
        <v>1.8757352233157007E-3</v>
      </c>
    </row>
    <row r="1992" spans="1:25">
      <c r="A1992" s="876"/>
      <c r="B1992" s="1202">
        <v>1742</v>
      </c>
      <c r="C1992" s="880">
        <v>0.96035714829698327</v>
      </c>
      <c r="D1992" s="880">
        <v>1.0110807147388183</v>
      </c>
      <c r="E1992" s="880">
        <v>0.96685924174660787</v>
      </c>
      <c r="F1992" s="880">
        <v>1.0384313259557683</v>
      </c>
      <c r="G1992" s="880">
        <v>1.0325350792914423</v>
      </c>
      <c r="H1992" s="880">
        <v>0.97996245338185251</v>
      </c>
      <c r="I1992" s="880">
        <v>0.99713214599971423</v>
      </c>
      <c r="K1992">
        <v>1.0784133340901658</v>
      </c>
      <c r="L1992">
        <v>0</v>
      </c>
      <c r="M1992">
        <v>7.5052676722284965E-4</v>
      </c>
      <c r="N1992">
        <v>6.7426763076704185E-2</v>
      </c>
      <c r="O1992">
        <v>9.0966970022090046E-3</v>
      </c>
      <c r="P1992">
        <v>1.2419157073333272E-2</v>
      </c>
      <c r="Q1992">
        <v>2.9595479595721148E-3</v>
      </c>
      <c r="R1992">
        <v>7.3757704495345372E-4</v>
      </c>
      <c r="S1992">
        <v>8.7524003480120502E-2</v>
      </c>
      <c r="T1992">
        <v>0.81853100593464956</v>
      </c>
      <c r="U1992">
        <v>1.7608687451267743E-2</v>
      </c>
      <c r="V1992">
        <v>1.0417147713912925E-2</v>
      </c>
      <c r="W1992">
        <v>4.1239336299814938E-2</v>
      </c>
      <c r="X1992">
        <v>9.1964962466956138E-3</v>
      </c>
      <c r="Y1992">
        <v>2.0074415741557776E-3</v>
      </c>
    </row>
    <row r="1993" spans="1:25">
      <c r="A1993" s="876"/>
      <c r="B1993" s="1202">
        <v>1743</v>
      </c>
      <c r="C1993" s="880">
        <v>1.0082661316098429</v>
      </c>
      <c r="D1993" s="880">
        <v>0.98709707861068507</v>
      </c>
      <c r="E1993" s="880">
        <v>1.0227130513870091</v>
      </c>
      <c r="F1993" s="880">
        <v>0.96296368399398569</v>
      </c>
      <c r="G1993" s="880">
        <v>1.0102495921578514</v>
      </c>
      <c r="H1993" s="880">
        <v>1.0224865902068763</v>
      </c>
      <c r="I1993" s="880">
        <v>1.0056188567633113</v>
      </c>
      <c r="K1993">
        <v>1.0786485100844736</v>
      </c>
      <c r="L1993">
        <v>0</v>
      </c>
      <c r="M1993">
        <v>6.7170449781319753E-4</v>
      </c>
      <c r="N1993">
        <v>7.1857108590389254E-2</v>
      </c>
      <c r="O1993">
        <v>8.7761021934375325E-3</v>
      </c>
      <c r="P1993">
        <v>1.2863808553901974E-2</v>
      </c>
      <c r="Q1993">
        <v>3.0152190435221663E-3</v>
      </c>
      <c r="R1993">
        <v>6.6061636426007137E-4</v>
      </c>
      <c r="S1993">
        <v>8.6612606824160901E-2</v>
      </c>
      <c r="T1993">
        <v>0.81401178847238886</v>
      </c>
      <c r="U1993">
        <v>1.6771989394260542E-2</v>
      </c>
      <c r="V1993">
        <v>1.0412337801089003E-2</v>
      </c>
      <c r="W1993">
        <v>4.2295036455085908E-2</v>
      </c>
      <c r="X1993">
        <v>1.024562091839973E-2</v>
      </c>
      <c r="Y1993">
        <v>1.7979799713899634E-3</v>
      </c>
    </row>
    <row r="1994" spans="1:25">
      <c r="A1994" s="876"/>
      <c r="B1994" s="1202">
        <v>1744</v>
      </c>
      <c r="C1994" s="880">
        <v>1.0111535813833368</v>
      </c>
      <c r="D1994" s="880">
        <v>0.98301313005087443</v>
      </c>
      <c r="E1994" s="880">
        <v>1.0019660676595887</v>
      </c>
      <c r="F1994" s="880">
        <v>1.0147875498138714</v>
      </c>
      <c r="G1994" s="880">
        <v>0.99987120839333299</v>
      </c>
      <c r="H1994" s="880">
        <v>1.0329207900584749</v>
      </c>
      <c r="I1994" s="880">
        <v>0.96991251215189822</v>
      </c>
      <c r="K1994">
        <v>1.0762280847850156</v>
      </c>
      <c r="L1994">
        <v>0</v>
      </c>
      <c r="M1994">
        <v>7.0846097448928717E-4</v>
      </c>
      <c r="N1994">
        <v>7.1068442937008286E-2</v>
      </c>
      <c r="O1994">
        <v>8.7704379660275243E-3</v>
      </c>
      <c r="P1994">
        <v>1.2652270946803938E-2</v>
      </c>
      <c r="Q1994">
        <v>2.9505815035299789E-3</v>
      </c>
      <c r="R1994">
        <v>6.9688776940713001E-4</v>
      </c>
      <c r="S1994">
        <v>8.3832454018018435E-2</v>
      </c>
      <c r="T1994">
        <v>0.81567809343406927</v>
      </c>
      <c r="U1994">
        <v>1.6724095307873346E-2</v>
      </c>
      <c r="V1994">
        <v>1.0412062473115699E-2</v>
      </c>
      <c r="W1994">
        <v>4.242374029066389E-2</v>
      </c>
      <c r="X1994">
        <v>9.8307803336514892E-3</v>
      </c>
      <c r="Y1994">
        <v>1.8966987793347641E-3</v>
      </c>
    </row>
    <row r="1995" spans="1:25">
      <c r="A1995" s="876"/>
      <c r="B1995" s="1202">
        <v>1745</v>
      </c>
      <c r="C1995" s="880">
        <v>1.0040193443759322</v>
      </c>
      <c r="D1995" s="880">
        <v>0.98734155269797375</v>
      </c>
      <c r="E1995" s="880">
        <v>1.0026784271243847</v>
      </c>
      <c r="F1995" s="880">
        <v>0.98838410095947549</v>
      </c>
      <c r="G1995" s="880">
        <v>0.99119846512477505</v>
      </c>
      <c r="H1995" s="880">
        <v>1.0186891053058269</v>
      </c>
      <c r="I1995" s="880">
        <v>0.96287759272212547</v>
      </c>
      <c r="K1995">
        <v>1.0746332719123797</v>
      </c>
      <c r="L1995">
        <v>0</v>
      </c>
      <c r="M1995">
        <v>7.0096657367370806E-4</v>
      </c>
      <c r="N1995">
        <v>7.0455898876978118E-2</v>
      </c>
      <c r="O1995">
        <v>8.8120580221886149E-3</v>
      </c>
      <c r="P1995">
        <v>1.2650380211434836E-2</v>
      </c>
      <c r="Q1995">
        <v>2.9676842955380259E-3</v>
      </c>
      <c r="R1995">
        <v>6.8935205006010706E-4</v>
      </c>
      <c r="S1995">
        <v>8.3140748446356841E-2</v>
      </c>
      <c r="T1995">
        <v>0.81562063705388987</v>
      </c>
      <c r="U1995">
        <v>1.6842931324658392E-2</v>
      </c>
      <c r="V1995">
        <v>1.0412745623836907E-2</v>
      </c>
      <c r="W1995">
        <v>4.2037624996601276E-2</v>
      </c>
      <c r="X1995">
        <v>9.8279885490883592E-3</v>
      </c>
      <c r="Y1995">
        <v>1.876189035421383E-3</v>
      </c>
    </row>
    <row r="1996" spans="1:25">
      <c r="A1996" s="876"/>
      <c r="B1996" s="1202">
        <v>1746</v>
      </c>
      <c r="C1996" s="880">
        <v>0.96505058020759982</v>
      </c>
      <c r="D1996" s="880">
        <v>1.0112576861373657</v>
      </c>
      <c r="E1996" s="880">
        <v>0.96567754638772973</v>
      </c>
      <c r="F1996" s="880">
        <v>1.0007936939474786</v>
      </c>
      <c r="G1996" s="880">
        <v>1.017977113936094</v>
      </c>
      <c r="H1996" s="880">
        <v>0.98567721523990559</v>
      </c>
      <c r="I1996" s="880">
        <v>1.0056128108897116</v>
      </c>
      <c r="K1996">
        <v>1.0788562183586734</v>
      </c>
      <c r="L1996">
        <v>0</v>
      </c>
      <c r="M1996">
        <v>7.5302392668658046E-4</v>
      </c>
      <c r="N1996">
        <v>6.7409076382430211E-2</v>
      </c>
      <c r="O1996">
        <v>9.0516121411119699E-3</v>
      </c>
      <c r="P1996">
        <v>1.2414903908394687E-2</v>
      </c>
      <c r="Q1996">
        <v>2.9413561376279581E-3</v>
      </c>
      <c r="R1996">
        <v>7.401062825152056E-4</v>
      </c>
      <c r="S1996">
        <v>8.8043123135459297E-2</v>
      </c>
      <c r="T1996">
        <v>0.81862775998894621</v>
      </c>
      <c r="U1996">
        <v>1.7523049270966293E-2</v>
      </c>
      <c r="V1996">
        <v>1.0416655407066754E-2</v>
      </c>
      <c r="W1996">
        <v>4.1262667096201674E-2</v>
      </c>
      <c r="X1996">
        <v>9.1646072096031091E-3</v>
      </c>
      <c r="Y1996">
        <v>2.0143253250359283E-3</v>
      </c>
    </row>
    <row r="1997" spans="1:25">
      <c r="A1997" s="876"/>
      <c r="B1997" s="1202">
        <v>1747</v>
      </c>
      <c r="C1997" s="880">
        <v>1.0348935205514032</v>
      </c>
      <c r="D1997" s="880">
        <v>1.0096008938473022</v>
      </c>
      <c r="E1997" s="880">
        <v>0.97796707186004905</v>
      </c>
      <c r="F1997" s="880">
        <v>0.99778625262074272</v>
      </c>
      <c r="G1997" s="880">
        <v>0.99881554342527634</v>
      </c>
      <c r="H1997" s="880">
        <v>1.0347843862737118</v>
      </c>
      <c r="I1997" s="880">
        <v>0.9898038508677649</v>
      </c>
      <c r="K1997">
        <v>1.0692115103249271</v>
      </c>
      <c r="L1997">
        <v>0</v>
      </c>
      <c r="M1997">
        <v>7.1906276829881977E-4</v>
      </c>
      <c r="N1997">
        <v>6.693856900076621E-2</v>
      </c>
      <c r="O1997">
        <v>8.4481129939863783E-3</v>
      </c>
      <c r="P1997">
        <v>1.2429151325070848E-2</v>
      </c>
      <c r="Q1997">
        <v>2.7795725640048915E-3</v>
      </c>
      <c r="R1997">
        <v>7.0731449231203523E-4</v>
      </c>
      <c r="S1997">
        <v>8.2547276904376715E-2</v>
      </c>
      <c r="T1997">
        <v>0.81762383025262908</v>
      </c>
      <c r="U1997">
        <v>1.6340452935623959E-2</v>
      </c>
      <c r="V1997">
        <v>1.0409857034307008E-2</v>
      </c>
      <c r="W1997">
        <v>4.0624730817505644E-2</v>
      </c>
      <c r="X1997">
        <v>9.1566278907274541E-3</v>
      </c>
      <c r="Y1997">
        <v>1.9250768819136337E-3</v>
      </c>
    </row>
    <row r="1998" spans="1:25">
      <c r="A1998" s="876"/>
      <c r="B1998" s="1202">
        <v>1748</v>
      </c>
      <c r="C1998" s="880">
        <v>1.0037716412405768</v>
      </c>
      <c r="D1998" s="880">
        <v>0.99514540416767483</v>
      </c>
      <c r="E1998" s="880">
        <v>0.98516886652261038</v>
      </c>
      <c r="F1998" s="880">
        <v>1.0080659893189559</v>
      </c>
      <c r="G1998" s="880">
        <v>0.99240393710709884</v>
      </c>
      <c r="H1998" s="880">
        <v>1.0067515652975532</v>
      </c>
      <c r="I1998" s="880">
        <v>0.98866255399212222</v>
      </c>
      <c r="K1998">
        <v>1.0737389936364996</v>
      </c>
      <c r="L1998">
        <v>0</v>
      </c>
      <c r="M1998">
        <v>7.1591852083643308E-4</v>
      </c>
      <c r="N1998">
        <v>6.8127755676243171E-2</v>
      </c>
      <c r="O1998">
        <v>8.777274204218281E-3</v>
      </c>
      <c r="P1998">
        <v>1.252442690874447E-2</v>
      </c>
      <c r="Q1998">
        <v>2.9059414582494575E-3</v>
      </c>
      <c r="R1998">
        <v>7.0390863000444829E-4</v>
      </c>
      <c r="S1998">
        <v>8.4632052830925078E-2</v>
      </c>
      <c r="T1998">
        <v>0.81703788907402819</v>
      </c>
      <c r="U1998">
        <v>1.684708769521746E-2</v>
      </c>
      <c r="V1998">
        <v>1.0412769517498276E-2</v>
      </c>
      <c r="W1998">
        <v>4.1140565645578359E-2</v>
      </c>
      <c r="X1998">
        <v>9.4294332691746332E-3</v>
      </c>
      <c r="Y1998">
        <v>1.9158072474545905E-3</v>
      </c>
    </row>
    <row r="1999" spans="1:25">
      <c r="A1999" s="876"/>
      <c r="B1999" s="1202">
        <v>1749</v>
      </c>
      <c r="C1999" s="880">
        <v>1.0169608273484814</v>
      </c>
      <c r="D1999" s="880">
        <v>0.99369327262466789</v>
      </c>
      <c r="E1999" s="880">
        <v>1.0195631333565016</v>
      </c>
      <c r="F1999" s="880">
        <v>1.0249604224343518</v>
      </c>
      <c r="G1999" s="880">
        <v>0.97420577045619761</v>
      </c>
      <c r="H1999" s="880">
        <v>0.99382723350199076</v>
      </c>
      <c r="I1999" s="880">
        <v>0.98516747014839345</v>
      </c>
      <c r="K1999">
        <v>1.0696137550797231</v>
      </c>
      <c r="L1999">
        <v>0</v>
      </c>
      <c r="M1999">
        <v>6.4931053507907128E-4</v>
      </c>
      <c r="N1999">
        <v>6.8751260451007906E-2</v>
      </c>
      <c r="O1999">
        <v>8.6701924548590516E-3</v>
      </c>
      <c r="P1999">
        <v>1.2783544765790637E-2</v>
      </c>
      <c r="Q1999">
        <v>2.9710074991156831E-3</v>
      </c>
      <c r="R1999">
        <v>6.3827755966113376E-4</v>
      </c>
      <c r="S1999">
        <v>8.2850590320012268E-2</v>
      </c>
      <c r="T1999">
        <v>0.81426383172134775</v>
      </c>
      <c r="U1999">
        <v>1.6628594151500791E-2</v>
      </c>
      <c r="V1999">
        <v>1.0411513467135711E-2</v>
      </c>
      <c r="W1999">
        <v>4.0552972461532957E-2</v>
      </c>
      <c r="X1999">
        <v>1.0004099653581667E-2</v>
      </c>
      <c r="Y1999">
        <v>1.7371811092566122E-3</v>
      </c>
    </row>
    <row r="2000" spans="1:25">
      <c r="A2000" s="876"/>
      <c r="B2000" s="1202">
        <v>1750</v>
      </c>
      <c r="C2000" s="880">
        <v>0.97828367156301332</v>
      </c>
      <c r="D2000" s="880">
        <v>1.0175117898940171</v>
      </c>
      <c r="E2000" s="880">
        <v>0.97892949115152184</v>
      </c>
      <c r="F2000" s="880">
        <v>0.98001897258818638</v>
      </c>
      <c r="G2000" s="880">
        <v>1.0059663904437885</v>
      </c>
      <c r="H2000" s="880">
        <v>1.007685509616244</v>
      </c>
      <c r="I2000" s="880">
        <v>0.99146959384292777</v>
      </c>
      <c r="K2000">
        <v>1.0774620722519386</v>
      </c>
      <c r="L2000">
        <v>0</v>
      </c>
      <c r="M2000">
        <v>7.3619778911229218E-4</v>
      </c>
      <c r="N2000">
        <v>6.8708159847795991E-2</v>
      </c>
      <c r="O2000">
        <v>8.8999028053175534E-3</v>
      </c>
      <c r="P2000">
        <v>1.2498501840044838E-2</v>
      </c>
      <c r="Q2000">
        <v>2.9327866439812808E-3</v>
      </c>
      <c r="R2000">
        <v>7.2383905033130119E-4</v>
      </c>
      <c r="S2000">
        <v>8.6158791607318902E-2</v>
      </c>
      <c r="T2000">
        <v>0.81754542579721312</v>
      </c>
      <c r="U2000">
        <v>1.7286017703775133E-2</v>
      </c>
      <c r="V2000">
        <v>1.0415292787463238E-2</v>
      </c>
      <c r="W2000">
        <v>4.1670819935458597E-2</v>
      </c>
      <c r="X2000">
        <v>9.3886807408269327E-3</v>
      </c>
      <c r="Y2000">
        <v>1.9700512815229885E-3</v>
      </c>
    </row>
    <row r="2001" spans="1:25">
      <c r="A2001" s="876"/>
      <c r="B2001" s="1202">
        <v>1751</v>
      </c>
      <c r="C2001" s="880">
        <v>1.0039150037397722</v>
      </c>
      <c r="D2001" s="880">
        <v>0.98513475889943403</v>
      </c>
      <c r="E2001" s="880">
        <v>0.98743375541533518</v>
      </c>
      <c r="F2001" s="880">
        <v>0.97321681537972116</v>
      </c>
      <c r="G2001" s="880">
        <v>1.0166674492781875</v>
      </c>
      <c r="H2001" s="880">
        <v>0.99783929490729395</v>
      </c>
      <c r="I2001" s="880">
        <v>1.032433850213156</v>
      </c>
      <c r="K2001">
        <v>1.0773622489629644</v>
      </c>
      <c r="L2001">
        <v>0</v>
      </c>
      <c r="M2001">
        <v>7.0992262818078558E-4</v>
      </c>
      <c r="N2001">
        <v>6.8025881290859971E-2</v>
      </c>
      <c r="O2001">
        <v>8.8235100315609046E-3</v>
      </c>
      <c r="P2001">
        <v>1.2595438917205923E-2</v>
      </c>
      <c r="Q2001">
        <v>2.9257382739945798E-3</v>
      </c>
      <c r="R2001">
        <v>6.9791590811683565E-4</v>
      </c>
      <c r="S2001">
        <v>8.8482779886195892E-2</v>
      </c>
      <c r="T2001">
        <v>0.81685397972100837</v>
      </c>
      <c r="U2001">
        <v>1.6844681873422661E-2</v>
      </c>
      <c r="V2001">
        <v>1.0412755687188774E-2</v>
      </c>
      <c r="W2001">
        <v>4.1014822183611903E-2</v>
      </c>
      <c r="X2001">
        <v>9.495170784001656E-3</v>
      </c>
      <c r="Y2001">
        <v>1.8994970339767481E-3</v>
      </c>
    </row>
    <row r="2002" spans="1:25">
      <c r="A2002" s="876"/>
      <c r="B2002" s="1202">
        <v>1752</v>
      </c>
      <c r="C2002" s="880">
        <v>1.0278982133155474</v>
      </c>
      <c r="D2002" s="880">
        <v>1.0209568668188709</v>
      </c>
      <c r="E2002" s="880">
        <v>0.99697564331930844</v>
      </c>
      <c r="F2002" s="880">
        <v>1.0305780483629829</v>
      </c>
      <c r="G2002" s="880">
        <v>1.0021963559200673</v>
      </c>
      <c r="H2002" s="880">
        <v>0.99307189344359803</v>
      </c>
      <c r="I2002" s="880">
        <v>1.0398422347144873</v>
      </c>
      <c r="K2002">
        <v>1.0681274529637779</v>
      </c>
      <c r="L2002">
        <v>0</v>
      </c>
      <c r="M2002">
        <v>6.6360778848792174E-4</v>
      </c>
      <c r="N2002">
        <v>6.5496626349764456E-2</v>
      </c>
      <c r="O2002">
        <v>8.4550965131210305E-3</v>
      </c>
      <c r="P2002">
        <v>1.2627373573607551E-2</v>
      </c>
      <c r="Q2002">
        <v>2.8382672816487579E-3</v>
      </c>
      <c r="R2002">
        <v>6.5230091995391402E-4</v>
      </c>
      <c r="S2002">
        <v>8.5333603352439447E-2</v>
      </c>
      <c r="T2002">
        <v>0.81608108683914382</v>
      </c>
      <c r="U2002">
        <v>1.6451657028769572E-2</v>
      </c>
      <c r="V2002">
        <v>1.0410496311510078E-2</v>
      </c>
      <c r="W2002">
        <v>3.9231471637700098E-2</v>
      </c>
      <c r="X2002">
        <v>9.4377328714310548E-3</v>
      </c>
      <c r="Y2002">
        <v>1.7753480731740815E-3</v>
      </c>
    </row>
    <row r="2003" spans="1:25">
      <c r="A2003" s="876"/>
      <c r="B2003" s="1202">
        <v>1753</v>
      </c>
      <c r="C2003" s="880">
        <v>1.0362527458671253</v>
      </c>
      <c r="D2003" s="880">
        <v>0.99195008961979836</v>
      </c>
      <c r="E2003" s="880">
        <v>1.0035264920422482</v>
      </c>
      <c r="F2003" s="880">
        <v>1.0276422938990344</v>
      </c>
      <c r="G2003" s="880">
        <v>1.0292691853768998</v>
      </c>
      <c r="H2003" s="880">
        <v>1.0037077167287718</v>
      </c>
      <c r="I2003" s="880">
        <v>1.0124765664686883</v>
      </c>
      <c r="K2003">
        <v>1.0688730555082981</v>
      </c>
      <c r="L2003">
        <v>0</v>
      </c>
      <c r="M2003">
        <v>6.6632528801736229E-4</v>
      </c>
      <c r="N2003">
        <v>6.7133633657785019E-2</v>
      </c>
      <c r="O2003">
        <v>8.5167554888891297E-3</v>
      </c>
      <c r="P2003">
        <v>1.2661737208430019E-2</v>
      </c>
      <c r="Q2003">
        <v>2.8716787047794894E-3</v>
      </c>
      <c r="R2003">
        <v>6.5511610498734723E-4</v>
      </c>
      <c r="S2003">
        <v>8.398185638990141E-2</v>
      </c>
      <c r="T2003">
        <v>0.81555225764780159</v>
      </c>
      <c r="U2003">
        <v>1.6319019595747122E-2</v>
      </c>
      <c r="V2003">
        <v>1.0409733820806654E-2</v>
      </c>
      <c r="W2003">
        <v>4.003220374588886E-2</v>
      </c>
      <c r="X2003">
        <v>9.622378352488652E-3</v>
      </c>
      <c r="Y2003">
        <v>1.7830100788095904E-3</v>
      </c>
    </row>
    <row r="2004" spans="1:25">
      <c r="A2004" s="876"/>
      <c r="B2004" s="1202">
        <v>1754</v>
      </c>
      <c r="C2004" s="880">
        <v>0.98207586598368457</v>
      </c>
      <c r="D2004" s="880">
        <v>0.998542794870247</v>
      </c>
      <c r="E2004" s="880">
        <v>0.98706300711873363</v>
      </c>
      <c r="F2004" s="880">
        <v>1.0007095980141836</v>
      </c>
      <c r="G2004" s="880">
        <v>1.0114518672802622</v>
      </c>
      <c r="H2004" s="880">
        <v>0.97749586364446039</v>
      </c>
      <c r="I2004" s="880">
        <v>1.0218627722579678</v>
      </c>
      <c r="K2004">
        <v>1.0769299781248762</v>
      </c>
      <c r="L2004">
        <v>0</v>
      </c>
      <c r="M2004">
        <v>7.0636602433025986E-4</v>
      </c>
      <c r="N2004">
        <v>6.7581593368824952E-2</v>
      </c>
      <c r="O2004">
        <v>8.9548847422881734E-3</v>
      </c>
      <c r="P2004">
        <v>1.2593122420654902E-2</v>
      </c>
      <c r="Q2004">
        <v>2.9711950629567395E-3</v>
      </c>
      <c r="R2004">
        <v>6.9415867190739556E-4</v>
      </c>
      <c r="S2004">
        <v>8.8165559699229276E-2</v>
      </c>
      <c r="T2004">
        <v>0.81688407264668617</v>
      </c>
      <c r="U2004">
        <v>1.7219269357580679E-2</v>
      </c>
      <c r="V2004">
        <v>1.0414909072306191E-2</v>
      </c>
      <c r="W2004">
        <v>4.0757378493271573E-2</v>
      </c>
      <c r="X2004">
        <v>9.5109295379128007E-3</v>
      </c>
      <c r="Y2004">
        <v>1.8892710755872356E-3</v>
      </c>
    </row>
    <row r="2005" spans="1:25">
      <c r="A2005" s="876"/>
      <c r="B2005" s="1202">
        <v>1755</v>
      </c>
      <c r="C2005" s="880">
        <v>0.99419980272737196</v>
      </c>
      <c r="D2005" s="880">
        <v>1.0112508064394858</v>
      </c>
      <c r="E2005" s="880">
        <v>0.97693015740609102</v>
      </c>
      <c r="F2005" s="880">
        <v>0.99999749448671071</v>
      </c>
      <c r="G2005" s="880">
        <v>0.98496297678414302</v>
      </c>
      <c r="H2005" s="880">
        <v>1.0412303512320216</v>
      </c>
      <c r="I2005" s="880">
        <v>0.99474482564097055</v>
      </c>
      <c r="K2005">
        <v>1.079665714446183</v>
      </c>
      <c r="L2005">
        <v>0</v>
      </c>
      <c r="M2005">
        <v>7.5414324223805002E-4</v>
      </c>
      <c r="N2005">
        <v>6.9984828842967736E-2</v>
      </c>
      <c r="O2005">
        <v>8.7862572306712915E-3</v>
      </c>
      <c r="P2005">
        <v>1.2482691604005043E-2</v>
      </c>
      <c r="Q2005">
        <v>2.8881289829234343E-3</v>
      </c>
      <c r="R2005">
        <v>7.418966271550728E-4</v>
      </c>
      <c r="S2005">
        <v>8.6513995384701975E-2</v>
      </c>
      <c r="T2005">
        <v>0.81770833858495573</v>
      </c>
      <c r="U2005">
        <v>1.7009286080686921E-2</v>
      </c>
      <c r="V2005">
        <v>1.0413701944779257E-2</v>
      </c>
      <c r="W2005">
        <v>4.2504118601002797E-2</v>
      </c>
      <c r="X2005">
        <v>9.3674157516130813E-3</v>
      </c>
      <c r="Y2005">
        <v>2.019198052958695E-3</v>
      </c>
    </row>
    <row r="2006" spans="1:25">
      <c r="A2006" s="876"/>
      <c r="B2006" s="1202">
        <v>1756</v>
      </c>
      <c r="C2006" s="880">
        <v>0.98616020294719453</v>
      </c>
      <c r="D2006" s="880">
        <v>0.96927336292526445</v>
      </c>
      <c r="E2006" s="880">
        <v>1.0069745650082012</v>
      </c>
      <c r="F2006" s="880">
        <v>1.0126993921024381</v>
      </c>
      <c r="G2006" s="880">
        <v>1.0097573003544746</v>
      </c>
      <c r="H2006" s="880">
        <v>1.0024586153599817</v>
      </c>
      <c r="I2006" s="880">
        <v>1.0238524005159808</v>
      </c>
      <c r="K2006">
        <v>1.0840579847121767</v>
      </c>
      <c r="L2006">
        <v>0</v>
      </c>
      <c r="M2006">
        <v>7.028469333652265E-4</v>
      </c>
      <c r="N2006">
        <v>7.1577264642192204E-2</v>
      </c>
      <c r="O2006">
        <v>9.0606291156352242E-3</v>
      </c>
      <c r="P2006">
        <v>1.2787558339459376E-2</v>
      </c>
      <c r="Q2006">
        <v>3.0603023908938221E-3</v>
      </c>
      <c r="R2006">
        <v>6.9102889373355851E-4</v>
      </c>
      <c r="S2006">
        <v>9.0228502711631742E-2</v>
      </c>
      <c r="T2006">
        <v>0.81527449166576804</v>
      </c>
      <c r="U2006">
        <v>1.7147953056120088E-2</v>
      </c>
      <c r="V2006">
        <v>1.0414499097417294E-2</v>
      </c>
      <c r="W2006">
        <v>4.2581754499221663E-2</v>
      </c>
      <c r="X2006">
        <v>1.0056094382340347E-2</v>
      </c>
      <c r="Y2006">
        <v>1.8807528511291488E-3</v>
      </c>
    </row>
    <row r="2007" spans="1:25">
      <c r="A2007" s="876"/>
      <c r="B2007" s="1202">
        <v>1757</v>
      </c>
      <c r="C2007" s="880">
        <v>1.0007146382645034</v>
      </c>
      <c r="D2007" s="880">
        <v>0.99371468955819464</v>
      </c>
      <c r="E2007" s="880">
        <v>0.95723827644347459</v>
      </c>
      <c r="F2007" s="880">
        <v>0.9779542776112593</v>
      </c>
      <c r="G2007" s="880">
        <v>0.95899968588874696</v>
      </c>
      <c r="H2007" s="880">
        <v>0.999477797214539</v>
      </c>
      <c r="I2007" s="880">
        <v>0.98413808595347785</v>
      </c>
      <c r="K2007">
        <v>1.07236502980978</v>
      </c>
      <c r="L2007">
        <v>0</v>
      </c>
      <c r="M2007">
        <v>7.5648568397442711E-4</v>
      </c>
      <c r="N2007">
        <v>6.5976501672813603E-2</v>
      </c>
      <c r="O2007">
        <v>8.8108481230930735E-3</v>
      </c>
      <c r="P2007">
        <v>1.2285592243274827E-2</v>
      </c>
      <c r="Q2007">
        <v>2.8347082759800656E-3</v>
      </c>
      <c r="R2007">
        <v>7.4370425689985825E-4</v>
      </c>
      <c r="S2007">
        <v>8.4306110151763744E-2</v>
      </c>
      <c r="T2007">
        <v>0.81932011256402215</v>
      </c>
      <c r="U2007">
        <v>1.6898552513711387E-2</v>
      </c>
      <c r="V2007">
        <v>1.0413065372482527E-2</v>
      </c>
      <c r="W2007">
        <v>4.0626070254470271E-2</v>
      </c>
      <c r="X2007">
        <v>8.8821322400016844E-3</v>
      </c>
      <c r="Y2007">
        <v>2.0241178252390158E-3</v>
      </c>
    </row>
    <row r="2008" spans="1:25">
      <c r="A2008" s="876"/>
      <c r="B2008" s="1202">
        <v>1758</v>
      </c>
      <c r="C2008" s="880">
        <v>0.99337181169639821</v>
      </c>
      <c r="D2008" s="880">
        <v>0.97304200458909629</v>
      </c>
      <c r="E2008" s="880">
        <v>0.98723327481990697</v>
      </c>
      <c r="F2008" s="880">
        <v>0.99255938648250175</v>
      </c>
      <c r="G2008" s="880">
        <v>0.98151353727280466</v>
      </c>
      <c r="H2008" s="880">
        <v>0.96826205813726485</v>
      </c>
      <c r="I2008" s="880">
        <v>1.0030629948523402</v>
      </c>
      <c r="K2008">
        <v>1.0740755774946964</v>
      </c>
      <c r="L2008">
        <v>0</v>
      </c>
      <c r="M2008">
        <v>7.0108532826512044E-4</v>
      </c>
      <c r="N2008">
        <v>6.7102957856113504E-2</v>
      </c>
      <c r="O2008">
        <v>8.9762048603012554E-3</v>
      </c>
      <c r="P2008">
        <v>1.2567106838846577E-2</v>
      </c>
      <c r="Q2008">
        <v>2.9729964407596925E-3</v>
      </c>
      <c r="R2008">
        <v>6.8887704963116795E-4</v>
      </c>
      <c r="S2008">
        <v>8.6331929300285687E-2</v>
      </c>
      <c r="T2008">
        <v>0.81687025176668426</v>
      </c>
      <c r="U2008">
        <v>1.7023463588194454E-2</v>
      </c>
      <c r="V2008">
        <v>1.0413783446791381E-2</v>
      </c>
      <c r="W2008">
        <v>4.0463963997976478E-2</v>
      </c>
      <c r="X2008">
        <v>9.490231436537884E-3</v>
      </c>
      <c r="Y2008">
        <v>1.8748962408376595E-3</v>
      </c>
    </row>
    <row r="2009" spans="1:25">
      <c r="A2009" s="876"/>
      <c r="B2009" s="1202">
        <v>1759</v>
      </c>
      <c r="C2009" s="880">
        <v>1.0318041109690468</v>
      </c>
      <c r="D2009" s="880">
        <v>1.0399873092435483</v>
      </c>
      <c r="E2009" s="880">
        <v>0.99860532833450366</v>
      </c>
      <c r="F2009" s="880">
        <v>1.001031634785593</v>
      </c>
      <c r="G2009" s="880">
        <v>1.0044772603404863</v>
      </c>
      <c r="H2009" s="880">
        <v>1.0079786888114095</v>
      </c>
      <c r="I2009" s="880">
        <v>1.0241446849594469</v>
      </c>
      <c r="K2009">
        <v>1.066205505638681</v>
      </c>
      <c r="L2009">
        <v>0</v>
      </c>
      <c r="M2009">
        <v>6.6220132315464124E-4</v>
      </c>
      <c r="N2009">
        <v>6.5705416793183563E-2</v>
      </c>
      <c r="O2009">
        <v>8.3407759945652218E-3</v>
      </c>
      <c r="P2009">
        <v>1.2614882472223962E-2</v>
      </c>
      <c r="Q2009">
        <v>2.8083084999578518E-3</v>
      </c>
      <c r="R2009">
        <v>6.5107038997156341E-4</v>
      </c>
      <c r="S2009">
        <v>8.3481424303301494E-2</v>
      </c>
      <c r="T2009">
        <v>0.81594939130954969</v>
      </c>
      <c r="U2009">
        <v>1.6389379230201256E-2</v>
      </c>
      <c r="V2009">
        <v>1.0410138296119113E-2</v>
      </c>
      <c r="W2009">
        <v>3.9312604290892762E-2</v>
      </c>
      <c r="X2009">
        <v>9.4323164056633584E-3</v>
      </c>
      <c r="Y2009">
        <v>1.7719989762062234E-3</v>
      </c>
    </row>
    <row r="2010" spans="1:25">
      <c r="A2010" s="876"/>
      <c r="B2010" s="1202">
        <v>1760</v>
      </c>
      <c r="C2010" s="880">
        <v>1.0196431058857385</v>
      </c>
      <c r="D2010" s="880">
        <v>0.99373228386985468</v>
      </c>
      <c r="E2010" s="880">
        <v>1.0246601311433687</v>
      </c>
      <c r="F2010" s="880">
        <v>1.0267864553093193</v>
      </c>
      <c r="G2010" s="880">
        <v>0.99957649098695667</v>
      </c>
      <c r="H2010" s="880">
        <v>0.98738159620672639</v>
      </c>
      <c r="I2010" s="880">
        <v>0.97550529445469569</v>
      </c>
      <c r="K2010">
        <v>1.0673475975674869</v>
      </c>
      <c r="L2010">
        <v>0</v>
      </c>
      <c r="M2010">
        <v>6.364966732462443E-4</v>
      </c>
      <c r="N2010">
        <v>6.8462193720805226E-2</v>
      </c>
      <c r="O2010">
        <v>8.6472034603719983E-3</v>
      </c>
      <c r="P2010">
        <v>1.2807685520666611E-2</v>
      </c>
      <c r="Q2010">
        <v>2.9781738462739933E-3</v>
      </c>
      <c r="R2010">
        <v>6.2561079531971413E-4</v>
      </c>
      <c r="S2010">
        <v>8.1599388664151923E-2</v>
      </c>
      <c r="T2010">
        <v>0.81385616053504461</v>
      </c>
      <c r="U2010">
        <v>1.6584850883939965E-2</v>
      </c>
      <c r="V2010">
        <v>1.0411262000908628E-2</v>
      </c>
      <c r="W2010">
        <v>4.024401833498898E-2</v>
      </c>
      <c r="X2010">
        <v>1.0064840125944188E-2</v>
      </c>
      <c r="Y2010">
        <v>1.7027063523170113E-3</v>
      </c>
    </row>
    <row r="2011" spans="1:25">
      <c r="A2011" s="876"/>
      <c r="B2011" s="1202">
        <v>1761</v>
      </c>
      <c r="C2011" s="880">
        <v>0.99152538237212917</v>
      </c>
      <c r="D2011" s="880">
        <v>0.98136361948621176</v>
      </c>
      <c r="E2011" s="880">
        <v>1.0101125109832123</v>
      </c>
      <c r="F2011" s="880">
        <v>1.0094503442777825</v>
      </c>
      <c r="G2011" s="880">
        <v>0.99688734890647723</v>
      </c>
      <c r="H2011" s="880">
        <v>1.0383395604749635</v>
      </c>
      <c r="I2011" s="880">
        <v>0.99581130490138092</v>
      </c>
      <c r="K2011">
        <v>1.0845330240790765</v>
      </c>
      <c r="L2011">
        <v>0</v>
      </c>
      <c r="M2011">
        <v>7.1455006940643383E-4</v>
      </c>
      <c r="N2011">
        <v>7.3524844318857224E-2</v>
      </c>
      <c r="O2011">
        <v>8.9520847185781422E-3</v>
      </c>
      <c r="P2011">
        <v>1.2782556992706509E-2</v>
      </c>
      <c r="Q2011">
        <v>3.0359879472548392E-3</v>
      </c>
      <c r="R2011">
        <v>7.0293975379173961E-4</v>
      </c>
      <c r="S2011">
        <v>8.8045038856499627E-2</v>
      </c>
      <c r="T2011">
        <v>0.81502206008232225</v>
      </c>
      <c r="U2011">
        <v>1.7055164866778619E-2</v>
      </c>
      <c r="V2011">
        <v>1.0413965687427779E-2</v>
      </c>
      <c r="W2011">
        <v>4.3647123615446683E-2</v>
      </c>
      <c r="X2011">
        <v>1.0152637023027001E-2</v>
      </c>
      <c r="Y2011">
        <v>1.9131702857935551E-3</v>
      </c>
    </row>
    <row r="2012" spans="1:25">
      <c r="A2012" s="876"/>
      <c r="B2012" s="1202">
        <v>1762</v>
      </c>
      <c r="C2012" s="880">
        <v>0.99739171612247401</v>
      </c>
      <c r="D2012" s="880">
        <v>0.99465800855475051</v>
      </c>
      <c r="E2012" s="880">
        <v>1.0011390969721499</v>
      </c>
      <c r="F2012" s="880">
        <v>0.98979580675238266</v>
      </c>
      <c r="G2012" s="880">
        <v>1.0064675051295078</v>
      </c>
      <c r="H2012" s="880">
        <v>0.9674344410291893</v>
      </c>
      <c r="I2012" s="880">
        <v>1.0147609093409138</v>
      </c>
      <c r="K2012">
        <v>1.0719683111800631</v>
      </c>
      <c r="L2012">
        <v>0</v>
      </c>
      <c r="M2012">
        <v>6.6966025542409538E-4</v>
      </c>
      <c r="N2012">
        <v>6.6927250723001624E-2</v>
      </c>
      <c r="O2012">
        <v>8.8357281032736719E-3</v>
      </c>
      <c r="P2012">
        <v>1.2678278818426352E-2</v>
      </c>
      <c r="Q2012">
        <v>2.9727051895834565E-3</v>
      </c>
      <c r="R2012">
        <v>6.5797023962458939E-4</v>
      </c>
      <c r="S2012">
        <v>8.6008823721377484E-2</v>
      </c>
      <c r="T2012">
        <v>0.81574481558170098</v>
      </c>
      <c r="U2012">
        <v>1.6954851932894796E-2</v>
      </c>
      <c r="V2012">
        <v>1.0413389020058892E-2</v>
      </c>
      <c r="W2012">
        <v>3.9974277067571527E-2</v>
      </c>
      <c r="X2012">
        <v>9.6791029455455691E-3</v>
      </c>
      <c r="Y2012">
        <v>1.7907780924269327E-3</v>
      </c>
    </row>
    <row r="2013" spans="1:25">
      <c r="A2013" s="876"/>
      <c r="B2013" s="1202">
        <v>1763</v>
      </c>
      <c r="C2013" s="880">
        <v>0.97034574342171587</v>
      </c>
      <c r="D2013" s="880">
        <v>0.98460519022343729</v>
      </c>
      <c r="E2013" s="880">
        <v>0.97830126932134087</v>
      </c>
      <c r="F2013" s="880">
        <v>0.98131381618944735</v>
      </c>
      <c r="G2013" s="880">
        <v>0.9858972670820102</v>
      </c>
      <c r="H2013" s="880">
        <v>0.9901848754275131</v>
      </c>
      <c r="I2013" s="880">
        <v>1.046423322372372</v>
      </c>
      <c r="K2013">
        <v>1.0853252523804982</v>
      </c>
      <c r="L2013">
        <v>0</v>
      </c>
      <c r="M2013">
        <v>7.4317601443143165E-4</v>
      </c>
      <c r="N2013">
        <v>6.9205792909829145E-2</v>
      </c>
      <c r="O2013">
        <v>9.1313824888234855E-3</v>
      </c>
      <c r="P2013">
        <v>1.2580419074194585E-2</v>
      </c>
      <c r="Q2013">
        <v>2.9997720853717031E-3</v>
      </c>
      <c r="R2013">
        <v>7.3051022965896521E-4</v>
      </c>
      <c r="S2013">
        <v>9.2511587359394923E-2</v>
      </c>
      <c r="T2013">
        <v>0.81759660097004394</v>
      </c>
      <c r="U2013">
        <v>1.7427426235024916E-2</v>
      </c>
      <c r="V2013">
        <v>1.0416105700439623E-2</v>
      </c>
      <c r="W2013">
        <v>4.1990947848666867E-2</v>
      </c>
      <c r="X2013">
        <v>9.4896754609826058E-3</v>
      </c>
      <c r="Y2013">
        <v>1.9882080324992155E-3</v>
      </c>
    </row>
    <row r="2014" spans="1:25">
      <c r="A2014" s="876"/>
      <c r="B2014" s="1202">
        <v>1764</v>
      </c>
      <c r="C2014" s="880">
        <v>0.98913364577151774</v>
      </c>
      <c r="D2014" s="880">
        <v>0.98984472162359372</v>
      </c>
      <c r="E2014" s="880">
        <v>1.0040374229127937</v>
      </c>
      <c r="F2014" s="880">
        <v>1.0111372639394267</v>
      </c>
      <c r="G2014" s="880">
        <v>0.98940009351756508</v>
      </c>
      <c r="H2014" s="880">
        <v>0.98832943400129336</v>
      </c>
      <c r="I2014" s="880">
        <v>0.97279781880456095</v>
      </c>
      <c r="K2014">
        <v>1.0740889980527484</v>
      </c>
      <c r="L2014">
        <v>0</v>
      </c>
      <c r="M2014">
        <v>6.8740905345537136E-4</v>
      </c>
      <c r="N2014">
        <v>6.9349733206974754E-2</v>
      </c>
      <c r="O2014">
        <v>8.9325899934230967E-3</v>
      </c>
      <c r="P2014">
        <v>1.2678041402469253E-2</v>
      </c>
      <c r="Q2014">
        <v>3.0129536652121298E-3</v>
      </c>
      <c r="R2014">
        <v>6.7566709820417073E-4</v>
      </c>
      <c r="S2014">
        <v>8.4080376246692401E-2</v>
      </c>
      <c r="T2014">
        <v>0.81551107313640947</v>
      </c>
      <c r="U2014">
        <v>1.7096404452769585E-2</v>
      </c>
      <c r="V2014">
        <v>1.0414202760780415E-2</v>
      </c>
      <c r="W2014">
        <v>4.133926108807396E-2</v>
      </c>
      <c r="X2014">
        <v>9.8471609474805061E-3</v>
      </c>
      <c r="Y2014">
        <v>1.8389431077126903E-3</v>
      </c>
    </row>
    <row r="2015" spans="1:25">
      <c r="A2015" s="876"/>
      <c r="B2015" s="1202">
        <v>1765</v>
      </c>
      <c r="C2015" s="880">
        <v>0.95251458132403322</v>
      </c>
      <c r="D2015" s="880">
        <v>1.0115975831538948</v>
      </c>
      <c r="E2015" s="880">
        <v>0.98734092963854103</v>
      </c>
      <c r="F2015" s="880">
        <v>1.0129183591385873</v>
      </c>
      <c r="G2015" s="880">
        <v>1.0074181069692412</v>
      </c>
      <c r="H2015" s="880">
        <v>0.95910094439885851</v>
      </c>
      <c r="I2015" s="880">
        <v>1.0387466297648389</v>
      </c>
      <c r="K2015">
        <v>1.0813055628696113</v>
      </c>
      <c r="L2015">
        <v>0</v>
      </c>
      <c r="M2015">
        <v>7.0924985113105324E-4</v>
      </c>
      <c r="N2015">
        <v>6.7892191423186296E-2</v>
      </c>
      <c r="O2015">
        <v>9.1690984306367716E-3</v>
      </c>
      <c r="P2015">
        <v>1.2642340460415961E-2</v>
      </c>
      <c r="Q2015">
        <v>3.0460737074503026E-3</v>
      </c>
      <c r="R2015">
        <v>6.9674568146673138E-4</v>
      </c>
      <c r="S2015">
        <v>9.1095655909258832E-2</v>
      </c>
      <c r="T2015">
        <v>0.81686151377351324</v>
      </c>
      <c r="U2015">
        <v>1.7753669284984508E-2</v>
      </c>
      <c r="V2015">
        <v>1.0417981168676441E-2</v>
      </c>
      <c r="W2015">
        <v>4.0936839663442096E-2</v>
      </c>
      <c r="X2015">
        <v>9.6063911549106561E-3</v>
      </c>
      <c r="Y2015">
        <v>1.8963120628002757E-3</v>
      </c>
    </row>
    <row r="2016" spans="1:25">
      <c r="A2016" s="876"/>
      <c r="B2016" s="1202">
        <v>1766</v>
      </c>
      <c r="C2016" s="880">
        <v>0.97390419691460306</v>
      </c>
      <c r="D2016" s="880">
        <v>1.040134361573207</v>
      </c>
      <c r="E2016" s="880">
        <v>1.0159474292090813</v>
      </c>
      <c r="F2016" s="880">
        <v>1.0303257353665551</v>
      </c>
      <c r="G2016" s="880">
        <v>1.0136374735566465</v>
      </c>
      <c r="H2016" s="880">
        <v>0.97526051680508019</v>
      </c>
      <c r="I2016" s="880">
        <v>1.0219170527446202</v>
      </c>
      <c r="K2016">
        <v>1.0747906015311595</v>
      </c>
      <c r="L2016">
        <v>0</v>
      </c>
      <c r="M2016">
        <v>6.5437858746349208E-4</v>
      </c>
      <c r="N2016">
        <v>6.8487281717500445E-2</v>
      </c>
      <c r="O2016">
        <v>8.8359825883944036E-3</v>
      </c>
      <c r="P2016">
        <v>1.2821728867786261E-2</v>
      </c>
      <c r="Q2016">
        <v>3.0271779363317632E-3</v>
      </c>
      <c r="R2016">
        <v>6.4301001977679301E-4</v>
      </c>
      <c r="S2016">
        <v>8.7043840523039193E-2</v>
      </c>
      <c r="T2016">
        <v>0.81455356218420794</v>
      </c>
      <c r="U2016">
        <v>1.7363749863206733E-2</v>
      </c>
      <c r="V2016">
        <v>1.0415739645092884E-2</v>
      </c>
      <c r="W2016">
        <v>4.0496100152155733E-2</v>
      </c>
      <c r="X2016">
        <v>1.0006745315492754E-2</v>
      </c>
      <c r="Y2016">
        <v>1.7500613056363789E-3</v>
      </c>
    </row>
    <row r="2017" spans="1:25">
      <c r="A2017" s="876"/>
      <c r="B2017" s="1202">
        <v>1767</v>
      </c>
      <c r="C2017" s="880">
        <v>0.98434326628565683</v>
      </c>
      <c r="D2017" s="880">
        <v>0.97456618862349242</v>
      </c>
      <c r="E2017" s="880">
        <v>0.97978558199367516</v>
      </c>
      <c r="F2017" s="880">
        <v>0.99781474653338764</v>
      </c>
      <c r="G2017" s="880">
        <v>0.99646863110308614</v>
      </c>
      <c r="H2017" s="880">
        <v>0.99666995850611462</v>
      </c>
      <c r="I2017" s="880">
        <v>0.97502035943183496</v>
      </c>
      <c r="K2017">
        <v>1.0777341197053201</v>
      </c>
      <c r="L2017">
        <v>0</v>
      </c>
      <c r="M2017">
        <v>7.3913895811486313E-4</v>
      </c>
      <c r="N2017">
        <v>6.9157638845576616E-2</v>
      </c>
      <c r="O2017">
        <v>9.0509591222311808E-3</v>
      </c>
      <c r="P2017">
        <v>1.249732324953225E-2</v>
      </c>
      <c r="Q2017">
        <v>2.9755446350111466E-3</v>
      </c>
      <c r="R2017">
        <v>7.266334401671669E-4</v>
      </c>
      <c r="S2017">
        <v>8.5641902955891219E-2</v>
      </c>
      <c r="T2017">
        <v>0.81747570982506168</v>
      </c>
      <c r="U2017">
        <v>1.7179605372588502E-2</v>
      </c>
      <c r="V2017">
        <v>1.0414681056585991E-2</v>
      </c>
      <c r="W2017">
        <v>4.1918504885407964E-2</v>
      </c>
      <c r="X2017">
        <v>9.4570985858946459E-3</v>
      </c>
      <c r="Y2017">
        <v>1.9776566894858533E-3</v>
      </c>
    </row>
    <row r="2018" spans="1:25">
      <c r="A2018" s="876"/>
      <c r="B2018" s="1202">
        <v>1768</v>
      </c>
      <c r="C2018" s="880">
        <v>1.0146249643695009</v>
      </c>
      <c r="D2018" s="880">
        <v>0.99786783582499006</v>
      </c>
      <c r="E2018" s="880">
        <v>0.9782762282972246</v>
      </c>
      <c r="F2018" s="880">
        <v>1.0291576725265148</v>
      </c>
      <c r="G2018" s="880">
        <v>0.99483432889000944</v>
      </c>
      <c r="H2018" s="880">
        <v>1.0305016781450476</v>
      </c>
      <c r="I2018" s="880">
        <v>1.0244729796887546</v>
      </c>
      <c r="K2018">
        <v>1.0774184819884529</v>
      </c>
      <c r="L2018">
        <v>0</v>
      </c>
      <c r="M2018">
        <v>7.3446966889694496E-4</v>
      </c>
      <c r="N2018">
        <v>6.8434973506488209E-2</v>
      </c>
      <c r="O2018">
        <v>8.6707391350890443E-3</v>
      </c>
      <c r="P2018">
        <v>1.2502644092920075E-2</v>
      </c>
      <c r="Q2018">
        <v>2.8512313592284934E-3</v>
      </c>
      <c r="R2018">
        <v>7.2243012064095028E-4</v>
      </c>
      <c r="S2018">
        <v>8.749975550102157E-2</v>
      </c>
      <c r="T2018">
        <v>0.81759864109737068</v>
      </c>
      <c r="U2018">
        <v>1.6666876392560294E-2</v>
      </c>
      <c r="V2018">
        <v>1.0411733539646518E-2</v>
      </c>
      <c r="W2018">
        <v>4.1523971837059685E-2</v>
      </c>
      <c r="X2018">
        <v>9.3037384359650512E-3</v>
      </c>
      <c r="Y2018">
        <v>1.9662166393594016E-3</v>
      </c>
    </row>
    <row r="2019" spans="1:25">
      <c r="A2019" s="876"/>
      <c r="B2019" s="1202">
        <v>1769</v>
      </c>
      <c r="C2019" s="880">
        <v>1.0010659806824693</v>
      </c>
      <c r="D2019" s="880">
        <v>0.9962768783466025</v>
      </c>
      <c r="E2019" s="880">
        <v>1.0074266338998503</v>
      </c>
      <c r="F2019" s="880">
        <v>1.0012330901715969</v>
      </c>
      <c r="G2019" s="880">
        <v>1.0205562106736357</v>
      </c>
      <c r="H2019" s="880">
        <v>1.0116814055791057</v>
      </c>
      <c r="I2019" s="880">
        <v>0.97218842082668444</v>
      </c>
      <c r="K2019">
        <v>1.0742074690047327</v>
      </c>
      <c r="L2019">
        <v>0</v>
      </c>
      <c r="M2019">
        <v>6.8793840569187899E-4</v>
      </c>
      <c r="N2019">
        <v>7.0166063140714025E-2</v>
      </c>
      <c r="O2019">
        <v>8.7956634667648494E-3</v>
      </c>
      <c r="P2019">
        <v>1.2696462351845657E-2</v>
      </c>
      <c r="Q2019">
        <v>2.9783055449764035E-3</v>
      </c>
      <c r="R2019">
        <v>6.7645317114762064E-4</v>
      </c>
      <c r="S2019">
        <v>8.357102075680907E-2</v>
      </c>
      <c r="T2019">
        <v>0.81523810439477007</v>
      </c>
      <c r="U2019">
        <v>1.6892621657589143E-2</v>
      </c>
      <c r="V2019">
        <v>1.0413031277864183E-2</v>
      </c>
      <c r="W2019">
        <v>4.1729376850732913E-2</v>
      </c>
      <c r="X2019">
        <v>9.8972222580735111E-3</v>
      </c>
      <c r="Y2019">
        <v>1.8410825391358854E-3</v>
      </c>
    </row>
    <row r="2020" spans="1:25">
      <c r="A2020" s="876"/>
      <c r="B2020" s="1202">
        <v>1770</v>
      </c>
      <c r="C2020" s="880">
        <v>0.99169764345875255</v>
      </c>
      <c r="D2020" s="880">
        <v>0.96639840215037032</v>
      </c>
      <c r="E2020" s="880">
        <v>1.0044843547341271</v>
      </c>
      <c r="F2020" s="880">
        <v>0.9969615126042094</v>
      </c>
      <c r="G2020" s="880">
        <v>0.95585198466168031</v>
      </c>
      <c r="H2020" s="880">
        <v>1.02054144341908</v>
      </c>
      <c r="I2020" s="880">
        <v>0.98431224328899192</v>
      </c>
      <c r="K2020">
        <v>1.0822671318783434</v>
      </c>
      <c r="L2020">
        <v>0</v>
      </c>
      <c r="M2020">
        <v>7.1640918237076908E-4</v>
      </c>
      <c r="N2020">
        <v>7.241782767633019E-2</v>
      </c>
      <c r="O2020">
        <v>9.024364996293624E-3</v>
      </c>
      <c r="P2020">
        <v>1.2721702085415993E-2</v>
      </c>
      <c r="Q2020">
        <v>3.0397738049768885E-3</v>
      </c>
      <c r="R2020">
        <v>7.0457916016043232E-4</v>
      </c>
      <c r="S2020">
        <v>8.7041337688011144E-2</v>
      </c>
      <c r="T2020">
        <v>0.81547505466292725</v>
      </c>
      <c r="U2020">
        <v>1.7052202329505411E-2</v>
      </c>
      <c r="V2020">
        <v>1.0413948656736833E-2</v>
      </c>
      <c r="W2020">
        <v>4.3154987109572149E-2</v>
      </c>
      <c r="X2020">
        <v>1.0020130681285447E-2</v>
      </c>
      <c r="Y2020">
        <v>1.9176322094989727E-3</v>
      </c>
    </row>
    <row r="2021" spans="1:25">
      <c r="A2021" s="876"/>
      <c r="B2021" s="1202">
        <v>1771</v>
      </c>
      <c r="C2021" s="880">
        <v>0.98142215557371948</v>
      </c>
      <c r="D2021" s="880">
        <v>1.0109033121615945</v>
      </c>
      <c r="E2021" s="880">
        <v>1.006963634919771</v>
      </c>
      <c r="F2021" s="880">
        <v>0.99674506557312792</v>
      </c>
      <c r="G2021" s="880">
        <v>0.98566111412669166</v>
      </c>
      <c r="H2021" s="880">
        <v>0.99626371231999</v>
      </c>
      <c r="I2021" s="880">
        <v>0.98878598971705634</v>
      </c>
      <c r="K2021">
        <v>1.0762865390645662</v>
      </c>
      <c r="L2021">
        <v>0</v>
      </c>
      <c r="M2021">
        <v>6.8634842136578041E-4</v>
      </c>
      <c r="N2021">
        <v>6.988352716068981E-2</v>
      </c>
      <c r="O2021">
        <v>8.9022798221891943E-3</v>
      </c>
      <c r="P2021">
        <v>1.272401156598457E-2</v>
      </c>
      <c r="Q2021">
        <v>3.0162865792169053E-3</v>
      </c>
      <c r="R2021">
        <v>6.7469996270779549E-4</v>
      </c>
      <c r="S2021">
        <v>8.5519789394019455E-2</v>
      </c>
      <c r="T2021">
        <v>0.8152753715206188</v>
      </c>
      <c r="U2021">
        <v>1.7230738851688944E-2</v>
      </c>
      <c r="V2021">
        <v>1.0414975006804715E-2</v>
      </c>
      <c r="W2021">
        <v>4.1574449083842627E-2</v>
      </c>
      <c r="X2021">
        <v>9.9204476544597579E-3</v>
      </c>
      <c r="Y2021">
        <v>1.8363108837076883E-3</v>
      </c>
    </row>
    <row r="2022" spans="1:25">
      <c r="A2022" s="876"/>
      <c r="B2022" s="1202">
        <v>1772</v>
      </c>
      <c r="C2022" s="880">
        <v>0.99708977684968358</v>
      </c>
      <c r="D2022" s="880">
        <v>1.0107523581080107</v>
      </c>
      <c r="E2022" s="880">
        <v>0.98028900474253144</v>
      </c>
      <c r="F2022" s="880">
        <v>0.98434546019956537</v>
      </c>
      <c r="G2022" s="880">
        <v>0.98688216022748199</v>
      </c>
      <c r="H2022" s="880">
        <v>1.0218524111012115</v>
      </c>
      <c r="I2022" s="880">
        <v>1.0109696646164974</v>
      </c>
      <c r="K2022">
        <v>1.0776460159534338</v>
      </c>
      <c r="L2022">
        <v>0</v>
      </c>
      <c r="M2022">
        <v>7.3297089350206172E-4</v>
      </c>
      <c r="N2022">
        <v>6.871420919469387E-2</v>
      </c>
      <c r="O2022">
        <v>8.7630922971079425E-3</v>
      </c>
      <c r="P2022">
        <v>1.2516759675822754E-2</v>
      </c>
      <c r="Q2022">
        <v>2.8902668183605133E-3</v>
      </c>
      <c r="R2022">
        <v>7.2084281636740637E-4</v>
      </c>
      <c r="S2022">
        <v>8.6993270579551113E-2</v>
      </c>
      <c r="T2022">
        <v>0.81743472504446679</v>
      </c>
      <c r="U2022">
        <v>1.6959986210451094E-2</v>
      </c>
      <c r="V2022">
        <v>1.0413418535398693E-2</v>
      </c>
      <c r="W2022">
        <v>4.1635182797759213E-2</v>
      </c>
      <c r="X2022">
        <v>9.3753363565739524E-3</v>
      </c>
      <c r="Y2022">
        <v>1.9618965203815281E-3</v>
      </c>
    </row>
    <row r="2023" spans="1:25">
      <c r="A2023" s="876"/>
      <c r="B2023" s="1202">
        <v>1773</v>
      </c>
      <c r="C2023" s="880">
        <v>1.0105339003735601</v>
      </c>
      <c r="D2023" s="880">
        <v>1.0009960837188552</v>
      </c>
      <c r="E2023" s="880">
        <v>1.0429818226083651</v>
      </c>
      <c r="F2023" s="880">
        <v>1.008612259621581</v>
      </c>
      <c r="G2023" s="880">
        <v>1.0090828565702534</v>
      </c>
      <c r="H2023" s="880">
        <v>0.96020737482393659</v>
      </c>
      <c r="I2023" s="880">
        <v>1.0278651628695861</v>
      </c>
      <c r="K2023">
        <v>1.069383408494488</v>
      </c>
      <c r="L2023">
        <v>0</v>
      </c>
      <c r="M2023">
        <v>5.9847725512205264E-4</v>
      </c>
      <c r="N2023">
        <v>6.8104769120285166E-2</v>
      </c>
      <c r="O2023">
        <v>8.6913219622447285E-3</v>
      </c>
      <c r="P2023">
        <v>1.3014760453820487E-2</v>
      </c>
      <c r="Q2023">
        <v>3.0496313898957812E-3</v>
      </c>
      <c r="R2023">
        <v>5.8794630678521171E-4</v>
      </c>
      <c r="S2023">
        <v>8.5452372344997821E-2</v>
      </c>
      <c r="T2023">
        <v>0.81239806708559703</v>
      </c>
      <c r="U2023">
        <v>1.6734350880956182E-2</v>
      </c>
      <c r="V2023">
        <v>1.0412121429165696E-2</v>
      </c>
      <c r="W2023">
        <v>3.9546674162798605E-2</v>
      </c>
      <c r="X2023">
        <v>1.038967458244225E-2</v>
      </c>
      <c r="Y2023">
        <v>1.600196030621404E-3</v>
      </c>
    </row>
    <row r="2024" spans="1:25">
      <c r="A2024" s="876"/>
      <c r="B2024" s="1202">
        <v>1774</v>
      </c>
      <c r="C2024" s="880">
        <v>0.99399722025625703</v>
      </c>
      <c r="D2024" s="880">
        <v>1.0262881721156687</v>
      </c>
      <c r="E2024" s="880">
        <v>0.97450964813338825</v>
      </c>
      <c r="F2024" s="880">
        <v>0.99753098315001432</v>
      </c>
      <c r="G2024" s="880">
        <v>0.97505351371952409</v>
      </c>
      <c r="H2024" s="880">
        <v>1.0148715337209844</v>
      </c>
      <c r="I2024" s="880">
        <v>1.030936787458961</v>
      </c>
      <c r="K2024">
        <v>1.0771909846316849</v>
      </c>
      <c r="L2024">
        <v>0</v>
      </c>
      <c r="M2024">
        <v>7.3317479651508431E-4</v>
      </c>
      <c r="N2024">
        <v>6.7497408783118523E-2</v>
      </c>
      <c r="O2024">
        <v>8.7192669655508127E-3</v>
      </c>
      <c r="P2024">
        <v>1.248302477955541E-2</v>
      </c>
      <c r="Q2024">
        <v>2.8621778096869508E-3</v>
      </c>
      <c r="R2024">
        <v>7.2094631788033889E-4</v>
      </c>
      <c r="S2024">
        <v>8.8059518819776153E-2</v>
      </c>
      <c r="T2024">
        <v>0.8179057510861929</v>
      </c>
      <c r="U2024">
        <v>1.7012752673083668E-2</v>
      </c>
      <c r="V2024">
        <v>1.0413721873123874E-2</v>
      </c>
      <c r="W2024">
        <v>4.1062542301556509E-2</v>
      </c>
      <c r="X2024">
        <v>9.2248698012949108E-3</v>
      </c>
      <c r="Y2024">
        <v>1.9621782173804649E-3</v>
      </c>
    </row>
    <row r="2025" spans="1:25">
      <c r="A2025" s="876"/>
      <c r="B2025" s="1202">
        <v>1775</v>
      </c>
      <c r="C2025" s="880">
        <v>0.99594383685240695</v>
      </c>
      <c r="D2025" s="880">
        <v>1.0394652939548155</v>
      </c>
      <c r="E2025" s="880">
        <v>1.0299500268147184</v>
      </c>
      <c r="F2025" s="880">
        <v>1.0280315060858856</v>
      </c>
      <c r="G2025" s="880">
        <v>1.0127913686196648</v>
      </c>
      <c r="H2025" s="880">
        <v>1.0132191735484029</v>
      </c>
      <c r="I2025" s="880">
        <v>1.0124118719465738</v>
      </c>
      <c r="K2025">
        <v>1.0750759237071026</v>
      </c>
      <c r="L2025">
        <v>0</v>
      </c>
      <c r="M2025">
        <v>6.456391645957314E-4</v>
      </c>
      <c r="N2025">
        <v>7.0622968188081767E-2</v>
      </c>
      <c r="O2025">
        <v>8.6434019568693322E-3</v>
      </c>
      <c r="P2025">
        <v>1.2914091423331966E-2</v>
      </c>
      <c r="Q2025">
        <v>3.0025009043520355E-3</v>
      </c>
      <c r="R2025">
        <v>6.3484314641559358E-4</v>
      </c>
      <c r="S2025">
        <v>8.570435418448695E-2</v>
      </c>
      <c r="T2025">
        <v>0.81343399813436013</v>
      </c>
      <c r="U2025">
        <v>1.6979500490104875E-2</v>
      </c>
      <c r="V2025">
        <v>1.0413530716828023E-2</v>
      </c>
      <c r="W2025">
        <v>4.1367008041119875E-2</v>
      </c>
      <c r="X2025">
        <v>1.0277531917191492E-2</v>
      </c>
      <c r="Y2025">
        <v>1.7278337685562744E-3</v>
      </c>
    </row>
    <row r="2026" spans="1:25">
      <c r="A2026" s="876"/>
      <c r="B2026" s="1202">
        <v>1776</v>
      </c>
      <c r="C2026" s="880">
        <v>1.0291814992810053</v>
      </c>
      <c r="D2026" s="880">
        <v>0.99988099294750121</v>
      </c>
      <c r="E2026" s="880">
        <v>1.0109389358061982</v>
      </c>
      <c r="F2026" s="880">
        <v>0.98412635541038906</v>
      </c>
      <c r="G2026" s="880">
        <v>0.99122469859727258</v>
      </c>
      <c r="H2026" s="880">
        <v>1.0144568102748741</v>
      </c>
      <c r="I2026" s="880">
        <v>1.0157848145361601</v>
      </c>
      <c r="K2026">
        <v>1.0716595707149861</v>
      </c>
      <c r="L2026">
        <v>0</v>
      </c>
      <c r="M2026">
        <v>6.6475059814896024E-4</v>
      </c>
      <c r="N2026">
        <v>6.8548332178280033E-2</v>
      </c>
      <c r="O2026">
        <v>8.5389187375118879E-3</v>
      </c>
      <c r="P2026">
        <v>1.2737257453993997E-2</v>
      </c>
      <c r="Q2026">
        <v>2.902326509026637E-3</v>
      </c>
      <c r="R2026">
        <v>6.5367991281444111E-4</v>
      </c>
      <c r="S2026">
        <v>8.4878473038474803E-2</v>
      </c>
      <c r="T2026">
        <v>0.81495563421691786</v>
      </c>
      <c r="U2026">
        <v>1.6431143464749717E-2</v>
      </c>
      <c r="V2026">
        <v>1.0410378385510585E-2</v>
      </c>
      <c r="W2026">
        <v>4.0670042025659887E-2</v>
      </c>
      <c r="X2026">
        <v>9.8190341530375261E-3</v>
      </c>
      <c r="Y2026">
        <v>1.7791012371555621E-3</v>
      </c>
    </row>
    <row r="2027" spans="1:25">
      <c r="A2027" s="876"/>
      <c r="B2027" s="1202">
        <v>1777</v>
      </c>
      <c r="C2027" s="880">
        <v>0.98836724715121371</v>
      </c>
      <c r="D2027" s="880">
        <v>1.0226106354534963</v>
      </c>
      <c r="E2027" s="880">
        <v>1.0029641499848885</v>
      </c>
      <c r="F2027" s="880">
        <v>0.98294925085691087</v>
      </c>
      <c r="G2027" s="880">
        <v>1.0104756328093307</v>
      </c>
      <c r="H2027" s="880">
        <v>0.99540186980333978</v>
      </c>
      <c r="I2027" s="880">
        <v>1.0211651061822287</v>
      </c>
      <c r="K2027">
        <v>1.0759151033230225</v>
      </c>
      <c r="L2027">
        <v>0</v>
      </c>
      <c r="M2027">
        <v>6.8251277169602807E-4</v>
      </c>
      <c r="N2027">
        <v>6.8631943067367085E-2</v>
      </c>
      <c r="O2027">
        <v>8.7856978687834743E-3</v>
      </c>
      <c r="P2027">
        <v>1.2711507157353441E-2</v>
      </c>
      <c r="Q2027">
        <v>2.9674081793211048E-3</v>
      </c>
      <c r="R2027">
        <v>6.7090964533718476E-4</v>
      </c>
      <c r="S2027">
        <v>8.7167609069089144E-2</v>
      </c>
      <c r="T2027">
        <v>0.81559759651145369</v>
      </c>
      <c r="U2027">
        <v>1.7109661327501614E-2</v>
      </c>
      <c r="V2027">
        <v>1.0414278970365497E-2</v>
      </c>
      <c r="W2027">
        <v>4.0941369634079246E-2</v>
      </c>
      <c r="X2027">
        <v>9.7736397747648241E-3</v>
      </c>
      <c r="Y2027">
        <v>1.8259948893026706E-3</v>
      </c>
    </row>
    <row r="2028" spans="1:25">
      <c r="A2028" s="876"/>
      <c r="B2028" s="1202">
        <v>1778</v>
      </c>
      <c r="C2028" s="880">
        <v>0.98358213658239824</v>
      </c>
      <c r="D2028" s="880">
        <v>0.99181784034781428</v>
      </c>
      <c r="E2028" s="880">
        <v>0.99866397812338448</v>
      </c>
      <c r="F2028" s="880">
        <v>1.0267681327392959</v>
      </c>
      <c r="G2028" s="880">
        <v>0.99181201689939014</v>
      </c>
      <c r="H2028" s="880">
        <v>1.0138533508170089</v>
      </c>
      <c r="I2028" s="880">
        <v>0.98621623152404048</v>
      </c>
      <c r="K2028">
        <v>1.0801734030346968</v>
      </c>
      <c r="L2028">
        <v>0</v>
      </c>
      <c r="M2028">
        <v>7.1645356175786292E-4</v>
      </c>
      <c r="N2028">
        <v>7.111266182679131E-2</v>
      </c>
      <c r="O2028">
        <v>8.9734643894788073E-3</v>
      </c>
      <c r="P2028">
        <v>1.2668299185997253E-2</v>
      </c>
      <c r="Q2028">
        <v>3.0108980957306978E-3</v>
      </c>
      <c r="R2028">
        <v>7.0452182766259498E-4</v>
      </c>
      <c r="S2028">
        <v>8.6555253064936749E-2</v>
      </c>
      <c r="T2028">
        <v>0.81594465347710621</v>
      </c>
      <c r="U2028">
        <v>1.7192899542391928E-2</v>
      </c>
      <c r="V2028">
        <v>1.0414757480568675E-2</v>
      </c>
      <c r="W2028">
        <v>4.2546136621655919E-2</v>
      </c>
      <c r="X2028">
        <v>9.848834914794E-3</v>
      </c>
      <c r="Y2028">
        <v>1.9174761693395114E-3</v>
      </c>
    </row>
    <row r="2029" spans="1:25">
      <c r="A2029" s="876"/>
      <c r="B2029" s="1202">
        <v>1779</v>
      </c>
      <c r="C2029" s="880">
        <v>1.0045834077957969</v>
      </c>
      <c r="D2029" s="880">
        <v>1.0182073474358946</v>
      </c>
      <c r="E2029" s="880">
        <v>1.026626649788561</v>
      </c>
      <c r="F2029" s="880">
        <v>1.0036670926738585</v>
      </c>
      <c r="G2029" s="880">
        <v>0.9985121849037174</v>
      </c>
      <c r="H2029" s="880">
        <v>1.0084021961600647</v>
      </c>
      <c r="I2029" s="880">
        <v>1.0073251400502856</v>
      </c>
      <c r="K2029">
        <v>1.0740874213467284</v>
      </c>
      <c r="L2029">
        <v>0</v>
      </c>
      <c r="M2029">
        <v>6.4860905671075282E-4</v>
      </c>
      <c r="N2029">
        <v>7.021566091174615E-2</v>
      </c>
      <c r="O2029">
        <v>8.6637532167413572E-3</v>
      </c>
      <c r="P2029">
        <v>1.2878071750269518E-2</v>
      </c>
      <c r="Q2029">
        <v>2.9951190896715532E-3</v>
      </c>
      <c r="R2029">
        <v>6.3772788889579208E-4</v>
      </c>
      <c r="S2029">
        <v>8.5241442986452129E-2</v>
      </c>
      <c r="T2029">
        <v>0.8136991101493769</v>
      </c>
      <c r="U2029">
        <v>1.6833474189123621E-2</v>
      </c>
      <c r="V2029">
        <v>1.0412691257752158E-2</v>
      </c>
      <c r="W2029">
        <v>4.1220236011125427E-2</v>
      </c>
      <c r="X2029">
        <v>1.0203057865650756E-2</v>
      </c>
      <c r="Y2029">
        <v>1.7356850866322715E-3</v>
      </c>
    </row>
    <row r="2030" spans="1:25">
      <c r="A2030" s="876"/>
      <c r="B2030" s="1202">
        <v>1780</v>
      </c>
      <c r="C2030" s="880">
        <v>1.0315148599707149</v>
      </c>
      <c r="D2030" s="880">
        <v>1.0096088778339662</v>
      </c>
      <c r="E2030" s="880">
        <v>0.96455958148907928</v>
      </c>
      <c r="F2030" s="880">
        <v>1.0262130954159574</v>
      </c>
      <c r="G2030" s="880">
        <v>1.0168912420988721</v>
      </c>
      <c r="H2030" s="880">
        <v>0.9935758520938397</v>
      </c>
      <c r="I2030" s="880">
        <v>1.022463969828826</v>
      </c>
      <c r="K2030">
        <v>1.0664078641727368</v>
      </c>
      <c r="L2030">
        <v>0</v>
      </c>
      <c r="M2030">
        <v>7.1243157864651322E-4</v>
      </c>
      <c r="N2030">
        <v>6.3562281292583178E-2</v>
      </c>
      <c r="O2030">
        <v>8.4757485341811836E-3</v>
      </c>
      <c r="P2030">
        <v>1.233790588687385E-2</v>
      </c>
      <c r="Q2030">
        <v>2.7507393856833263E-3</v>
      </c>
      <c r="R2030">
        <v>7.0030887217555147E-4</v>
      </c>
      <c r="S2030">
        <v>8.4096972683786103E-2</v>
      </c>
      <c r="T2030">
        <v>0.81871933930040064</v>
      </c>
      <c r="U2030">
        <v>1.6393975038258259E-2</v>
      </c>
      <c r="V2030">
        <v>1.0410164715967854E-2</v>
      </c>
      <c r="W2030">
        <v>3.8938466411962046E-2</v>
      </c>
      <c r="X2030">
        <v>8.8283837362080758E-3</v>
      </c>
      <c r="Y2030">
        <v>1.9060098933041825E-3</v>
      </c>
    </row>
    <row r="2031" spans="1:25">
      <c r="A2031" s="876"/>
      <c r="B2031" s="1202">
        <v>1781</v>
      </c>
      <c r="C2031" s="880">
        <v>0.95047159199270781</v>
      </c>
      <c r="D2031" s="880">
        <v>0.98411012576976464</v>
      </c>
      <c r="E2031" s="880">
        <v>0.97940912364708188</v>
      </c>
      <c r="F2031" s="880">
        <v>0.9989539935070898</v>
      </c>
      <c r="G2031" s="880">
        <v>0.98796019172285399</v>
      </c>
      <c r="H2031" s="880">
        <v>0.98766413807622255</v>
      </c>
      <c r="I2031" s="880">
        <v>0.98709927516171181</v>
      </c>
      <c r="K2031">
        <v>1.0846355433095725</v>
      </c>
      <c r="L2031">
        <v>0</v>
      </c>
      <c r="M2031">
        <v>7.5522880063953952E-4</v>
      </c>
      <c r="N2031">
        <v>7.0568288181971278E-2</v>
      </c>
      <c r="O2031">
        <v>9.3248220023278774E-3</v>
      </c>
      <c r="P2031">
        <v>1.2547820682534599E-2</v>
      </c>
      <c r="Q2031">
        <v>3.0666568771186647E-3</v>
      </c>
      <c r="R2031">
        <v>7.4232523254630953E-4</v>
      </c>
      <c r="S2031">
        <v>8.901958685014863E-2</v>
      </c>
      <c r="T2031">
        <v>0.81750636375075036</v>
      </c>
      <c r="U2031">
        <v>1.7791829875208033E-2</v>
      </c>
      <c r="V2031">
        <v>1.0418200541855046E-2</v>
      </c>
      <c r="W2031">
        <v>4.2784719424602984E-2</v>
      </c>
      <c r="X2031">
        <v>9.5997941156023073E-3</v>
      </c>
      <c r="Y2031">
        <v>2.0203645755439126E-3</v>
      </c>
    </row>
    <row r="2032" spans="1:25">
      <c r="A2032" s="876"/>
      <c r="B2032" s="1202">
        <v>1782</v>
      </c>
      <c r="C2032" s="880">
        <v>1.0292015882019248</v>
      </c>
      <c r="D2032" s="880">
        <v>0.9878725524714338</v>
      </c>
      <c r="E2032" s="880">
        <v>1.0114875831196164</v>
      </c>
      <c r="F2032" s="880">
        <v>1.0031061324716806</v>
      </c>
      <c r="G2032" s="880">
        <v>1.0131383276883337</v>
      </c>
      <c r="H2032" s="880">
        <v>1.0298215512254538</v>
      </c>
      <c r="I2032" s="880">
        <v>0.99816531570238332</v>
      </c>
      <c r="K2032">
        <v>1.0738208624020236</v>
      </c>
      <c r="L2032">
        <v>0</v>
      </c>
      <c r="M2032">
        <v>6.7837415296681514E-4</v>
      </c>
      <c r="N2032">
        <v>7.0091329263214208E-2</v>
      </c>
      <c r="O2032">
        <v>8.593979480067503E-3</v>
      </c>
      <c r="P2032">
        <v>1.2735846464322237E-2</v>
      </c>
      <c r="Q2032">
        <v>2.9199993448499359E-3</v>
      </c>
      <c r="R2032">
        <v>6.6725503573687782E-4</v>
      </c>
      <c r="S2032">
        <v>8.4444873386767927E-2</v>
      </c>
      <c r="T2032">
        <v>0.81491154822270717</v>
      </c>
      <c r="U2032">
        <v>1.6430822746296196E-2</v>
      </c>
      <c r="V2032">
        <v>1.0410376541801485E-2</v>
      </c>
      <c r="W2032">
        <v>4.1570022283072362E-2</v>
      </c>
      <c r="X2032">
        <v>9.9071355394423632E-3</v>
      </c>
      <c r="Y2032">
        <v>1.8160482467123671E-3</v>
      </c>
    </row>
    <row r="2033" spans="1:25">
      <c r="A2033" s="876"/>
      <c r="B2033" s="1202">
        <v>1783</v>
      </c>
      <c r="C2033" s="880">
        <v>0.98280574010701127</v>
      </c>
      <c r="D2033" s="880">
        <v>0.98731804029769832</v>
      </c>
      <c r="E2033" s="880">
        <v>1.0045812917654429</v>
      </c>
      <c r="F2033" s="880">
        <v>1.0284999034409013</v>
      </c>
      <c r="G2033" s="880">
        <v>0.9730585551051556</v>
      </c>
      <c r="H2033" s="880">
        <v>1.0134892072507742</v>
      </c>
      <c r="I2033" s="880">
        <v>1.007225003626413</v>
      </c>
      <c r="K2033">
        <v>1.0829061383100123</v>
      </c>
      <c r="L2033">
        <v>0</v>
      </c>
      <c r="M2033">
        <v>7.0959958919633386E-4</v>
      </c>
      <c r="N2033">
        <v>7.17408004715194E-2</v>
      </c>
      <c r="O2033">
        <v>9.0023784469806887E-3</v>
      </c>
      <c r="P2033">
        <v>1.2746755119655855E-2</v>
      </c>
      <c r="Q2033">
        <v>3.0375669386198977E-3</v>
      </c>
      <c r="R2033">
        <v>6.9778171894175093E-4</v>
      </c>
      <c r="S2033">
        <v>8.8656418991440888E-2</v>
      </c>
      <c r="T2033">
        <v>0.815467243352337</v>
      </c>
      <c r="U2033">
        <v>1.7206481582119289E-2</v>
      </c>
      <c r="V2033">
        <v>1.0414835559424625E-2</v>
      </c>
      <c r="W2033">
        <v>4.2748708758430003E-2</v>
      </c>
      <c r="X2033">
        <v>9.9976351444602107E-3</v>
      </c>
      <c r="Y2033">
        <v>1.8991318152776172E-3</v>
      </c>
    </row>
    <row r="2034" spans="1:25">
      <c r="A2034" s="876"/>
      <c r="B2034" s="1202">
        <v>1784</v>
      </c>
      <c r="C2034" s="880">
        <v>0.97717576060274913</v>
      </c>
      <c r="D2034" s="880">
        <v>1.004129385377236</v>
      </c>
      <c r="E2034" s="880">
        <v>1.019478396429583</v>
      </c>
      <c r="F2034" s="880">
        <v>1.0024777867145038</v>
      </c>
      <c r="G2034" s="880">
        <v>0.96890279363319531</v>
      </c>
      <c r="H2034" s="880">
        <v>0.99871834906264279</v>
      </c>
      <c r="I2034" s="880">
        <v>1.0033116345751909</v>
      </c>
      <c r="K2034">
        <v>1.0801505954886659</v>
      </c>
      <c r="L2034">
        <v>0</v>
      </c>
      <c r="M2034">
        <v>6.754290257580699E-4</v>
      </c>
      <c r="N2034">
        <v>7.1503061528219697E-2</v>
      </c>
      <c r="O2034">
        <v>8.973056736228481E-3</v>
      </c>
      <c r="P2034">
        <v>1.2857132979520899E-2</v>
      </c>
      <c r="Q2034">
        <v>3.0769319101207567E-3</v>
      </c>
      <c r="R2034">
        <v>6.6399968675731971E-4</v>
      </c>
      <c r="S2034">
        <v>8.7535201708700355E-2</v>
      </c>
      <c r="T2034">
        <v>0.8142706166880963</v>
      </c>
      <c r="U2034">
        <v>1.7305616397526518E-2</v>
      </c>
      <c r="V2034">
        <v>1.0415405454162545E-2</v>
      </c>
      <c r="W2034">
        <v>4.2178536431891997E-2</v>
      </c>
      <c r="X2034">
        <v>1.023927673328337E-2</v>
      </c>
      <c r="Y2034">
        <v>1.8071882599155122E-3</v>
      </c>
    </row>
    <row r="2035" spans="1:25">
      <c r="A2035" s="876"/>
      <c r="B2035" s="1202">
        <v>1785</v>
      </c>
      <c r="C2035" s="880">
        <v>0.97098692886148208</v>
      </c>
      <c r="D2035" s="880">
        <v>0.99776868152791587</v>
      </c>
      <c r="E2035" s="880">
        <v>1.0026648875655186</v>
      </c>
      <c r="F2035" s="880">
        <v>0.99473577404217972</v>
      </c>
      <c r="G2035" s="880">
        <v>1.0229427614954061</v>
      </c>
      <c r="H2035" s="880">
        <v>1.0163506404652107</v>
      </c>
      <c r="I2035" s="880">
        <v>1.0003488111367762</v>
      </c>
      <c r="K2035">
        <v>1.0843816444930514</v>
      </c>
      <c r="L2035">
        <v>0</v>
      </c>
      <c r="M2035">
        <v>7.1913648752184168E-4</v>
      </c>
      <c r="N2035">
        <v>7.2275411216317018E-2</v>
      </c>
      <c r="O2035">
        <v>9.0608992026614613E-3</v>
      </c>
      <c r="P2035">
        <v>1.2735014343833513E-2</v>
      </c>
      <c r="Q2035">
        <v>3.0538494553160934E-3</v>
      </c>
      <c r="R2035">
        <v>7.0718423894073766E-4</v>
      </c>
      <c r="S2035">
        <v>8.8761675556096792E-2</v>
      </c>
      <c r="T2035">
        <v>0.81562172894572516</v>
      </c>
      <c r="U2035">
        <v>1.7415918137827759E-2</v>
      </c>
      <c r="V2035">
        <v>1.0416039544024145E-2</v>
      </c>
      <c r="W2035">
        <v>4.3123638715364045E-2</v>
      </c>
      <c r="X2035">
        <v>1.0004699249291718E-2</v>
      </c>
      <c r="Y2035">
        <v>1.9247223751749742E-3</v>
      </c>
    </row>
    <row r="2036" spans="1:25">
      <c r="A2036" s="876"/>
      <c r="B2036" s="1202">
        <v>1786</v>
      </c>
      <c r="C2036" s="880">
        <v>0.98881517791430151</v>
      </c>
      <c r="D2036" s="880">
        <v>0.9619578636647802</v>
      </c>
      <c r="E2036" s="880">
        <v>0.99578984732774634</v>
      </c>
      <c r="F2036" s="880">
        <v>0.98431320890030982</v>
      </c>
      <c r="G2036" s="880">
        <v>1.0096024378789901</v>
      </c>
      <c r="H2036" s="880">
        <v>1.0071255017649028</v>
      </c>
      <c r="I2036" s="880">
        <v>1.0130524403433454</v>
      </c>
      <c r="K2036">
        <v>1.0836931489060933</v>
      </c>
      <c r="L2036">
        <v>0</v>
      </c>
      <c r="M2036">
        <v>7.2393262240789415E-4</v>
      </c>
      <c r="N2036">
        <v>7.1209924546673992E-2</v>
      </c>
      <c r="O2036">
        <v>9.0730050552630549E-3</v>
      </c>
      <c r="P2036">
        <v>1.2683718668958363E-2</v>
      </c>
      <c r="Q2036">
        <v>3.0285082129803127E-3</v>
      </c>
      <c r="R2036">
        <v>7.1182328413286762E-4</v>
      </c>
      <c r="S2036">
        <v>8.9549556837539263E-2</v>
      </c>
      <c r="T2036">
        <v>0.81617696819671737</v>
      </c>
      <c r="U2036">
        <v>1.7101910694394679E-2</v>
      </c>
      <c r="V2036">
        <v>1.0414234414424134E-2</v>
      </c>
      <c r="W2036">
        <v>4.2688358949951807E-2</v>
      </c>
      <c r="X2036">
        <v>9.8417243405380592E-3</v>
      </c>
      <c r="Y2036">
        <v>1.9373483269271153E-3</v>
      </c>
    </row>
    <row r="2037" spans="1:25">
      <c r="A2037" s="876"/>
      <c r="B2037" s="1202">
        <v>1787</v>
      </c>
      <c r="C2037" s="880">
        <v>1.0173208339039577</v>
      </c>
      <c r="D2037" s="880">
        <v>0.99143857941275981</v>
      </c>
      <c r="E2037" s="880">
        <v>0.96374333293712422</v>
      </c>
      <c r="F2037" s="880">
        <v>0.96783517714732925</v>
      </c>
      <c r="G2037" s="880">
        <v>1.0023262149634311</v>
      </c>
      <c r="H2037" s="880">
        <v>1.0400145702403703</v>
      </c>
      <c r="I2037" s="880">
        <v>1.001679520909375</v>
      </c>
      <c r="K2037">
        <v>1.0765378298234471</v>
      </c>
      <c r="L2037">
        <v>0</v>
      </c>
      <c r="M2037">
        <v>7.6478141581260534E-4</v>
      </c>
      <c r="N2037">
        <v>6.811346269765732E-2</v>
      </c>
      <c r="O2037">
        <v>8.6776371283525493E-3</v>
      </c>
      <c r="P2037">
        <v>1.2358528807212315E-2</v>
      </c>
      <c r="Q2037">
        <v>2.8100909572451329E-3</v>
      </c>
      <c r="R2037">
        <v>7.523655696634327E-4</v>
      </c>
      <c r="S2037">
        <v>8.5938271750556447E-2</v>
      </c>
      <c r="T2037">
        <v>0.81878622979438431</v>
      </c>
      <c r="U2037">
        <v>1.6622709672678183E-2</v>
      </c>
      <c r="V2037">
        <v>1.0411479639125806E-2</v>
      </c>
      <c r="W2037">
        <v>4.1750440613563297E-2</v>
      </c>
      <c r="X2037">
        <v>9.0337035454410748E-3</v>
      </c>
      <c r="Y2037">
        <v>2.0476910633804805E-3</v>
      </c>
    </row>
    <row r="2038" spans="1:25">
      <c r="A2038" s="876"/>
      <c r="B2038" s="1202">
        <v>1788</v>
      </c>
      <c r="C2038" s="880">
        <v>0.97478466599441937</v>
      </c>
      <c r="D2038" s="880">
        <v>0.9913387896995296</v>
      </c>
      <c r="E2038" s="880">
        <v>0.9945597324625296</v>
      </c>
      <c r="F2038" s="880">
        <v>0.99700799309680166</v>
      </c>
      <c r="G2038" s="880">
        <v>0.97810321758161323</v>
      </c>
      <c r="H2038" s="880">
        <v>1.0146690587047802</v>
      </c>
      <c r="I2038" s="880">
        <v>0.95679267416309688</v>
      </c>
      <c r="K2038">
        <v>1.0797207007125191</v>
      </c>
      <c r="L2038">
        <v>0</v>
      </c>
      <c r="M2038">
        <v>7.2996615938095491E-4</v>
      </c>
      <c r="N2038">
        <v>7.1535397482832525E-2</v>
      </c>
      <c r="O2038">
        <v>9.0567851623330441E-3</v>
      </c>
      <c r="P2038">
        <v>1.26119061895362E-2</v>
      </c>
      <c r="Q2038">
        <v>3.0262109791861238E-3</v>
      </c>
      <c r="R2038">
        <v>7.1781959356015E-4</v>
      </c>
      <c r="S2038">
        <v>8.4779933681595365E-2</v>
      </c>
      <c r="T2038">
        <v>0.81627648354549465</v>
      </c>
      <c r="U2038">
        <v>1.7348066148230933E-2</v>
      </c>
      <c r="V2038">
        <v>1.0415649484369835E-2</v>
      </c>
      <c r="W2038">
        <v>4.2919702874550422E-2</v>
      </c>
      <c r="X2038">
        <v>9.809043425704005E-3</v>
      </c>
      <c r="Y2038">
        <v>1.9536683045053068E-3</v>
      </c>
    </row>
    <row r="2039" spans="1:25">
      <c r="A2039" s="876"/>
      <c r="B2039" s="1202">
        <v>1789</v>
      </c>
      <c r="C2039" s="880">
        <v>0.96170077472108217</v>
      </c>
      <c r="D2039" s="880">
        <v>0.96197916379822623</v>
      </c>
      <c r="E2039" s="880">
        <v>1.0026663779733465</v>
      </c>
      <c r="F2039" s="880">
        <v>1.023093959251403</v>
      </c>
      <c r="G2039" s="880">
        <v>0.98665676697439308</v>
      </c>
      <c r="H2039" s="880">
        <v>0.99239426556473898</v>
      </c>
      <c r="I2039" s="880">
        <v>1.0449764668112438</v>
      </c>
      <c r="K2039">
        <v>1.0912971405526357</v>
      </c>
      <c r="L2039">
        <v>0</v>
      </c>
      <c r="M2039">
        <v>7.2290352135861427E-4</v>
      </c>
      <c r="N2039">
        <v>7.2628102549243873E-2</v>
      </c>
      <c r="O2039">
        <v>9.3287007950574163E-3</v>
      </c>
      <c r="P2039">
        <v>1.2814314532486651E-2</v>
      </c>
      <c r="Q2039">
        <v>3.1354702859133156E-3</v>
      </c>
      <c r="R2039">
        <v>7.1063187958658421E-4</v>
      </c>
      <c r="S2039">
        <v>9.4390537057374713E-2</v>
      </c>
      <c r="T2039">
        <v>0.81562160875212919</v>
      </c>
      <c r="U2039">
        <v>1.7584085726516017E-2</v>
      </c>
      <c r="V2039">
        <v>1.0417006286368807E-2</v>
      </c>
      <c r="W2039">
        <v>4.3334030400541138E-2</v>
      </c>
      <c r="X2039">
        <v>1.0121450092278205E-2</v>
      </c>
      <c r="Y2039">
        <v>1.9341057164985356E-3</v>
      </c>
    </row>
    <row r="2040" spans="1:25">
      <c r="A2040" s="876"/>
      <c r="B2040" s="1202">
        <v>1790</v>
      </c>
      <c r="C2040" s="880">
        <v>1.0212978690280319</v>
      </c>
      <c r="D2040" s="880">
        <v>0.98724073044350535</v>
      </c>
      <c r="E2040" s="880">
        <v>0.99288182319064178</v>
      </c>
      <c r="F2040" s="880">
        <v>0.97247175927521912</v>
      </c>
      <c r="G2040" s="880">
        <v>1.0240510699091938</v>
      </c>
      <c r="H2040" s="880">
        <v>0.9838863651414349</v>
      </c>
      <c r="I2040" s="880">
        <v>0.9996880673581664</v>
      </c>
      <c r="K2040">
        <v>1.0683686326388393</v>
      </c>
      <c r="L2040">
        <v>0</v>
      </c>
      <c r="M2040">
        <v>6.7947064495355839E-4</v>
      </c>
      <c r="N2040">
        <v>6.6205360664706059E-2</v>
      </c>
      <c r="O2040">
        <v>8.663446187187368E-3</v>
      </c>
      <c r="P2040">
        <v>1.2571558201645504E-2</v>
      </c>
      <c r="Q2040">
        <v>2.8889883340205836E-3</v>
      </c>
      <c r="R2040">
        <v>6.6781414312701412E-4</v>
      </c>
      <c r="S2040">
        <v>8.363677975245315E-2</v>
      </c>
      <c r="T2040">
        <v>0.81641230792113606</v>
      </c>
      <c r="U2040">
        <v>1.6557979193715756E-2</v>
      </c>
      <c r="V2040">
        <v>1.0411107524050079E-2</v>
      </c>
      <c r="W2040">
        <v>3.9767626554415743E-2</v>
      </c>
      <c r="X2040">
        <v>9.4475648546159096E-3</v>
      </c>
      <c r="Y2040">
        <v>1.817569952718616E-3</v>
      </c>
    </row>
    <row r="2041" spans="1:25">
      <c r="A2041" s="876"/>
      <c r="B2041" s="1202">
        <v>1791</v>
      </c>
      <c r="C2041" s="880">
        <v>0.97798627483696299</v>
      </c>
      <c r="D2041" s="880">
        <v>0.97018669999424245</v>
      </c>
      <c r="E2041" s="880">
        <v>1.0090457484262509</v>
      </c>
      <c r="F2041" s="880">
        <v>0.96276299871090565</v>
      </c>
      <c r="G2041" s="880">
        <v>0.9840221095451811</v>
      </c>
      <c r="H2041" s="880">
        <v>1.0023748652727336</v>
      </c>
      <c r="I2041" s="880">
        <v>0.98967340189960085</v>
      </c>
      <c r="K2041">
        <v>1.0829447355246047</v>
      </c>
      <c r="L2041">
        <v>0</v>
      </c>
      <c r="M2041">
        <v>7.0521949027572788E-4</v>
      </c>
      <c r="N2041">
        <v>7.228268968958225E-2</v>
      </c>
      <c r="O2041">
        <v>9.1317559706884498E-3</v>
      </c>
      <c r="P2041">
        <v>1.2774923970895895E-2</v>
      </c>
      <c r="Q2041">
        <v>3.0909459561361961E-3</v>
      </c>
      <c r="R2041">
        <v>6.9335973530973525E-4</v>
      </c>
      <c r="S2041">
        <v>8.7900899412381536E-2</v>
      </c>
      <c r="T2041">
        <v>0.81510783803792186</v>
      </c>
      <c r="U2041">
        <v>1.729127422444806E-2</v>
      </c>
      <c r="V2041">
        <v>1.0415323005540071E-2</v>
      </c>
      <c r="W2041">
        <v>4.2940857278737199E-2</v>
      </c>
      <c r="X2041">
        <v>1.0132991099701935E-2</v>
      </c>
      <c r="Y2041">
        <v>1.887096633537783E-3</v>
      </c>
    </row>
    <row r="2042" spans="1:25">
      <c r="A2042" s="876"/>
      <c r="B2042" s="1202">
        <v>1792</v>
      </c>
      <c r="C2042" s="880">
        <v>0.99993884180092252</v>
      </c>
      <c r="D2042" s="880">
        <v>0.97479323341030444</v>
      </c>
      <c r="E2042" s="880">
        <v>1.0210196778713958</v>
      </c>
      <c r="F2042" s="880">
        <v>0.9831532566673733</v>
      </c>
      <c r="G2042" s="880">
        <v>1.0170926816549184</v>
      </c>
      <c r="H2042" s="880">
        <v>0.99431173763035907</v>
      </c>
      <c r="I2042" s="880">
        <v>0.97751686669903848</v>
      </c>
      <c r="K2042">
        <v>1.0751373242104658</v>
      </c>
      <c r="L2042">
        <v>0</v>
      </c>
      <c r="M2042">
        <v>6.6542970438293202E-4</v>
      </c>
      <c r="N2042">
        <v>7.077986700605246E-2</v>
      </c>
      <c r="O2042">
        <v>8.9086861440809371E-3</v>
      </c>
      <c r="P2042">
        <v>1.2821414587601242E-2</v>
      </c>
      <c r="Q2042">
        <v>3.0527428613257731E-3</v>
      </c>
      <c r="R2042">
        <v>6.5414437895022998E-4</v>
      </c>
      <c r="S2042">
        <v>8.4428661064819124E-2</v>
      </c>
      <c r="T2042">
        <v>0.81414724307791819</v>
      </c>
      <c r="U2042">
        <v>1.6911663152814217E-2</v>
      </c>
      <c r="V2042">
        <v>1.0413140741405182E-2</v>
      </c>
      <c r="W2042">
        <v>4.1708542401250936E-2</v>
      </c>
      <c r="X2042">
        <v>1.0196283137763211E-2</v>
      </c>
      <c r="Y2042">
        <v>1.7803653608659592E-3</v>
      </c>
    </row>
    <row r="2043" spans="1:25">
      <c r="A2043" s="876"/>
      <c r="B2043" s="1202">
        <v>1793</v>
      </c>
      <c r="C2043" s="880">
        <v>1.0299524042793806</v>
      </c>
      <c r="D2043" s="880">
        <v>1.0293002552604198</v>
      </c>
      <c r="E2043" s="880">
        <v>0.96532572156383545</v>
      </c>
      <c r="F2043" s="880">
        <v>1.0033844421955911</v>
      </c>
      <c r="G2043" s="880">
        <v>0.99960894993565785</v>
      </c>
      <c r="H2043" s="880">
        <v>1.0153760593328554</v>
      </c>
      <c r="I2043" s="880">
        <v>0.95750271132880527</v>
      </c>
      <c r="K2043">
        <v>1.062407519125891</v>
      </c>
      <c r="L2043">
        <v>0</v>
      </c>
      <c r="M2043">
        <v>7.2056924439725277E-4</v>
      </c>
      <c r="N2043">
        <v>6.4464544833364473E-2</v>
      </c>
      <c r="O2043">
        <v>8.4017748251047839E-3</v>
      </c>
      <c r="P2043">
        <v>1.2274721128103896E-2</v>
      </c>
      <c r="Q2043">
        <v>2.7327810509066783E-3</v>
      </c>
      <c r="R2043">
        <v>7.0855442837456446E-4</v>
      </c>
      <c r="S2043">
        <v>7.883353788959524E-2</v>
      </c>
      <c r="T2043">
        <v>0.81865657555934745</v>
      </c>
      <c r="U2043">
        <v>1.641884498321464E-2</v>
      </c>
      <c r="V2043">
        <v>1.0410307685425203E-2</v>
      </c>
      <c r="W2043">
        <v>3.9469983995487512E-2</v>
      </c>
      <c r="X2043">
        <v>8.8280104122333038E-3</v>
      </c>
      <c r="Y2043">
        <v>1.9284515791310251E-3</v>
      </c>
    </row>
    <row r="2044" spans="1:25">
      <c r="A2044" s="876"/>
      <c r="B2044" s="1202">
        <v>1794</v>
      </c>
      <c r="C2044" s="880">
        <v>1.0208076487885744</v>
      </c>
      <c r="D2044" s="880">
        <v>1.0064268090096486</v>
      </c>
      <c r="E2044" s="880">
        <v>0.9937931175694541</v>
      </c>
      <c r="F2044" s="880">
        <v>1.0119704250986681</v>
      </c>
      <c r="G2044" s="880">
        <v>0.95547239306069098</v>
      </c>
      <c r="H2044" s="880">
        <v>0.994180843391828</v>
      </c>
      <c r="I2044" s="880">
        <v>1.0321197167212994</v>
      </c>
      <c r="K2044">
        <v>1.0707009934935032</v>
      </c>
      <c r="L2044">
        <v>0</v>
      </c>
      <c r="M2044">
        <v>6.7860740483105129E-4</v>
      </c>
      <c r="N2044">
        <v>6.6319433471466863E-2</v>
      </c>
      <c r="O2044">
        <v>8.5790691949078866E-3</v>
      </c>
      <c r="P2044">
        <v>1.2610540389121948E-2</v>
      </c>
      <c r="Q2044">
        <v>2.8676080111918354E-3</v>
      </c>
      <c r="R2044">
        <v>6.6706994132961707E-4</v>
      </c>
      <c r="S2044">
        <v>8.5938211633038927E-2</v>
      </c>
      <c r="T2044">
        <v>0.81633852807996288</v>
      </c>
      <c r="U2044">
        <v>1.6565930796091477E-2</v>
      </c>
      <c r="V2044">
        <v>1.0411153235300286E-2</v>
      </c>
      <c r="W2044">
        <v>3.9811199011156609E-2</v>
      </c>
      <c r="X2044">
        <v>9.4553126540133075E-3</v>
      </c>
      <c r="Y2044">
        <v>1.8155444807521578E-3</v>
      </c>
    </row>
    <row r="2045" spans="1:25">
      <c r="A2045" s="876"/>
      <c r="B2045" s="1202">
        <v>1795</v>
      </c>
      <c r="C2045" s="880">
        <v>1.0420000806435843</v>
      </c>
      <c r="D2045" s="880">
        <v>0.99412859498660089</v>
      </c>
      <c r="E2045" s="880">
        <v>1.0098883059336397</v>
      </c>
      <c r="F2045" s="880">
        <v>0.99086676915820782</v>
      </c>
      <c r="G2045" s="880">
        <v>0.99505062952917045</v>
      </c>
      <c r="H2045" s="880">
        <v>0.96436408511744043</v>
      </c>
      <c r="I2045" s="880">
        <v>0.99753139722434236</v>
      </c>
      <c r="K2045">
        <v>1.0604682581880223</v>
      </c>
      <c r="L2045">
        <v>0</v>
      </c>
      <c r="M2045">
        <v>6.2746038214562497E-4</v>
      </c>
      <c r="N2045">
        <v>6.4435777516243936E-2</v>
      </c>
      <c r="O2045">
        <v>8.4598704865512034E-3</v>
      </c>
      <c r="P2045">
        <v>1.2670270650242316E-2</v>
      </c>
      <c r="Q2045">
        <v>2.8712016183073119E-3</v>
      </c>
      <c r="R2045">
        <v>6.1647259138554857E-4</v>
      </c>
      <c r="S2045">
        <v>8.0844976330621127E-2</v>
      </c>
      <c r="T2045">
        <v>0.81504008510689874</v>
      </c>
      <c r="U2045">
        <v>1.6229009171964379E-2</v>
      </c>
      <c r="V2045">
        <v>1.0409216379313838E-2</v>
      </c>
      <c r="W2045">
        <v>3.8257338233252447E-2</v>
      </c>
      <c r="X2045">
        <v>9.5836653117710151E-3</v>
      </c>
      <c r="Y2045">
        <v>1.6778351736163298E-3</v>
      </c>
    </row>
    <row r="2046" spans="1:25">
      <c r="A2046" s="876"/>
      <c r="B2046" s="1202">
        <v>1796</v>
      </c>
      <c r="C2046" s="880">
        <v>0.99299855098042211</v>
      </c>
      <c r="D2046" s="880">
        <v>1.024000536340538</v>
      </c>
      <c r="E2046" s="880">
        <v>0.9977307531823536</v>
      </c>
      <c r="F2046" s="880">
        <v>1.0307772688004138</v>
      </c>
      <c r="G2046" s="880">
        <v>0.9727047379170275</v>
      </c>
      <c r="H2046" s="880">
        <v>0.95626889208108246</v>
      </c>
      <c r="I2046" s="880">
        <v>0.99005537973646807</v>
      </c>
      <c r="K2046">
        <v>1.0659046215383225</v>
      </c>
      <c r="L2046">
        <v>0</v>
      </c>
      <c r="M2046">
        <v>6.5937981121451047E-4</v>
      </c>
      <c r="N2046">
        <v>6.5188659009546027E-2</v>
      </c>
      <c r="O2046">
        <v>8.7384040231296527E-3</v>
      </c>
      <c r="P2046">
        <v>1.2605500386985078E-2</v>
      </c>
      <c r="Q2046">
        <v>2.9362470799640284E-3</v>
      </c>
      <c r="R2046">
        <v>6.4771007090535257E-4</v>
      </c>
      <c r="S2046">
        <v>8.2683607568888998E-2</v>
      </c>
      <c r="T2046">
        <v>0.81602005487998419</v>
      </c>
      <c r="U2046">
        <v>1.7029862580621023E-2</v>
      </c>
      <c r="V2046">
        <v>1.0413820232577448E-2</v>
      </c>
      <c r="W2046">
        <v>3.9026797142248562E-2</v>
      </c>
      <c r="X2046">
        <v>9.5104850792489225E-3</v>
      </c>
      <c r="Y2046">
        <v>1.7628532954368796E-3</v>
      </c>
    </row>
    <row r="2047" spans="1:25">
      <c r="A2047" s="876"/>
      <c r="B2047" s="1202">
        <v>1797</v>
      </c>
      <c r="C2047" s="880">
        <v>1.014157405996257</v>
      </c>
      <c r="D2047" s="880">
        <v>0.99864685528271091</v>
      </c>
      <c r="E2047" s="880">
        <v>0.96128723223643708</v>
      </c>
      <c r="F2047" s="880">
        <v>1.0377290332785531</v>
      </c>
      <c r="G2047" s="880">
        <v>1.0139461910465479</v>
      </c>
      <c r="H2047" s="880">
        <v>0.99162571803928889</v>
      </c>
      <c r="I2047" s="880">
        <v>0.99837249610731316</v>
      </c>
      <c r="K2047">
        <v>1.0689741043544434</v>
      </c>
      <c r="L2047">
        <v>0</v>
      </c>
      <c r="M2047">
        <v>7.324141017372983E-4</v>
      </c>
      <c r="N2047">
        <v>6.4680099507776964E-2</v>
      </c>
      <c r="O2047">
        <v>8.6711267696040224E-3</v>
      </c>
      <c r="P2047">
        <v>1.231153609811351E-2</v>
      </c>
      <c r="Q2047">
        <v>2.8024323208114118E-3</v>
      </c>
      <c r="R2047">
        <v>7.1993685250753897E-4</v>
      </c>
      <c r="S2047">
        <v>8.3907316520576897E-2</v>
      </c>
      <c r="T2047">
        <v>0.81898763939988062</v>
      </c>
      <c r="U2047">
        <v>1.6674560345334388E-2</v>
      </c>
      <c r="V2047">
        <v>1.0411777712263736E-2</v>
      </c>
      <c r="W2047">
        <v>3.9714408648495424E-2</v>
      </c>
      <c r="X2047">
        <v>8.8662534954097039E-3</v>
      </c>
      <c r="Y2047">
        <v>1.9594307854058747E-3</v>
      </c>
    </row>
    <row r="2048" spans="1:25">
      <c r="A2048" s="876"/>
      <c r="B2048" s="1202">
        <v>1798</v>
      </c>
      <c r="C2048" s="880">
        <v>0.97894009661674908</v>
      </c>
      <c r="D2048" s="880">
        <v>0.99276639283563273</v>
      </c>
      <c r="E2048" s="880">
        <v>1.0015566783903953</v>
      </c>
      <c r="F2048" s="880">
        <v>1.0125306780620222</v>
      </c>
      <c r="G2048" s="880">
        <v>0.97053144491276933</v>
      </c>
      <c r="H2048" s="880">
        <v>0.96541513658486666</v>
      </c>
      <c r="I2048" s="880">
        <v>1.0159881078210373</v>
      </c>
      <c r="K2048">
        <v>1.0763334262637902</v>
      </c>
      <c r="L2048">
        <v>0</v>
      </c>
      <c r="M2048">
        <v>6.809493453340189E-4</v>
      </c>
      <c r="N2048">
        <v>6.8141606131130822E-2</v>
      </c>
      <c r="O2048">
        <v>9.0114174595471077E-3</v>
      </c>
      <c r="P2048">
        <v>1.27098683482154E-2</v>
      </c>
      <c r="Q2048">
        <v>3.0326538861772377E-3</v>
      </c>
      <c r="R2048">
        <v>6.6903906591185515E-4</v>
      </c>
      <c r="S2048">
        <v>8.7743933578991781E-2</v>
      </c>
      <c r="T2048">
        <v>0.81571112112082622</v>
      </c>
      <c r="U2048">
        <v>1.727442662160442E-2</v>
      </c>
      <c r="V2048">
        <v>1.0415226153993352E-2</v>
      </c>
      <c r="W2048">
        <v>4.0687970351906501E-2</v>
      </c>
      <c r="X2048">
        <v>9.7962091020762816E-3</v>
      </c>
      <c r="Y2048">
        <v>1.8209037887432656E-3</v>
      </c>
    </row>
    <row r="2049" spans="1:25">
      <c r="A2049" s="876"/>
      <c r="B2049" s="1202">
        <v>1799</v>
      </c>
      <c r="C2049" s="880">
        <v>0.97007860699612103</v>
      </c>
      <c r="D2049" s="880">
        <v>1.0055931857066094</v>
      </c>
      <c r="E2049" s="880">
        <v>1.0107393638943556</v>
      </c>
      <c r="F2049" s="880">
        <v>1.0102242977453559</v>
      </c>
      <c r="G2049" s="880">
        <v>0.99314559412537906</v>
      </c>
      <c r="H2049" s="880">
        <v>1.00800472761736</v>
      </c>
      <c r="I2049" s="880">
        <v>0.98318198357552711</v>
      </c>
      <c r="K2049">
        <v>1.0811121666452472</v>
      </c>
      <c r="L2049">
        <v>0</v>
      </c>
      <c r="M2049">
        <v>6.9893980179820084E-4</v>
      </c>
      <c r="N2049">
        <v>7.2020862784004547E-2</v>
      </c>
      <c r="O2049">
        <v>9.0316886770652281E-3</v>
      </c>
      <c r="P2049">
        <v>1.2774224454904715E-2</v>
      </c>
      <c r="Q2049">
        <v>3.0705085585863E-3</v>
      </c>
      <c r="R2049">
        <v>6.8722033147878257E-4</v>
      </c>
      <c r="S2049">
        <v>8.6679405898147391E-2</v>
      </c>
      <c r="T2049">
        <v>0.81497167315577079</v>
      </c>
      <c r="U2049">
        <v>1.7432225331013827E-2</v>
      </c>
      <c r="V2049">
        <v>1.0416133288926479E-2</v>
      </c>
      <c r="W2049">
        <v>4.2736101981648643E-2</v>
      </c>
      <c r="X2049">
        <v>1.0120674785334561E-2</v>
      </c>
      <c r="Y2049">
        <v>1.8703872001638586E-3</v>
      </c>
    </row>
    <row r="2050" spans="1:25">
      <c r="A2050" s="876"/>
      <c r="B2050" s="1202">
        <v>1800</v>
      </c>
      <c r="C2050" s="880">
        <v>0.9984459187478143</v>
      </c>
      <c r="D2050" s="880">
        <v>0.95252044371683464</v>
      </c>
      <c r="E2050" s="880">
        <v>1.0162356590650992</v>
      </c>
      <c r="F2050" s="880">
        <v>1.0095125795814861</v>
      </c>
      <c r="G2050" s="880">
        <v>0.98288317867817987</v>
      </c>
      <c r="H2050" s="880">
        <v>1.0003935945696234</v>
      </c>
      <c r="I2050" s="880">
        <v>1.0021332584128402</v>
      </c>
      <c r="K2050">
        <v>1.0811307786272537</v>
      </c>
      <c r="L2050">
        <v>0</v>
      </c>
      <c r="M2050">
        <v>6.8571955353351492E-4</v>
      </c>
      <c r="N2050">
        <v>7.1871631949932804E-2</v>
      </c>
      <c r="O2050">
        <v>9.0330541180798796E-3</v>
      </c>
      <c r="P2050">
        <v>1.283024988885678E-2</v>
      </c>
      <c r="Q2050">
        <v>3.0752629595092039E-3</v>
      </c>
      <c r="R2050">
        <v>6.7418074186486774E-4</v>
      </c>
      <c r="S2050">
        <v>8.7916093391975036E-2</v>
      </c>
      <c r="T2050">
        <v>0.81453044965788712</v>
      </c>
      <c r="U2050">
        <v>1.6936950262825035E-2</v>
      </c>
      <c r="V2050">
        <v>1.0413286109012643E-2</v>
      </c>
      <c r="W2050">
        <v>4.2488958212835513E-2</v>
      </c>
      <c r="X2050">
        <v>1.0211483152273163E-2</v>
      </c>
      <c r="Y2050">
        <v>1.8348977357343435E-3</v>
      </c>
    </row>
    <row r="2051" spans="1:25">
      <c r="A2051" s="876"/>
      <c r="B2051" s="1202">
        <v>1801</v>
      </c>
      <c r="C2051" s="880">
        <v>1.011054123575162</v>
      </c>
      <c r="D2051" s="880">
        <v>1.0035959338185225</v>
      </c>
      <c r="E2051" s="880">
        <v>0.97636162106134372</v>
      </c>
      <c r="F2051" s="880">
        <v>0.98787187419592126</v>
      </c>
      <c r="G2051" s="880">
        <v>1.0126126178760189</v>
      </c>
      <c r="H2051" s="880">
        <v>0.95879442877975274</v>
      </c>
      <c r="I2051" s="880">
        <v>1.0045416218115499</v>
      </c>
      <c r="K2051">
        <v>1.0651380559898467</v>
      </c>
      <c r="L2051">
        <v>0</v>
      </c>
      <c r="M2051">
        <v>6.8644263657938263E-4</v>
      </c>
      <c r="N2051">
        <v>6.3499795570420389E-2</v>
      </c>
      <c r="O2051">
        <v>8.6748449000072277E-3</v>
      </c>
      <c r="P2051">
        <v>1.243115607348474E-2</v>
      </c>
      <c r="Q2051">
        <v>2.8482445095388553E-3</v>
      </c>
      <c r="R2051">
        <v>6.7434372634602921E-4</v>
      </c>
      <c r="S2051">
        <v>8.3312656604342117E-2</v>
      </c>
      <c r="T2051">
        <v>0.81775468961993192</v>
      </c>
      <c r="U2051">
        <v>1.672574046397747E-2</v>
      </c>
      <c r="V2051">
        <v>1.0412071930598446E-2</v>
      </c>
      <c r="W2051">
        <v>3.8580794879546056E-2</v>
      </c>
      <c r="X2051">
        <v>9.0748190224680114E-3</v>
      </c>
      <c r="Y2051">
        <v>1.8353413257642453E-3</v>
      </c>
    </row>
    <row r="2052" spans="1:25">
      <c r="A2052" s="876"/>
      <c r="B2052" s="1202">
        <v>1802</v>
      </c>
      <c r="C2052" s="880">
        <v>1.0246739372516778</v>
      </c>
      <c r="D2052" s="880">
        <v>1.0054074461885161</v>
      </c>
      <c r="E2052" s="880">
        <v>1.0352345454081886</v>
      </c>
      <c r="F2052" s="880">
        <v>0.98254206792775955</v>
      </c>
      <c r="G2052" s="880">
        <v>0.95576681085143544</v>
      </c>
      <c r="H2052" s="880">
        <v>1.0214050338537299</v>
      </c>
      <c r="I2052" s="880">
        <v>0.97822401278242477</v>
      </c>
      <c r="K2052">
        <v>1.0706359200977458</v>
      </c>
      <c r="L2052">
        <v>0</v>
      </c>
      <c r="M2052">
        <v>6.3673326723987216E-4</v>
      </c>
      <c r="N2052">
        <v>7.0813078047057804E-2</v>
      </c>
      <c r="O2052">
        <v>8.5513159917446849E-3</v>
      </c>
      <c r="P2052">
        <v>1.2900779327011173E-2</v>
      </c>
      <c r="Q2052">
        <v>2.9787009881358556E-3</v>
      </c>
      <c r="R2052">
        <v>6.2619705645912882E-4</v>
      </c>
      <c r="S2052">
        <v>8.2110850085652248E-2</v>
      </c>
      <c r="T2052">
        <v>0.8130132187394491</v>
      </c>
      <c r="U2052">
        <v>1.6503424407679483E-2</v>
      </c>
      <c r="V2052">
        <v>1.0410793905818536E-2</v>
      </c>
      <c r="W2052">
        <v>4.1332001074601776E-2</v>
      </c>
      <c r="X2052">
        <v>1.0327991779497369E-2</v>
      </c>
      <c r="Y2052">
        <v>1.7043019618775651E-3</v>
      </c>
    </row>
    <row r="2053" spans="1:25">
      <c r="A2053" s="876"/>
      <c r="B2053" s="1202">
        <v>1803</v>
      </c>
      <c r="C2053" s="880">
        <v>1.0033049118901722</v>
      </c>
      <c r="D2053" s="880">
        <v>1.0047865708547767</v>
      </c>
      <c r="E2053" s="880">
        <v>0.97876946235059081</v>
      </c>
      <c r="F2053" s="880">
        <v>1.0094465646282027</v>
      </c>
      <c r="G2053" s="880">
        <v>1.0061666505806726</v>
      </c>
      <c r="H2053" s="880">
        <v>1.0178300805817111</v>
      </c>
      <c r="I2053" s="880">
        <v>1.0262951913385914</v>
      </c>
      <c r="K2053">
        <v>1.077541404855701</v>
      </c>
      <c r="L2053">
        <v>0</v>
      </c>
      <c r="M2053">
        <v>7.3017543692788375E-4</v>
      </c>
      <c r="N2053">
        <v>6.8124780102296195E-2</v>
      </c>
      <c r="O2053">
        <v>8.7363233471624679E-3</v>
      </c>
      <c r="P2053">
        <v>1.251441350518458E-2</v>
      </c>
      <c r="Q2053">
        <v>2.8757222763366144E-3</v>
      </c>
      <c r="R2053">
        <v>7.1805112265708375E-4</v>
      </c>
      <c r="S2053">
        <v>8.7877331437286307E-2</v>
      </c>
      <c r="T2053">
        <v>0.81755846053295178</v>
      </c>
      <c r="U2053">
        <v>1.6854924824491958E-2</v>
      </c>
      <c r="V2053">
        <v>1.0412814570678804E-2</v>
      </c>
      <c r="W2053">
        <v>4.1321597789092127E-2</v>
      </c>
      <c r="X2053">
        <v>9.3228623341063428E-3</v>
      </c>
      <c r="Y2053">
        <v>1.9542984503836138E-3</v>
      </c>
    </row>
    <row r="2054" spans="1:25">
      <c r="A2054" s="876"/>
      <c r="B2054" s="1202">
        <v>1804</v>
      </c>
      <c r="C2054" s="880">
        <v>1.012548852497027</v>
      </c>
      <c r="D2054" s="880">
        <v>1.0052155801322</v>
      </c>
      <c r="E2054" s="880">
        <v>1.0383400000626242</v>
      </c>
      <c r="F2054" s="880">
        <v>1.006551759593741</v>
      </c>
      <c r="G2054" s="880">
        <v>0.98229234160088963</v>
      </c>
      <c r="H2054" s="880">
        <v>0.9975078336790697</v>
      </c>
      <c r="I2054" s="880">
        <v>1.0001165745337399</v>
      </c>
      <c r="K2054">
        <v>1.071744539442284</v>
      </c>
      <c r="L2054">
        <v>0</v>
      </c>
      <c r="M2054">
        <v>6.2522109760330816E-4</v>
      </c>
      <c r="N2054">
        <v>7.0177688766319579E-2</v>
      </c>
      <c r="O2054">
        <v>8.6545967500105455E-3</v>
      </c>
      <c r="P2054">
        <v>1.2957306081732265E-2</v>
      </c>
      <c r="Q2054">
        <v>3.0238698587396013E-3</v>
      </c>
      <c r="R2054">
        <v>6.1462767883980638E-4</v>
      </c>
      <c r="S2054">
        <v>8.4120224269820104E-2</v>
      </c>
      <c r="T2054">
        <v>0.81276639215647295</v>
      </c>
      <c r="U2054">
        <v>1.6701049854779257E-2</v>
      </c>
      <c r="V2054">
        <v>1.0411929992085725E-2</v>
      </c>
      <c r="W2054">
        <v>4.0876384985226298E-2</v>
      </c>
      <c r="X2054">
        <v>1.0392876216017977E-2</v>
      </c>
      <c r="Y2054">
        <v>1.6728139298420766E-3</v>
      </c>
    </row>
    <row r="2055" spans="1:25">
      <c r="A2055" s="876"/>
      <c r="B2055" s="1202">
        <v>1805</v>
      </c>
      <c r="C2055" s="880">
        <v>1.0178137245555843</v>
      </c>
      <c r="D2055" s="880">
        <v>0.99652574977121522</v>
      </c>
      <c r="E2055" s="880">
        <v>1.0033154035669885</v>
      </c>
      <c r="F2055" s="880">
        <v>1.0230765604816958</v>
      </c>
      <c r="G2055" s="880">
        <v>1.0134901122115902</v>
      </c>
      <c r="H2055" s="880">
        <v>1.0109301497302827</v>
      </c>
      <c r="I2055" s="880">
        <v>1.0159053425225226</v>
      </c>
      <c r="K2055">
        <v>1.0738697696445549</v>
      </c>
      <c r="L2055">
        <v>0</v>
      </c>
      <c r="M2055">
        <v>6.8190964208004426E-4</v>
      </c>
      <c r="N2055">
        <v>6.8666693981482702E-2</v>
      </c>
      <c r="O2055">
        <v>8.6497815418264418E-3</v>
      </c>
      <c r="P2055">
        <v>1.268966865014769E-2</v>
      </c>
      <c r="Q2055">
        <v>2.9169198112718561E-3</v>
      </c>
      <c r="R2055">
        <v>6.7051638910250609E-4</v>
      </c>
      <c r="S2055">
        <v>8.5854484557533015E-2</v>
      </c>
      <c r="T2055">
        <v>0.81556927540896418</v>
      </c>
      <c r="U2055">
        <v>1.6614659891068157E-2</v>
      </c>
      <c r="V2055">
        <v>1.0411433363474186E-2</v>
      </c>
      <c r="W2055">
        <v>4.0952277589397429E-2</v>
      </c>
      <c r="X2055">
        <v>9.7310435268986844E-3</v>
      </c>
      <c r="Y2055">
        <v>1.8249245754687589E-3</v>
      </c>
    </row>
    <row r="2056" spans="1:25">
      <c r="A2056" s="876"/>
      <c r="B2056" s="1202">
        <v>1806</v>
      </c>
      <c r="C2056" s="880">
        <v>0.99964093769268558</v>
      </c>
      <c r="D2056" s="880">
        <v>0.98547591674179014</v>
      </c>
      <c r="E2056" s="880">
        <v>0.98037035638771108</v>
      </c>
      <c r="F2056" s="880">
        <v>1.0349549849815571</v>
      </c>
      <c r="G2056" s="880">
        <v>1.0022498371928492</v>
      </c>
      <c r="H2056" s="880">
        <v>0.99391865554637315</v>
      </c>
      <c r="I2056" s="880">
        <v>1.0012772333662232</v>
      </c>
      <c r="K2056">
        <v>1.0748019851386306</v>
      </c>
      <c r="L2056">
        <v>0</v>
      </c>
      <c r="M2056">
        <v>7.2063929778185432E-4</v>
      </c>
      <c r="N2056">
        <v>6.7545498363643944E-2</v>
      </c>
      <c r="O2056">
        <v>8.8595975274500319E-3</v>
      </c>
      <c r="P2056">
        <v>1.2503812148094054E-2</v>
      </c>
      <c r="Q2056">
        <v>2.9168107005910077E-3</v>
      </c>
      <c r="R2056">
        <v>7.0840293962513715E-4</v>
      </c>
      <c r="S2056">
        <v>8.6023068591254151E-2</v>
      </c>
      <c r="T2056">
        <v>0.81742810282847733</v>
      </c>
      <c r="U2056">
        <v>1.6916703016369609E-2</v>
      </c>
      <c r="V2056">
        <v>1.0413169713988717E-2</v>
      </c>
      <c r="W2056">
        <v>4.0924730061008344E-2</v>
      </c>
      <c r="X2056">
        <v>9.354689269215271E-3</v>
      </c>
      <c r="Y2056">
        <v>1.9280392766933374E-3</v>
      </c>
    </row>
    <row r="2057" spans="1:25">
      <c r="A2057" s="876"/>
      <c r="B2057" s="1202">
        <v>1807</v>
      </c>
      <c r="C2057" s="880">
        <v>0.99596547761026211</v>
      </c>
      <c r="D2057" s="880">
        <v>0.99691848890152968</v>
      </c>
      <c r="E2057" s="880">
        <v>0.97876902203933502</v>
      </c>
      <c r="F2057" s="880">
        <v>1.0187327435023055</v>
      </c>
      <c r="G2057" s="880">
        <v>0.98824691116143837</v>
      </c>
      <c r="H2057" s="880">
        <v>1.0106411026709003</v>
      </c>
      <c r="I2057" s="880">
        <v>0.99581290953968948</v>
      </c>
      <c r="K2057">
        <v>1.0763871453332126</v>
      </c>
      <c r="L2057">
        <v>0</v>
      </c>
      <c r="M2057">
        <v>7.3342238630446635E-4</v>
      </c>
      <c r="N2057">
        <v>6.8420076537151084E-2</v>
      </c>
      <c r="O2057">
        <v>8.8376718667789907E-3</v>
      </c>
      <c r="P2057">
        <v>1.2490540847490187E-2</v>
      </c>
      <c r="Q2057">
        <v>2.9073747025958312E-3</v>
      </c>
      <c r="R2057">
        <v>7.2116460562419559E-4</v>
      </c>
      <c r="S2057">
        <v>8.5975346242906356E-2</v>
      </c>
      <c r="T2057">
        <v>0.81755849639857059</v>
      </c>
      <c r="U2057">
        <v>1.6979131552358671E-2</v>
      </c>
      <c r="V2057">
        <v>1.0413528595921456E-2</v>
      </c>
      <c r="W2057">
        <v>4.1500724753383664E-2</v>
      </c>
      <c r="X2057">
        <v>9.3537392920753325E-3</v>
      </c>
      <c r="Y2057">
        <v>1.9627723246607087E-3</v>
      </c>
    </row>
    <row r="2058" spans="1:25">
      <c r="A2058" s="876"/>
      <c r="B2058" s="1202">
        <v>1808</v>
      </c>
      <c r="C2058" s="880">
        <v>0.99471823580876739</v>
      </c>
      <c r="D2058" s="880">
        <v>0.97610192870743773</v>
      </c>
      <c r="E2058" s="880">
        <v>0.99612112856685919</v>
      </c>
      <c r="F2058" s="880">
        <v>0.96657168231206947</v>
      </c>
      <c r="G2058" s="880">
        <v>1.0129146640815385</v>
      </c>
      <c r="H2058" s="880">
        <v>0.994652383373411</v>
      </c>
      <c r="I2058" s="880">
        <v>0.99787732562910247</v>
      </c>
      <c r="K2058">
        <v>1.077297063002679</v>
      </c>
      <c r="L2058">
        <v>0</v>
      </c>
      <c r="M2058">
        <v>7.0471835608843794E-4</v>
      </c>
      <c r="N2058">
        <v>6.9375305865276057E-2</v>
      </c>
      <c r="O2058">
        <v>8.9490217307852584E-3</v>
      </c>
      <c r="P2058">
        <v>1.2644893129783258E-2</v>
      </c>
      <c r="Q2058">
        <v>2.9914245858878065E-3</v>
      </c>
      <c r="R2058">
        <v>6.9276961987798529E-4</v>
      </c>
      <c r="S2058">
        <v>8.6593884908379576E-2</v>
      </c>
      <c r="T2058">
        <v>0.81615017657843414</v>
      </c>
      <c r="U2058">
        <v>1.7000421081255223E-2</v>
      </c>
      <c r="V2058">
        <v>1.0413650982697902E-2</v>
      </c>
      <c r="W2058">
        <v>4.1579103604068066E-2</v>
      </c>
      <c r="X2058">
        <v>9.7256387384578244E-3</v>
      </c>
      <c r="Y2058">
        <v>1.8854905338640589E-3</v>
      </c>
    </row>
    <row r="2059" spans="1:25">
      <c r="A2059" s="876"/>
      <c r="B2059" s="1202">
        <v>1809</v>
      </c>
      <c r="C2059" s="880">
        <v>0.98917070423819853</v>
      </c>
      <c r="D2059" s="880">
        <v>0.95788084485253766</v>
      </c>
      <c r="E2059" s="880">
        <v>0.99822366104453863</v>
      </c>
      <c r="F2059" s="880">
        <v>0.97399784933491218</v>
      </c>
      <c r="G2059" s="880">
        <v>0.98395913458657802</v>
      </c>
      <c r="H2059" s="880">
        <v>1.0089119392979065</v>
      </c>
      <c r="I2059" s="880">
        <v>0.96043667996196602</v>
      </c>
      <c r="K2059">
        <v>1.0797172828540937</v>
      </c>
      <c r="L2059">
        <v>0</v>
      </c>
      <c r="M2059">
        <v>7.2288949291574522E-4</v>
      </c>
      <c r="N2059">
        <v>7.1650439896880733E-2</v>
      </c>
      <c r="O2059">
        <v>9.0903903132284036E-3</v>
      </c>
      <c r="P2059">
        <v>1.2643611071374202E-2</v>
      </c>
      <c r="Q2059">
        <v>3.0407739706432625E-3</v>
      </c>
      <c r="R2059">
        <v>7.1082284485340463E-4</v>
      </c>
      <c r="S2059">
        <v>8.5112100786079781E-2</v>
      </c>
      <c r="T2059">
        <v>0.81598022591443431</v>
      </c>
      <c r="U2059">
        <v>1.709576395004132E-2</v>
      </c>
      <c r="V2059">
        <v>1.0414199078732563E-2</v>
      </c>
      <c r="W2059">
        <v>4.2880816297023595E-2</v>
      </c>
      <c r="X2059">
        <v>9.886402762713185E-3</v>
      </c>
      <c r="Y2059">
        <v>1.9346254610031375E-3</v>
      </c>
    </row>
    <row r="2060" spans="1:25">
      <c r="A2060" s="876"/>
      <c r="B2060" s="1202">
        <v>1810</v>
      </c>
      <c r="C2060" s="880">
        <v>0.98632426282410335</v>
      </c>
      <c r="D2060" s="880">
        <v>0.97594114114112418</v>
      </c>
      <c r="E2060" s="880">
        <v>1.0179795311261208</v>
      </c>
      <c r="F2060" s="880">
        <v>0.99478404536698828</v>
      </c>
      <c r="G2060" s="880">
        <v>0.99325330137304657</v>
      </c>
      <c r="H2060" s="880">
        <v>0.99999393721695051</v>
      </c>
      <c r="I2060" s="880">
        <v>1.0008506843636693</v>
      </c>
      <c r="K2060">
        <v>1.081132527289028</v>
      </c>
      <c r="L2060">
        <v>0</v>
      </c>
      <c r="M2060">
        <v>6.8241242959560114E-4</v>
      </c>
      <c r="N2060">
        <v>7.1910891677792119E-2</v>
      </c>
      <c r="O2060">
        <v>9.0259758436458427E-3</v>
      </c>
      <c r="P2060">
        <v>1.2846000437492785E-2</v>
      </c>
      <c r="Q2060">
        <v>3.0838722037909521E-3</v>
      </c>
      <c r="R2060">
        <v>6.7090384353186657E-4</v>
      </c>
      <c r="S2060">
        <v>8.7794580709277745E-2</v>
      </c>
      <c r="T2060">
        <v>0.81439067272126719</v>
      </c>
      <c r="U2060">
        <v>1.7145100757769881E-2</v>
      </c>
      <c r="V2060">
        <v>1.0414482700455094E-2</v>
      </c>
      <c r="W2060">
        <v>4.2462071436431395E-2</v>
      </c>
      <c r="X2060">
        <v>1.0244408288467878E-2</v>
      </c>
      <c r="Y2060">
        <v>1.8259790987011592E-3</v>
      </c>
    </row>
    <row r="2061" spans="1:25">
      <c r="A2061" s="876"/>
      <c r="B2061" s="1202">
        <v>1811</v>
      </c>
      <c r="C2061" s="880">
        <v>0.98994300177687999</v>
      </c>
      <c r="D2061" s="880">
        <v>1.0195338011673478</v>
      </c>
      <c r="E2061" s="880">
        <v>1.0009816570114316</v>
      </c>
      <c r="F2061" s="880">
        <v>1.0059490033925318</v>
      </c>
      <c r="G2061" s="880">
        <v>0.98574551941781896</v>
      </c>
      <c r="H2061" s="880">
        <v>1.0011553741880705</v>
      </c>
      <c r="I2061" s="880">
        <v>0.98486452671861624</v>
      </c>
      <c r="K2061">
        <v>1.0735434663858638</v>
      </c>
      <c r="L2061">
        <v>0</v>
      </c>
      <c r="M2061">
        <v>6.8933534991839202E-4</v>
      </c>
      <c r="N2061">
        <v>6.8898954305267809E-2</v>
      </c>
      <c r="O2061">
        <v>8.7857918499568612E-3</v>
      </c>
      <c r="P2061">
        <v>1.2654877495622729E-2</v>
      </c>
      <c r="Q2061">
        <v>2.9608783703638912E-3</v>
      </c>
      <c r="R2061">
        <v>6.7768613840662789E-4</v>
      </c>
      <c r="S2061">
        <v>8.4263467246554785E-2</v>
      </c>
      <c r="T2061">
        <v>0.81575752088120324</v>
      </c>
      <c r="U2061">
        <v>1.7082426801946157E-2</v>
      </c>
      <c r="V2061">
        <v>1.0414122407681265E-2</v>
      </c>
      <c r="W2061">
        <v>4.1156365389577711E-2</v>
      </c>
      <c r="X2061">
        <v>9.736272579632518E-3</v>
      </c>
      <c r="Y2061">
        <v>1.8444382695673551E-3</v>
      </c>
    </row>
    <row r="2062" spans="1:25">
      <c r="A2062" s="876"/>
      <c r="B2062" s="1202">
        <v>1812</v>
      </c>
      <c r="C2062" s="880">
        <v>1.0273041266147718</v>
      </c>
      <c r="D2062" s="880">
        <v>1.0182549390574631</v>
      </c>
      <c r="E2062" s="880">
        <v>1.0071907567658669</v>
      </c>
      <c r="F2062" s="880">
        <v>0.976719063207247</v>
      </c>
      <c r="G2062" s="880">
        <v>1.0107500684748525</v>
      </c>
      <c r="H2062" s="880">
        <v>1.0061129058013121</v>
      </c>
      <c r="I2062" s="880">
        <v>0.96100724601525467</v>
      </c>
      <c r="K2062">
        <v>1.0641134405997252</v>
      </c>
      <c r="L2062">
        <v>0</v>
      </c>
      <c r="M2062">
        <v>6.5931664604699277E-4</v>
      </c>
      <c r="N2062">
        <v>6.718934358342224E-2</v>
      </c>
      <c r="O2062">
        <v>8.4719275919471343E-3</v>
      </c>
      <c r="P2062">
        <v>1.263194304951022E-2</v>
      </c>
      <c r="Q2062">
        <v>2.8726712870569939E-3</v>
      </c>
      <c r="R2062">
        <v>6.4823064073885051E-4</v>
      </c>
      <c r="S2062">
        <v>7.9445680533113766E-2</v>
      </c>
      <c r="T2062">
        <v>0.81525708940612407</v>
      </c>
      <c r="U2062">
        <v>1.6461170969571781E-2</v>
      </c>
      <c r="V2062">
        <v>1.0410551004150356E-2</v>
      </c>
      <c r="W2062">
        <v>3.9965470024067008E-2</v>
      </c>
      <c r="X2062">
        <v>9.6544090411517357E-3</v>
      </c>
      <c r="Y2062">
        <v>1.764270114917862E-3</v>
      </c>
    </row>
    <row r="2063" spans="1:25">
      <c r="A2063" s="876"/>
      <c r="B2063" s="1202">
        <v>1813</v>
      </c>
      <c r="C2063" s="880">
        <v>1.0052452636567106</v>
      </c>
      <c r="D2063" s="880">
        <v>1.0146468657837227</v>
      </c>
      <c r="E2063" s="880">
        <v>0.99138429822296759</v>
      </c>
      <c r="F2063" s="880">
        <v>0.97499486650428047</v>
      </c>
      <c r="G2063" s="880">
        <v>1.0050926885921434</v>
      </c>
      <c r="H2063" s="880">
        <v>1.0255103032434709</v>
      </c>
      <c r="I2063" s="880">
        <v>0.97240538111551122</v>
      </c>
      <c r="K2063">
        <v>1.0728288625056304</v>
      </c>
      <c r="L2063">
        <v>0</v>
      </c>
      <c r="M2063">
        <v>7.1135780531252719E-4</v>
      </c>
      <c r="N2063">
        <v>6.903653163340101E-2</v>
      </c>
      <c r="O2063">
        <v>8.6742122490843787E-3</v>
      </c>
      <c r="P2063">
        <v>1.255351654245395E-2</v>
      </c>
      <c r="Q2063">
        <v>2.8941193999183889E-3</v>
      </c>
      <c r="R2063">
        <v>6.9962603813507448E-4</v>
      </c>
      <c r="S2063">
        <v>8.2962825469300408E-2</v>
      </c>
      <c r="T2063">
        <v>0.81653361111585454</v>
      </c>
      <c r="U2063">
        <v>1.6822390989874217E-2</v>
      </c>
      <c r="V2063">
        <v>1.0412627543940744E-2</v>
      </c>
      <c r="W2063">
        <v>4.1510975758676918E-2</v>
      </c>
      <c r="X2063">
        <v>9.5356321261604957E-3</v>
      </c>
      <c r="Y2063">
        <v>1.9041514441421852E-3</v>
      </c>
    </row>
    <row r="2064" spans="1:25">
      <c r="A2064" s="876"/>
      <c r="B2064" s="1202">
        <v>1814</v>
      </c>
      <c r="C2064" s="880">
        <v>1.0052756289567284</v>
      </c>
      <c r="D2064" s="880">
        <v>0.98845744502410071</v>
      </c>
      <c r="E2064" s="880">
        <v>1.0225341077100876</v>
      </c>
      <c r="F2064" s="880">
        <v>1.0370935996309014</v>
      </c>
      <c r="G2064" s="880">
        <v>1.0413876785473133</v>
      </c>
      <c r="H2064" s="880">
        <v>0.97760334503281465</v>
      </c>
      <c r="I2064" s="880">
        <v>1.0448715135022164</v>
      </c>
      <c r="K2064">
        <v>1.0756073748738337</v>
      </c>
      <c r="L2064">
        <v>0</v>
      </c>
      <c r="M2064">
        <v>6.4390084612258593E-4</v>
      </c>
      <c r="N2064">
        <v>6.8791302224790365E-2</v>
      </c>
      <c r="O2064">
        <v>8.7957397251607131E-3</v>
      </c>
      <c r="P2064">
        <v>1.2889497351114963E-2</v>
      </c>
      <c r="Q2064">
        <v>3.0217416363302234E-3</v>
      </c>
      <c r="R2064">
        <v>6.327825488223177E-4</v>
      </c>
      <c r="S2064">
        <v>8.8520761103491094E-2</v>
      </c>
      <c r="T2064">
        <v>0.81402609773135648</v>
      </c>
      <c r="U2064">
        <v>1.6821882853662925E-2</v>
      </c>
      <c r="V2064">
        <v>1.0412624622826201E-2</v>
      </c>
      <c r="W2064">
        <v>4.0495385806067909E-2</v>
      </c>
      <c r="X2064">
        <v>1.0121234615148685E-2</v>
      </c>
      <c r="Y2064">
        <v>1.7222255011831911E-3</v>
      </c>
    </row>
    <row r="2065" spans="1:25">
      <c r="A2065" s="876"/>
      <c r="B2065" s="1202">
        <v>1815</v>
      </c>
      <c r="C2065" s="880">
        <v>1.0208738964864876</v>
      </c>
      <c r="D2065" s="880">
        <v>0.97621227909968178</v>
      </c>
      <c r="E2065" s="880">
        <v>0.99479702357654587</v>
      </c>
      <c r="F2065" s="880">
        <v>0.98687800979709972</v>
      </c>
      <c r="G2065" s="880">
        <v>0.97759700027357754</v>
      </c>
      <c r="H2065" s="880">
        <v>0.98525875349270753</v>
      </c>
      <c r="I2065" s="880">
        <v>0.99108507925588585</v>
      </c>
      <c r="K2065">
        <v>1.0692074596008774</v>
      </c>
      <c r="L2065">
        <v>0</v>
      </c>
      <c r="M2065">
        <v>6.8203478647666221E-4</v>
      </c>
      <c r="N2065">
        <v>6.6855126629813785E-2</v>
      </c>
      <c r="O2065">
        <v>8.719213300499901E-3</v>
      </c>
      <c r="P2065">
        <v>1.2585318966276285E-2</v>
      </c>
      <c r="Q2065">
        <v>2.9107440486453012E-3</v>
      </c>
      <c r="R2065">
        <v>6.7036030544353423E-4</v>
      </c>
      <c r="S2065">
        <v>8.3465958517552383E-2</v>
      </c>
      <c r="T2065">
        <v>0.81625728287800947</v>
      </c>
      <c r="U2065">
        <v>1.6564855781064827E-2</v>
      </c>
      <c r="V2065">
        <v>1.0411147055378479E-2</v>
      </c>
      <c r="W2065">
        <v>4.0105104402950474E-2</v>
      </c>
      <c r="X2065">
        <v>9.5198827345174698E-3</v>
      </c>
      <c r="Y2065">
        <v>1.8244997672020014E-3</v>
      </c>
    </row>
    <row r="2066" spans="1:25">
      <c r="A2066" s="876"/>
      <c r="B2066" s="1202">
        <v>1816</v>
      </c>
      <c r="C2066" s="880">
        <v>0.9943182092281726</v>
      </c>
      <c r="D2066" s="880">
        <v>1.0000931137790838</v>
      </c>
      <c r="E2066" s="880">
        <v>0.96373473041483992</v>
      </c>
      <c r="F2066" s="880">
        <v>1.01271785373266</v>
      </c>
      <c r="G2066" s="880">
        <v>1.0280537121161408</v>
      </c>
      <c r="H2066" s="880">
        <v>1.0001100632593007</v>
      </c>
      <c r="I2066" s="880">
        <v>0.96773604195633522</v>
      </c>
      <c r="K2066">
        <v>1.0719586052252403</v>
      </c>
      <c r="L2066">
        <v>0</v>
      </c>
      <c r="M2066">
        <v>7.4899193066387546E-4</v>
      </c>
      <c r="N2066">
        <v>6.6660764949657919E-2</v>
      </c>
      <c r="O2066">
        <v>8.8373149208732498E-3</v>
      </c>
      <c r="P2066">
        <v>1.2327109691270436E-2</v>
      </c>
      <c r="Q2066">
        <v>2.8636361665734149E-3</v>
      </c>
      <c r="R2066">
        <v>7.363391657724855E-4</v>
      </c>
      <c r="S2066">
        <v>8.3190754587109755E-2</v>
      </c>
      <c r="T2066">
        <v>0.81878693487931431</v>
      </c>
      <c r="U2066">
        <v>1.7007260562067993E-2</v>
      </c>
      <c r="V2066">
        <v>1.0413690300712561E-2</v>
      </c>
      <c r="W2066">
        <v>4.0860249975354319E-2</v>
      </c>
      <c r="X2066">
        <v>9.0194694821057013E-3</v>
      </c>
      <c r="Y2066">
        <v>2.0040724750919445E-3</v>
      </c>
    </row>
    <row r="2067" spans="1:25">
      <c r="A2067" s="876"/>
      <c r="B2067" s="1202">
        <v>1817</v>
      </c>
      <c r="C2067" s="880">
        <v>1.0285594511526575</v>
      </c>
      <c r="D2067" s="880">
        <v>0.96973135974855962</v>
      </c>
      <c r="E2067" s="880">
        <v>1.0196994804373452</v>
      </c>
      <c r="F2067" s="880">
        <v>1.008136192045668</v>
      </c>
      <c r="G2067" s="880">
        <v>1.0113343214913209</v>
      </c>
      <c r="H2067" s="880">
        <v>0.97286597718942192</v>
      </c>
      <c r="I2067" s="880">
        <v>0.9738456189622966</v>
      </c>
      <c r="K2067">
        <v>1.0655502054430579</v>
      </c>
      <c r="L2067">
        <v>0</v>
      </c>
      <c r="M2067">
        <v>6.3649352115453936E-4</v>
      </c>
      <c r="N2067">
        <v>6.7399741662330773E-2</v>
      </c>
      <c r="O2067">
        <v>8.684937470473518E-3</v>
      </c>
      <c r="P2067">
        <v>1.2759842460147976E-2</v>
      </c>
      <c r="Q2067">
        <v>2.9709985096828067E-3</v>
      </c>
      <c r="R2067">
        <v>6.2546525140774669E-4</v>
      </c>
      <c r="S2067">
        <v>8.1246098618547563E-2</v>
      </c>
      <c r="T2067">
        <v>0.81425291479405248</v>
      </c>
      <c r="U2067">
        <v>1.6441080626891747E-2</v>
      </c>
      <c r="V2067">
        <v>1.0410435511116659E-2</v>
      </c>
      <c r="W2067">
        <v>3.9752119828421702E-2</v>
      </c>
      <c r="X2067">
        <v>9.9407540013725908E-3</v>
      </c>
      <c r="Y2067">
        <v>1.7023102297671737E-3</v>
      </c>
    </row>
    <row r="2068" spans="1:25">
      <c r="A2068" s="876"/>
      <c r="B2068" s="1202">
        <v>1818</v>
      </c>
      <c r="C2068" s="880">
        <v>0.98614988942885473</v>
      </c>
      <c r="D2068" s="880">
        <v>0.98076231714095463</v>
      </c>
      <c r="E2068" s="880">
        <v>1.0249331038422931</v>
      </c>
      <c r="F2068" s="880">
        <v>1.0137784202780911</v>
      </c>
      <c r="G2068" s="880">
        <v>0.99626885858308223</v>
      </c>
      <c r="H2068" s="880">
        <v>0.98343952345270669</v>
      </c>
      <c r="I2068" s="880">
        <v>0.98863462940658009</v>
      </c>
      <c r="K2068">
        <v>1.0771210889940233</v>
      </c>
      <c r="L2068">
        <v>0</v>
      </c>
      <c r="M2068">
        <v>6.5970921581566511E-4</v>
      </c>
      <c r="N2068">
        <v>7.1015383405998583E-2</v>
      </c>
      <c r="O2068">
        <v>9.0038301862023166E-3</v>
      </c>
      <c r="P2068">
        <v>1.287795056033186E-2</v>
      </c>
      <c r="Q2068">
        <v>3.0987795337404102E-3</v>
      </c>
      <c r="R2068">
        <v>6.4839209516948939E-4</v>
      </c>
      <c r="S2068">
        <v>8.5925592737926243E-2</v>
      </c>
      <c r="T2068">
        <v>0.81383435246482061</v>
      </c>
      <c r="U2068">
        <v>1.7148132395721747E-2</v>
      </c>
      <c r="V2068">
        <v>1.0414500128384012E-2</v>
      </c>
      <c r="W2068">
        <v>4.1737192630248207E-2</v>
      </c>
      <c r="X2068">
        <v>1.0311982530641117E-2</v>
      </c>
      <c r="Y2068">
        <v>1.7647095406546219E-3</v>
      </c>
    </row>
    <row r="2069" spans="1:25">
      <c r="A2069" s="876"/>
      <c r="B2069" s="1202">
        <v>1819</v>
      </c>
      <c r="C2069" s="880">
        <v>0.98170409550015902</v>
      </c>
      <c r="D2069" s="880">
        <v>1.012948402970512</v>
      </c>
      <c r="E2069" s="880">
        <v>0.99102942854993981</v>
      </c>
      <c r="F2069" s="880">
        <v>0.99269894507360001</v>
      </c>
      <c r="G2069" s="880">
        <v>0.97043754599603949</v>
      </c>
      <c r="H2069" s="880">
        <v>1.040833892452365</v>
      </c>
      <c r="I2069" s="880">
        <v>1.0037621242259027</v>
      </c>
      <c r="K2069">
        <v>1.0836947530792984</v>
      </c>
      <c r="L2069">
        <v>0</v>
      </c>
      <c r="M2069">
        <v>7.4051120019914655E-4</v>
      </c>
      <c r="N2069">
        <v>7.180435487771375E-2</v>
      </c>
      <c r="O2069">
        <v>8.8901476410010848E-3</v>
      </c>
      <c r="P2069">
        <v>1.2628694729764849E-2</v>
      </c>
      <c r="Q2069">
        <v>2.964733614555389E-3</v>
      </c>
      <c r="R2069">
        <v>7.2847990288143485E-4</v>
      </c>
      <c r="S2069">
        <v>8.8321209270760051E-2</v>
      </c>
      <c r="T2069">
        <v>0.81656236757886291</v>
      </c>
      <c r="U2069">
        <v>1.7225790279846723E-2</v>
      </c>
      <c r="V2069">
        <v>1.0414946559028384E-2</v>
      </c>
      <c r="W2069">
        <v>4.3185789771718434E-2</v>
      </c>
      <c r="X2069">
        <v>9.7260679010570533E-3</v>
      </c>
      <c r="Y2069">
        <v>1.9826821523078212E-3</v>
      </c>
    </row>
    <row r="2070" spans="1:25">
      <c r="A2070" s="876"/>
      <c r="B2070" s="1202">
        <v>1820</v>
      </c>
      <c r="C2070" s="880">
        <v>1.0151891870468679</v>
      </c>
      <c r="D2070" s="880">
        <v>0.97324649792417617</v>
      </c>
      <c r="E2070" s="880">
        <v>1.0399691681260432</v>
      </c>
      <c r="F2070" s="880">
        <v>1.0089450269321705</v>
      </c>
      <c r="G2070" s="880">
        <v>1.0147820727455066</v>
      </c>
      <c r="H2070" s="880">
        <v>1.011265552907441</v>
      </c>
      <c r="I2070" s="880">
        <v>0.96745600590661807</v>
      </c>
      <c r="K2070">
        <v>1.0741332765342633</v>
      </c>
      <c r="L2070">
        <v>0</v>
      </c>
      <c r="M2070">
        <v>6.409555134769693E-4</v>
      </c>
      <c r="N2070">
        <v>7.2328189096454429E-2</v>
      </c>
      <c r="O2070">
        <v>8.7823109764086985E-3</v>
      </c>
      <c r="P2070">
        <v>1.2953749909603551E-2</v>
      </c>
      <c r="Q2070">
        <v>3.0659688900262811E-3</v>
      </c>
      <c r="R2070">
        <v>6.302687567657112E-4</v>
      </c>
      <c r="S2070">
        <v>8.2955838570289847E-2</v>
      </c>
      <c r="T2070">
        <v>0.81263703502851004</v>
      </c>
      <c r="U2070">
        <v>1.6657613262356055E-2</v>
      </c>
      <c r="V2070">
        <v>1.0411680288837126E-2</v>
      </c>
      <c r="W2070">
        <v>4.2083307989105007E-2</v>
      </c>
      <c r="X2070">
        <v>1.0552885491506738E-2</v>
      </c>
      <c r="Y2070">
        <v>1.7153837878764373E-3</v>
      </c>
    </row>
    <row r="2071" spans="1:25">
      <c r="A2071" s="876"/>
      <c r="B2071" s="1202">
        <v>1821</v>
      </c>
      <c r="C2071" s="880">
        <v>0.96117916858050911</v>
      </c>
      <c r="D2071" s="880">
        <v>0.97314703579010597</v>
      </c>
      <c r="E2071" s="880">
        <v>1.0111974196825835</v>
      </c>
      <c r="F2071" s="880">
        <v>1.0134595216483204</v>
      </c>
      <c r="G2071" s="880">
        <v>1.0050691528296469</v>
      </c>
      <c r="H2071" s="880">
        <v>1.0245478089708564</v>
      </c>
      <c r="I2071" s="880">
        <v>1.0009946494471242</v>
      </c>
      <c r="K2071">
        <v>1.091541379253371</v>
      </c>
      <c r="L2071">
        <v>0</v>
      </c>
      <c r="M2071">
        <v>7.289168062380683E-4</v>
      </c>
      <c r="N2071">
        <v>7.5240570381863825E-2</v>
      </c>
      <c r="O2071">
        <v>9.2763083309388653E-3</v>
      </c>
      <c r="P2071">
        <v>1.2841955645084623E-2</v>
      </c>
      <c r="Q2071">
        <v>3.1473599126949827E-3</v>
      </c>
      <c r="R2071">
        <v>7.1692110375431745E-4</v>
      </c>
      <c r="S2071">
        <v>9.1161080662375882E-2</v>
      </c>
      <c r="T2071">
        <v>0.81493486273243076</v>
      </c>
      <c r="U2071">
        <v>1.7593628137953069E-2</v>
      </c>
      <c r="V2071">
        <v>1.0417061142677798E-2</v>
      </c>
      <c r="W2071">
        <v>4.4632743865926729E-2</v>
      </c>
      <c r="X2071">
        <v>1.0356581232466985E-2</v>
      </c>
      <c r="Y2071">
        <v>1.9512229114409154E-3</v>
      </c>
    </row>
    <row r="2072" spans="1:25">
      <c r="A2072" s="876"/>
      <c r="B2072" s="1202">
        <v>1822</v>
      </c>
      <c r="C2072" s="880">
        <v>0.9886416585141008</v>
      </c>
      <c r="D2072" s="880">
        <v>1.0099799289495115</v>
      </c>
      <c r="E2072" s="880">
        <v>0.97099014936966599</v>
      </c>
      <c r="F2072" s="880">
        <v>1.0019206843774762</v>
      </c>
      <c r="G2072" s="880">
        <v>0.98714379741619429</v>
      </c>
      <c r="H2072" s="880">
        <v>1.041366363474145</v>
      </c>
      <c r="I2072" s="880">
        <v>1.0045087133343016</v>
      </c>
      <c r="K2072">
        <v>1.0818448508556402</v>
      </c>
      <c r="L2072">
        <v>0</v>
      </c>
      <c r="M2072">
        <v>7.6850381556144739E-4</v>
      </c>
      <c r="N2072">
        <v>7.0009407253003239E-2</v>
      </c>
      <c r="O2072">
        <v>8.841574780368136E-3</v>
      </c>
      <c r="P2072">
        <v>1.24525698876589E-2</v>
      </c>
      <c r="Q2072">
        <v>2.8884898120096307E-3</v>
      </c>
      <c r="R2072">
        <v>7.5602677442529204E-4</v>
      </c>
      <c r="S2072">
        <v>8.7914287824417209E-2</v>
      </c>
      <c r="T2072">
        <v>0.81819314840736679</v>
      </c>
      <c r="U2072">
        <v>1.7104912300952964E-2</v>
      </c>
      <c r="V2072">
        <v>1.0414251669712058E-2</v>
      </c>
      <c r="W2072">
        <v>4.2695407522816482E-2</v>
      </c>
      <c r="X2072">
        <v>9.2856227826442466E-3</v>
      </c>
      <c r="Y2072">
        <v>2.0576556558264355E-3</v>
      </c>
    </row>
    <row r="2073" spans="1:25">
      <c r="A2073" s="876"/>
      <c r="B2073" s="1202">
        <v>1823</v>
      </c>
      <c r="C2073" s="880">
        <v>0.99757332514588803</v>
      </c>
      <c r="D2073" s="880">
        <v>0.96967744968006719</v>
      </c>
      <c r="E2073" s="880">
        <v>1.0064052136172137</v>
      </c>
      <c r="F2073" s="880">
        <v>1.0015103409632267</v>
      </c>
      <c r="G2073" s="880">
        <v>0.99839418121838741</v>
      </c>
      <c r="H2073" s="880">
        <v>1.0317689843172895</v>
      </c>
      <c r="I2073" s="880">
        <v>1.0109850910917542</v>
      </c>
      <c r="K2073">
        <v>1.0846636358524762</v>
      </c>
      <c r="L2073">
        <v>0</v>
      </c>
      <c r="M2073">
        <v>7.1582043245344213E-4</v>
      </c>
      <c r="N2073">
        <v>7.2804841836387635E-2</v>
      </c>
      <c r="O2073">
        <v>8.9549709370690157E-3</v>
      </c>
      <c r="P2073">
        <v>1.2765102283721318E-2</v>
      </c>
      <c r="Q2073">
        <v>3.0229867395127098E-3</v>
      </c>
      <c r="R2073">
        <v>7.0412580923565385E-4</v>
      </c>
      <c r="S2073">
        <v>8.9136507331369616E-2</v>
      </c>
      <c r="T2073">
        <v>0.81532032896115747</v>
      </c>
      <c r="U2073">
        <v>1.6951765288510803E-2</v>
      </c>
      <c r="V2073">
        <v>1.0413371275915365E-2</v>
      </c>
      <c r="W2073">
        <v>4.332884563626687E-2</v>
      </c>
      <c r="X2073">
        <v>1.0060211848053833E-2</v>
      </c>
      <c r="Y2073">
        <v>1.9163983377288181E-3</v>
      </c>
    </row>
    <row r="2074" spans="1:25">
      <c r="A2074" s="876"/>
      <c r="B2074" s="1202">
        <v>1824</v>
      </c>
      <c r="C2074" s="880">
        <v>1.0090918095508554</v>
      </c>
      <c r="D2074" s="880">
        <v>1.0113994648580773</v>
      </c>
      <c r="E2074" s="880">
        <v>0.95558694792112697</v>
      </c>
      <c r="F2074" s="880">
        <v>0.95627482496011906</v>
      </c>
      <c r="G2074" s="880">
        <v>0.99118794444047409</v>
      </c>
      <c r="H2074" s="880">
        <v>0.99038627402683399</v>
      </c>
      <c r="I2074" s="880">
        <v>0.99172157080014134</v>
      </c>
      <c r="K2074">
        <v>1.0678560351970321</v>
      </c>
      <c r="L2074">
        <v>0</v>
      </c>
      <c r="M2074">
        <v>7.3898706262017421E-4</v>
      </c>
      <c r="N2074">
        <v>6.4107483482129274E-2</v>
      </c>
      <c r="O2074">
        <v>8.655913318107054E-3</v>
      </c>
      <c r="P2074">
        <v>1.2255117447323874E-2</v>
      </c>
      <c r="Q2074">
        <v>2.7837905436849338E-3</v>
      </c>
      <c r="R2074">
        <v>7.2637035814583271E-4</v>
      </c>
      <c r="S2074">
        <v>8.3196098037925548E-2</v>
      </c>
      <c r="T2074">
        <v>0.81945586695168271</v>
      </c>
      <c r="U2074">
        <v>1.6758265903951054E-2</v>
      </c>
      <c r="V2074">
        <v>1.0412258909078338E-2</v>
      </c>
      <c r="W2074">
        <v>3.9521209713946313E-2</v>
      </c>
      <c r="X2074">
        <v>8.7457069267280942E-3</v>
      </c>
      <c r="Y2074">
        <v>1.9769406669487466E-3</v>
      </c>
    </row>
    <row r="2075" spans="1:25">
      <c r="A2075" s="876"/>
      <c r="B2075" s="1202">
        <v>1825</v>
      </c>
      <c r="C2075" s="880">
        <v>0.9567042880599993</v>
      </c>
      <c r="D2075" s="880">
        <v>1.0133886013183002</v>
      </c>
      <c r="E2075" s="880">
        <v>1.0317643883717245</v>
      </c>
      <c r="F2075" s="880">
        <v>1.0199603849116807</v>
      </c>
      <c r="G2075" s="880">
        <v>1.0085183133074591</v>
      </c>
      <c r="H2075" s="880">
        <v>0.96673231693252526</v>
      </c>
      <c r="I2075" s="880">
        <v>1.038313347168194</v>
      </c>
      <c r="K2075">
        <v>1.0825851417913699</v>
      </c>
      <c r="L2075">
        <v>0</v>
      </c>
      <c r="M2075">
        <v>6.4749793579267829E-4</v>
      </c>
      <c r="N2075">
        <v>7.117038867473198E-2</v>
      </c>
      <c r="O2075">
        <v>9.1203469202085913E-3</v>
      </c>
      <c r="P2075">
        <v>1.3011106409724237E-2</v>
      </c>
      <c r="Q2075">
        <v>3.1679154654448249E-3</v>
      </c>
      <c r="R2075">
        <v>6.3617111103400224E-4</v>
      </c>
      <c r="S2075">
        <v>9.0873291189572991E-2</v>
      </c>
      <c r="T2075">
        <v>0.81328942222417311</v>
      </c>
      <c r="U2075">
        <v>1.7675920424945157E-2</v>
      </c>
      <c r="V2075">
        <v>1.0417534215040269E-2</v>
      </c>
      <c r="W2075">
        <v>4.1637032164604633E-2</v>
      </c>
      <c r="X2075">
        <v>1.0502062877199193E-2</v>
      </c>
      <c r="Y2075">
        <v>1.7314480504841635E-3</v>
      </c>
    </row>
    <row r="2076" spans="1:25">
      <c r="A2076" s="876"/>
      <c r="B2076" s="1202">
        <v>1826</v>
      </c>
      <c r="C2076" s="880">
        <v>0.99393412755669697</v>
      </c>
      <c r="D2076" s="880">
        <v>1.034512046676707</v>
      </c>
      <c r="E2076" s="880">
        <v>0.99539895582336069</v>
      </c>
      <c r="F2076" s="880">
        <v>0.98608817634865731</v>
      </c>
      <c r="G2076" s="880">
        <v>0.96925755021016502</v>
      </c>
      <c r="H2076" s="880">
        <v>1.0143775977943874</v>
      </c>
      <c r="I2076" s="880">
        <v>0.99677388366967679</v>
      </c>
      <c r="K2076">
        <v>1.0738659928480652</v>
      </c>
      <c r="L2076">
        <v>0</v>
      </c>
      <c r="M2076">
        <v>6.9843271210822593E-4</v>
      </c>
      <c r="N2076">
        <v>6.862022470764631E-2</v>
      </c>
      <c r="O2076">
        <v>8.6828914851112063E-3</v>
      </c>
      <c r="P2076">
        <v>1.2614526760273796E-2</v>
      </c>
      <c r="Q2076">
        <v>2.9129440894047095E-3</v>
      </c>
      <c r="R2076">
        <v>6.8677127362817836E-4</v>
      </c>
      <c r="S2076">
        <v>8.4792605134036997E-2</v>
      </c>
      <c r="T2076">
        <v>0.81620858545166908</v>
      </c>
      <c r="U2076">
        <v>1.7013832604301799E-2</v>
      </c>
      <c r="V2076">
        <v>1.0413728081307319E-2</v>
      </c>
      <c r="W2076">
        <v>4.1146944068938429E-2</v>
      </c>
      <c r="X2076">
        <v>9.6022068911279842E-3</v>
      </c>
      <c r="Y2076">
        <v>1.8691650127263943E-3</v>
      </c>
    </row>
    <row r="2077" spans="1:25">
      <c r="A2077" s="876"/>
      <c r="B2077" s="1202">
        <v>1827</v>
      </c>
      <c r="C2077" s="880">
        <v>0.98813498630712093</v>
      </c>
      <c r="D2077" s="880">
        <v>0.99756566795405643</v>
      </c>
      <c r="E2077" s="880">
        <v>1.009851839295834</v>
      </c>
      <c r="F2077" s="880">
        <v>1.009486874280648</v>
      </c>
      <c r="G2077" s="880">
        <v>1.0343152954778037</v>
      </c>
      <c r="H2077" s="880">
        <v>1.013874632063132</v>
      </c>
      <c r="I2077" s="880">
        <v>0.97213892346582775</v>
      </c>
      <c r="K2077">
        <v>1.0775289223935458</v>
      </c>
      <c r="L2077">
        <v>0</v>
      </c>
      <c r="M2077">
        <v>6.9441111694341483E-4</v>
      </c>
      <c r="N2077">
        <v>7.1364818072914393E-2</v>
      </c>
      <c r="O2077">
        <v>8.9046231340873666E-3</v>
      </c>
      <c r="P2077">
        <v>1.2734967255040487E-2</v>
      </c>
      <c r="Q2077">
        <v>3.0228169168759244E-3</v>
      </c>
      <c r="R2077">
        <v>6.8284179863668272E-4</v>
      </c>
      <c r="S2077">
        <v>8.468305391214305E-2</v>
      </c>
      <c r="T2077">
        <v>0.81504301701372361</v>
      </c>
      <c r="U2077">
        <v>1.7113682948471598E-2</v>
      </c>
      <c r="V2077">
        <v>1.0414302089394071E-2</v>
      </c>
      <c r="W2077">
        <v>4.2372355023270532E-2</v>
      </c>
      <c r="X2077">
        <v>1.0028385068780905E-2</v>
      </c>
      <c r="Y2077">
        <v>1.8584702771506261E-3</v>
      </c>
    </row>
    <row r="2078" spans="1:25">
      <c r="A2078" s="876"/>
      <c r="B2078" s="1202">
        <v>1828</v>
      </c>
      <c r="C2078" s="880">
        <v>0.99397482017021099</v>
      </c>
      <c r="D2078" s="880">
        <v>1.0052157122653993</v>
      </c>
      <c r="E2078" s="880">
        <v>0.98575171025886243</v>
      </c>
      <c r="F2078" s="880">
        <v>0.97650582861913515</v>
      </c>
      <c r="G2078" s="880">
        <v>0.98497760514242405</v>
      </c>
      <c r="H2078" s="880">
        <v>0.98545791763045698</v>
      </c>
      <c r="I2078" s="880">
        <v>1.0446788516666687</v>
      </c>
      <c r="K2078">
        <v>1.0765459914631261</v>
      </c>
      <c r="L2078">
        <v>0</v>
      </c>
      <c r="M2078">
        <v>7.0304119561465962E-4</v>
      </c>
      <c r="N2078">
        <v>6.6998313369907053E-2</v>
      </c>
      <c r="O2078">
        <v>8.8163213154432672E-3</v>
      </c>
      <c r="P2078">
        <v>1.2591341638575438E-2</v>
      </c>
      <c r="Q2078">
        <v>2.9227904430841204E-3</v>
      </c>
      <c r="R2078">
        <v>6.9098357747480609E-4</v>
      </c>
      <c r="S2078">
        <v>8.9058771719867591E-2</v>
      </c>
      <c r="T2078">
        <v>0.81699054545851979</v>
      </c>
      <c r="U2078">
        <v>1.7013136070244298E-2</v>
      </c>
      <c r="V2078">
        <v>1.0413724077153063E-2</v>
      </c>
      <c r="W2078">
        <v>4.0442228266677496E-2</v>
      </c>
      <c r="X2078">
        <v>9.4302472065807517E-3</v>
      </c>
      <c r="Y2078">
        <v>1.8806295152113252E-3</v>
      </c>
    </row>
    <row r="2079" spans="1:25">
      <c r="A2079" s="876"/>
      <c r="B2079" s="1202">
        <v>1829</v>
      </c>
      <c r="C2079" s="880">
        <v>1.0204241830709657</v>
      </c>
      <c r="D2079" s="880">
        <v>0.9962611032802926</v>
      </c>
      <c r="E2079" s="880">
        <v>0.96779615050195678</v>
      </c>
      <c r="F2079" s="880">
        <v>0.98932664707584739</v>
      </c>
      <c r="G2079" s="880">
        <v>0.96135915482210377</v>
      </c>
      <c r="H2079" s="880">
        <v>1.0017105253145242</v>
      </c>
      <c r="I2079" s="880">
        <v>1.0158075571377336</v>
      </c>
      <c r="K2079">
        <v>1.0709741273967706</v>
      </c>
      <c r="L2079">
        <v>0</v>
      </c>
      <c r="M2079">
        <v>7.2628812363141051E-4</v>
      </c>
      <c r="N2079">
        <v>6.5466272409278464E-2</v>
      </c>
      <c r="O2079">
        <v>8.6288761039587901E-3</v>
      </c>
      <c r="P2079">
        <v>1.2383704952563492E-2</v>
      </c>
      <c r="Q2079">
        <v>2.8069467439142725E-3</v>
      </c>
      <c r="R2079">
        <v>7.1404195372879549E-4</v>
      </c>
      <c r="S2079">
        <v>8.5309141721504431E-2</v>
      </c>
      <c r="T2079">
        <v>0.81845432782094663</v>
      </c>
      <c r="U2079">
        <v>1.6572156115567425E-2</v>
      </c>
      <c r="V2079">
        <v>1.0411189022695435E-2</v>
      </c>
      <c r="W2079">
        <v>4.0014012328029043E-2</v>
      </c>
      <c r="X2079">
        <v>8.9963595340308462E-3</v>
      </c>
      <c r="Y2079">
        <v>1.9433868141829952E-3</v>
      </c>
    </row>
    <row r="2080" spans="1:25">
      <c r="A2080" s="876"/>
      <c r="B2080" s="1202">
        <v>1830</v>
      </c>
      <c r="C2080" s="880">
        <v>0.96751197510362696</v>
      </c>
      <c r="D2080" s="880">
        <v>0.98328840055445677</v>
      </c>
      <c r="E2080" s="880">
        <v>1.0026351010578938</v>
      </c>
      <c r="F2080" s="880">
        <v>1.0114564706731248</v>
      </c>
      <c r="G2080" s="880">
        <v>1.0095653798107147</v>
      </c>
      <c r="H2080" s="880">
        <v>0.97183840469655192</v>
      </c>
      <c r="I2080" s="880">
        <v>1.0205230026283665</v>
      </c>
      <c r="K2080">
        <v>1.0816751154793356</v>
      </c>
      <c r="L2080">
        <v>0</v>
      </c>
      <c r="M2080">
        <v>6.9554757288428745E-4</v>
      </c>
      <c r="N2080">
        <v>6.9845399045918549E-2</v>
      </c>
      <c r="O2080">
        <v>9.1646758186469755E-3</v>
      </c>
      <c r="P2080">
        <v>1.2750484811910169E-2</v>
      </c>
      <c r="Q2080">
        <v>3.0853488951181505E-3</v>
      </c>
      <c r="R2080">
        <v>6.8347092197940443E-4</v>
      </c>
      <c r="S2080">
        <v>8.9848352230942494E-2</v>
      </c>
      <c r="T2080">
        <v>0.815624131087612</v>
      </c>
      <c r="U2080">
        <v>1.7478469828904303E-2</v>
      </c>
      <c r="V2080">
        <v>1.0416399133936589E-2</v>
      </c>
      <c r="W2080">
        <v>4.167460244979368E-2</v>
      </c>
      <c r="X2080">
        <v>9.9391462839590484E-3</v>
      </c>
      <c r="Y2080">
        <v>1.8601825434990604E-3</v>
      </c>
    </row>
    <row r="2081" spans="1:25">
      <c r="A2081" s="876"/>
      <c r="B2081" s="1202">
        <v>1831</v>
      </c>
      <c r="C2081" s="880">
        <v>0.97242322253758007</v>
      </c>
      <c r="D2081" s="880">
        <v>0.97377483453644997</v>
      </c>
      <c r="E2081" s="880">
        <v>0.9683332392882622</v>
      </c>
      <c r="F2081" s="880">
        <v>0.99150016727166801</v>
      </c>
      <c r="G2081" s="880">
        <v>0.99856319288736406</v>
      </c>
      <c r="H2081" s="880">
        <v>1.0108499638493982</v>
      </c>
      <c r="I2081" s="880">
        <v>0.98469908842468368</v>
      </c>
      <c r="K2081">
        <v>1.0834415180286332</v>
      </c>
      <c r="L2081">
        <v>0</v>
      </c>
      <c r="M2081">
        <v>7.7762875786226203E-4</v>
      </c>
      <c r="N2081">
        <v>7.022442076539144E-2</v>
      </c>
      <c r="O2081">
        <v>9.1658861897171845E-3</v>
      </c>
      <c r="P2081">
        <v>1.243649980853955E-2</v>
      </c>
      <c r="Q2081">
        <v>2.9781575270718947E-3</v>
      </c>
      <c r="R2081">
        <v>7.6465737221676779E-4</v>
      </c>
      <c r="S2081">
        <v>8.810852136352354E-2</v>
      </c>
      <c r="T2081">
        <v>0.8184103849656833</v>
      </c>
      <c r="U2081">
        <v>1.7390194386579304E-2</v>
      </c>
      <c r="V2081">
        <v>1.0415891666304142E-2</v>
      </c>
      <c r="W2081">
        <v>4.290613912064202E-2</v>
      </c>
      <c r="X2081">
        <v>9.3372483228864756E-3</v>
      </c>
      <c r="Y2081">
        <v>2.0811452979390354E-3</v>
      </c>
    </row>
    <row r="2082" spans="1:25">
      <c r="A2082" s="876"/>
      <c r="B2082" s="1202">
        <v>1832</v>
      </c>
      <c r="C2082" s="880">
        <v>0.97784406160073623</v>
      </c>
      <c r="D2082" s="880">
        <v>0.97897773793091969</v>
      </c>
      <c r="E2082" s="880">
        <v>0.99658578968535494</v>
      </c>
      <c r="F2082" s="880">
        <v>1.005487810971341</v>
      </c>
      <c r="G2082" s="880">
        <v>0.98454878567239823</v>
      </c>
      <c r="H2082" s="880">
        <v>0.9874797254030262</v>
      </c>
      <c r="I2082" s="880">
        <v>1.0354698927234802</v>
      </c>
      <c r="K2082">
        <v>1.0832735909722822</v>
      </c>
      <c r="L2082">
        <v>0</v>
      </c>
      <c r="M2082">
        <v>7.0989971854815029E-4</v>
      </c>
      <c r="N2082">
        <v>6.9977474308180646E-2</v>
      </c>
      <c r="O2082">
        <v>9.0891492222386159E-3</v>
      </c>
      <c r="P2082">
        <v>1.2712754233507546E-2</v>
      </c>
      <c r="Q2082">
        <v>3.0403624009300162E-3</v>
      </c>
      <c r="R2082">
        <v>6.9777305644062111E-4</v>
      </c>
      <c r="S2082">
        <v>9.0997867887271267E-2</v>
      </c>
      <c r="T2082">
        <v>0.81611260444356482</v>
      </c>
      <c r="U2082">
        <v>1.729378898949346E-2</v>
      </c>
      <c r="V2082">
        <v>1.0415337462129937E-2</v>
      </c>
      <c r="W2082">
        <v>4.1926638407855633E-2</v>
      </c>
      <c r="X2082">
        <v>9.8206320404131183E-3</v>
      </c>
      <c r="Y2082">
        <v>1.8991082388051339E-3</v>
      </c>
    </row>
    <row r="2083" spans="1:25">
      <c r="A2083" s="876"/>
      <c r="B2083" s="1202">
        <v>1833</v>
      </c>
      <c r="C2083" s="880">
        <v>0.9580993121371103</v>
      </c>
      <c r="D2083" s="880">
        <v>0.98014805283441908</v>
      </c>
      <c r="E2083" s="880">
        <v>1.001323336870082</v>
      </c>
      <c r="F2083" s="880">
        <v>1.0001296489105413</v>
      </c>
      <c r="G2083" s="880">
        <v>0.95487105966955799</v>
      </c>
      <c r="H2083" s="880">
        <v>0.97262663769818924</v>
      </c>
      <c r="I2083" s="880">
        <v>1.0182380001722779</v>
      </c>
      <c r="K2083">
        <v>1.0842899996751256</v>
      </c>
      <c r="L2083">
        <v>0</v>
      </c>
      <c r="M2083">
        <v>7.0609841542522943E-4</v>
      </c>
      <c r="N2083">
        <v>7.061746434698031E-2</v>
      </c>
      <c r="O2083">
        <v>9.2705407600857312E-3</v>
      </c>
      <c r="P2083">
        <v>1.2753497384282471E-2</v>
      </c>
      <c r="Q2083">
        <v>3.1161304741843545E-3</v>
      </c>
      <c r="R2083">
        <v>6.9385140804729126E-4</v>
      </c>
      <c r="S2083">
        <v>9.0702719229051321E-2</v>
      </c>
      <c r="T2083">
        <v>0.81572994861487869</v>
      </c>
      <c r="U2083">
        <v>1.7650183704058822E-2</v>
      </c>
      <c r="V2083">
        <v>1.0417386262761926E-2</v>
      </c>
      <c r="W2083">
        <v>4.2173053847294105E-2</v>
      </c>
      <c r="X2083">
        <v>9.9828872542749615E-3</v>
      </c>
      <c r="Y2083">
        <v>1.8884348046495358E-3</v>
      </c>
    </row>
    <row r="2084" spans="1:25">
      <c r="A2084" s="876"/>
      <c r="B2084" s="1202">
        <v>1834</v>
      </c>
      <c r="C2084" s="880">
        <v>0.99437980942225346</v>
      </c>
      <c r="D2084" s="880">
        <v>1.034242131380817</v>
      </c>
      <c r="E2084" s="880">
        <v>0.99158373182948567</v>
      </c>
      <c r="F2084" s="880">
        <v>1.0189140502644394</v>
      </c>
      <c r="G2084" s="880">
        <v>1.0323884699290673</v>
      </c>
      <c r="H2084" s="880">
        <v>0.97930153899531358</v>
      </c>
      <c r="I2084" s="880">
        <v>1.0019858662616818</v>
      </c>
      <c r="K2084">
        <v>1.068861318089926</v>
      </c>
      <c r="L2084">
        <v>0</v>
      </c>
      <c r="M2084">
        <v>6.7950493722517165E-4</v>
      </c>
      <c r="N2084">
        <v>6.5932376779221549E-2</v>
      </c>
      <c r="O2084">
        <v>8.680203724600731E-3</v>
      </c>
      <c r="P2084">
        <v>1.2571314821733468E-2</v>
      </c>
      <c r="Q2084">
        <v>2.9008002472235609E-3</v>
      </c>
      <c r="R2084">
        <v>6.6775338642092606E-4</v>
      </c>
      <c r="S2084">
        <v>8.3967495827802455E-2</v>
      </c>
      <c r="T2084">
        <v>0.81651745211365834</v>
      </c>
      <c r="U2084">
        <v>1.7006206990242165E-2</v>
      </c>
      <c r="V2084">
        <v>1.0413684244060962E-2</v>
      </c>
      <c r="W2084">
        <v>3.9639036661512292E-2</v>
      </c>
      <c r="X2084">
        <v>9.4270936376801059E-3</v>
      </c>
      <c r="Y2084">
        <v>1.817404592993087E-3</v>
      </c>
    </row>
    <row r="2085" spans="1:25">
      <c r="A2085" s="876"/>
      <c r="B2085" s="1202">
        <v>1835</v>
      </c>
      <c r="C2085" s="880">
        <v>0.9978919179204998</v>
      </c>
      <c r="D2085" s="880">
        <v>0.95990804935558971</v>
      </c>
      <c r="E2085" s="880">
        <v>0.99629032110335269</v>
      </c>
      <c r="F2085" s="880">
        <v>1.009906972886615</v>
      </c>
      <c r="G2085" s="880">
        <v>0.97191309286067207</v>
      </c>
      <c r="H2085" s="880">
        <v>0.99516721304811229</v>
      </c>
      <c r="I2085" s="880">
        <v>0.9891487711240633</v>
      </c>
      <c r="K2085">
        <v>1.0777564543330678</v>
      </c>
      <c r="L2085">
        <v>0</v>
      </c>
      <c r="M2085">
        <v>7.0889107869959048E-4</v>
      </c>
      <c r="N2085">
        <v>6.982496089390744E-2</v>
      </c>
      <c r="O2085">
        <v>9.0007497090941069E-3</v>
      </c>
      <c r="P2085">
        <v>1.2641579304954884E-2</v>
      </c>
      <c r="Q2085">
        <v>3.0054177862030426E-3</v>
      </c>
      <c r="R2085">
        <v>6.9689276810393859E-4</v>
      </c>
      <c r="S2085">
        <v>8.6300645883587837E-2</v>
      </c>
      <c r="T2085">
        <v>0.81613649495350193</v>
      </c>
      <c r="U2085">
        <v>1.6946353169381648E-2</v>
      </c>
      <c r="V2085">
        <v>1.0413340163352143E-2</v>
      </c>
      <c r="W2085">
        <v>4.1843740629746308E-2</v>
      </c>
      <c r="X2085">
        <v>9.7584577657933332E-3</v>
      </c>
      <c r="Y2085">
        <v>1.8967123841396568E-3</v>
      </c>
    </row>
    <row r="2086" spans="1:25">
      <c r="A2086" s="876"/>
      <c r="B2086" s="1202">
        <v>1836</v>
      </c>
      <c r="C2086" s="880">
        <v>1.000997249022672</v>
      </c>
      <c r="D2086" s="880">
        <v>0.9980370755249075</v>
      </c>
      <c r="E2086" s="880">
        <v>1.0008854625492882</v>
      </c>
      <c r="F2086" s="880">
        <v>0.97713303673070828</v>
      </c>
      <c r="G2086" s="880">
        <v>0.99511892031219884</v>
      </c>
      <c r="H2086" s="880">
        <v>0.9925699951436221</v>
      </c>
      <c r="I2086" s="880">
        <v>0.97255908562727089</v>
      </c>
      <c r="K2086">
        <v>1.0709541494417396</v>
      </c>
      <c r="L2086">
        <v>0</v>
      </c>
      <c r="M2086">
        <v>6.8371506032178478E-4</v>
      </c>
      <c r="N2086">
        <v>6.8308447795642421E-2</v>
      </c>
      <c r="O2086">
        <v>8.7879888453806024E-3</v>
      </c>
      <c r="P2086">
        <v>1.2632460286404282E-2</v>
      </c>
      <c r="Q2086">
        <v>2.9566404877552992E-3</v>
      </c>
      <c r="R2086">
        <v>6.7207904066836452E-4</v>
      </c>
      <c r="S2086">
        <v>8.2870497865504919E-2</v>
      </c>
      <c r="T2086">
        <v>0.81576528412451021</v>
      </c>
      <c r="U2086">
        <v>1.6893781558803625E-2</v>
      </c>
      <c r="V2086">
        <v>1.0413037945769839E-2</v>
      </c>
      <c r="W2086">
        <v>4.0806314009298565E-2</v>
      </c>
      <c r="X2086">
        <v>9.7021549444201785E-3</v>
      </c>
      <c r="Y2086">
        <v>1.8291775979030749E-3</v>
      </c>
    </row>
    <row r="2087" spans="1:25">
      <c r="A2087" s="876"/>
      <c r="B2087" s="1202">
        <v>1837</v>
      </c>
      <c r="C2087" s="880">
        <v>1.0050225310581231</v>
      </c>
      <c r="D2087" s="880">
        <v>1.0124488126697824</v>
      </c>
      <c r="E2087" s="880">
        <v>1.0299008117167161</v>
      </c>
      <c r="F2087" s="880">
        <v>0.96641382013332577</v>
      </c>
      <c r="G2087" s="880">
        <v>1.0231028090123071</v>
      </c>
      <c r="H2087" s="880">
        <v>1.0344077254155126</v>
      </c>
      <c r="I2087" s="880">
        <v>0.97445608128553562</v>
      </c>
      <c r="K2087">
        <v>1.0758652943826426</v>
      </c>
      <c r="L2087">
        <v>0</v>
      </c>
      <c r="M2087">
        <v>6.6244880618089455E-4</v>
      </c>
      <c r="N2087">
        <v>7.2478157638028451E-2</v>
      </c>
      <c r="O2087">
        <v>8.6861613578164965E-3</v>
      </c>
      <c r="P2087">
        <v>1.2881509774302878E-2</v>
      </c>
      <c r="Q2087">
        <v>3.0113439590691536E-3</v>
      </c>
      <c r="R2087">
        <v>6.516193369022023E-4</v>
      </c>
      <c r="S2087">
        <v>8.3552438011389341E-2</v>
      </c>
      <c r="T2087">
        <v>0.81343792136473958</v>
      </c>
      <c r="U2087">
        <v>1.6826119159884193E-2</v>
      </c>
      <c r="V2087">
        <v>1.0412648976012446E-2</v>
      </c>
      <c r="W2087">
        <v>4.2455075079480868E-2</v>
      </c>
      <c r="X2087">
        <v>1.0361255502404911E-2</v>
      </c>
      <c r="Y2087">
        <v>1.7734930287911157E-3</v>
      </c>
    </row>
    <row r="2088" spans="1:25">
      <c r="A2088" s="876"/>
      <c r="B2088" s="1202">
        <v>1838</v>
      </c>
      <c r="C2088" s="880">
        <v>0.95467685825580861</v>
      </c>
      <c r="D2088" s="880">
        <v>1.00747560962746</v>
      </c>
      <c r="E2088" s="880">
        <v>1.0325938137727741</v>
      </c>
      <c r="F2088" s="880">
        <v>1.0239510186907852</v>
      </c>
      <c r="G2088" s="880">
        <v>0.98950277103677486</v>
      </c>
      <c r="H2088" s="880">
        <v>0.98654634937650654</v>
      </c>
      <c r="I2088" s="880">
        <v>1.0138345171701801</v>
      </c>
      <c r="K2088">
        <v>1.0848559296816362</v>
      </c>
      <c r="L2088">
        <v>0</v>
      </c>
      <c r="M2088">
        <v>6.6307008520790787E-4</v>
      </c>
      <c r="N2088">
        <v>7.3096553488505564E-2</v>
      </c>
      <c r="O2088">
        <v>9.1682538573654281E-3</v>
      </c>
      <c r="P2088">
        <v>1.3005328805991333E-2</v>
      </c>
      <c r="Q2088">
        <v>3.185778661562764E-3</v>
      </c>
      <c r="R2088">
        <v>6.5170867624805655E-4</v>
      </c>
      <c r="S2088">
        <v>8.9927714446889906E-2</v>
      </c>
      <c r="T2088">
        <v>0.81322336758137503</v>
      </c>
      <c r="U2088">
        <v>1.7713458454254382E-2</v>
      </c>
      <c r="V2088">
        <v>1.0417750009312832E-2</v>
      </c>
      <c r="W2088">
        <v>4.2740176073908745E-2</v>
      </c>
      <c r="X2088">
        <v>1.0615173530390563E-2</v>
      </c>
      <c r="Y2088">
        <v>1.7737361810398233E-3</v>
      </c>
    </row>
    <row r="2089" spans="1:25">
      <c r="A2089" s="876"/>
      <c r="B2089" s="1202">
        <v>1839</v>
      </c>
      <c r="C2089" s="880">
        <v>0.99271622315918828</v>
      </c>
      <c r="D2089" s="880">
        <v>0.97470952551344825</v>
      </c>
      <c r="E2089" s="880">
        <v>0.96945787780607895</v>
      </c>
      <c r="F2089" s="880">
        <v>0.99895933941038628</v>
      </c>
      <c r="G2089" s="880">
        <v>0.99626185739584205</v>
      </c>
      <c r="H2089" s="880">
        <v>1.0183456810097817</v>
      </c>
      <c r="I2089" s="880">
        <v>0.98676362109454629</v>
      </c>
      <c r="K2089">
        <v>1.0797913467103009</v>
      </c>
      <c r="L2089">
        <v>0</v>
      </c>
      <c r="M2089">
        <v>7.6518295621064581E-4</v>
      </c>
      <c r="N2089">
        <v>6.9351825209726575E-2</v>
      </c>
      <c r="O2089">
        <v>8.9739142486702766E-3</v>
      </c>
      <c r="P2089">
        <v>1.2422696917830052E-2</v>
      </c>
      <c r="Q2089">
        <v>2.9193496178350851E-3</v>
      </c>
      <c r="R2089">
        <v>7.525122225270995E-4</v>
      </c>
      <c r="S2089">
        <v>8.6716968004168379E-2</v>
      </c>
      <c r="T2089">
        <v>0.81831840223031138</v>
      </c>
      <c r="U2089">
        <v>1.7034705862000052E-2</v>
      </c>
      <c r="V2089">
        <v>1.0413848075072134E-2</v>
      </c>
      <c r="W2089">
        <v>4.2339682474409848E-2</v>
      </c>
      <c r="X2089">
        <v>9.2645345998287696E-3</v>
      </c>
      <c r="Y2089">
        <v>2.0480902041312781E-3</v>
      </c>
    </row>
    <row r="2090" spans="1:25">
      <c r="A2090" s="876"/>
      <c r="B2090" s="1202">
        <v>1840</v>
      </c>
      <c r="C2090" s="880">
        <v>1.0222979420503322</v>
      </c>
      <c r="D2090" s="880">
        <v>0.99696683432883537</v>
      </c>
      <c r="E2090" s="880">
        <v>0.97805440277401001</v>
      </c>
      <c r="F2090" s="880">
        <v>1.0234011429864343</v>
      </c>
      <c r="G2090" s="880">
        <v>1.0073517932568314</v>
      </c>
      <c r="H2090" s="880">
        <v>1.0025023739641983</v>
      </c>
      <c r="I2090" s="880">
        <v>1.0073396089178523</v>
      </c>
      <c r="K2090">
        <v>1.070129777133999</v>
      </c>
      <c r="L2090">
        <v>0</v>
      </c>
      <c r="M2090">
        <v>7.0982220041044641E-4</v>
      </c>
      <c r="N2090">
        <v>6.6062030313001438E-2</v>
      </c>
      <c r="O2090">
        <v>8.6098074105082738E-3</v>
      </c>
      <c r="P2090">
        <v>1.2458024261455503E-2</v>
      </c>
      <c r="Q2090">
        <v>2.8303648580987758E-3</v>
      </c>
      <c r="R2090">
        <v>6.978624984036616E-4</v>
      </c>
      <c r="S2090">
        <v>8.4441080746462588E-2</v>
      </c>
      <c r="T2090">
        <v>0.81761671445960171</v>
      </c>
      <c r="U2090">
        <v>1.6541781187621524E-2</v>
      </c>
      <c r="V2090">
        <v>1.0411014406829851E-2</v>
      </c>
      <c r="W2090">
        <v>4.0090330375353055E-2</v>
      </c>
      <c r="X2090">
        <v>9.1812371467281818E-3</v>
      </c>
      <c r="Y2090">
        <v>1.8993516703439959E-3</v>
      </c>
    </row>
    <row r="2091" spans="1:25">
      <c r="A2091" s="876"/>
      <c r="B2091" s="1202">
        <v>1841</v>
      </c>
      <c r="C2091" s="880">
        <v>1.0170831697959277</v>
      </c>
      <c r="D2091" s="880">
        <v>1.0088699101845484</v>
      </c>
      <c r="E2091" s="880">
        <v>0.99284424975139596</v>
      </c>
      <c r="F2091" s="880">
        <v>0.98545563811841297</v>
      </c>
      <c r="G2091" s="880">
        <v>1.0218746184453711</v>
      </c>
      <c r="H2091" s="880">
        <v>0.99436791499698896</v>
      </c>
      <c r="I2091" s="880">
        <v>0.99083806089197246</v>
      </c>
      <c r="K2091">
        <v>1.0677674534268713</v>
      </c>
      <c r="L2091">
        <v>0</v>
      </c>
      <c r="M2091">
        <v>6.8170251936335079E-4</v>
      </c>
      <c r="N2091">
        <v>6.6425450154631305E-2</v>
      </c>
      <c r="O2091">
        <v>8.5993675167701008E-3</v>
      </c>
      <c r="P2091">
        <v>1.2559596067912911E-2</v>
      </c>
      <c r="Q2091">
        <v>2.8721608241076726E-3</v>
      </c>
      <c r="R2091">
        <v>6.7011255779434906E-4</v>
      </c>
      <c r="S2091">
        <v>8.2709703098615472E-2</v>
      </c>
      <c r="T2091">
        <v>0.81641535053135283</v>
      </c>
      <c r="U2091">
        <v>1.6626593938571826E-2</v>
      </c>
      <c r="V2091">
        <v>1.0411501968543445E-2</v>
      </c>
      <c r="W2091">
        <v>3.9900858822272997E-2</v>
      </c>
      <c r="X2091">
        <v>9.4346349858894611E-3</v>
      </c>
      <c r="Y2091">
        <v>1.8238254797709103E-3</v>
      </c>
    </row>
    <row r="2092" spans="1:25">
      <c r="A2092" s="876"/>
      <c r="B2092" s="1202">
        <v>1842</v>
      </c>
      <c r="C2092" s="880">
        <v>0.95968412969003059</v>
      </c>
      <c r="D2092" s="880">
        <v>0.97897985079586369</v>
      </c>
      <c r="E2092" s="880">
        <v>0.98806625234940559</v>
      </c>
      <c r="F2092" s="880">
        <v>1.0156538027120063</v>
      </c>
      <c r="G2092" s="880">
        <v>0.99042739103924016</v>
      </c>
      <c r="H2092" s="880">
        <v>1.0163701149905462</v>
      </c>
      <c r="I2092" s="880">
        <v>0.98290294275731382</v>
      </c>
      <c r="K2092">
        <v>1.0873781422637108</v>
      </c>
      <c r="L2092">
        <v>0</v>
      </c>
      <c r="M2092">
        <v>7.5795620399847637E-4</v>
      </c>
      <c r="N2092">
        <v>7.2795115302545121E-2</v>
      </c>
      <c r="O2092">
        <v>9.2611308941814782E-3</v>
      </c>
      <c r="P2092">
        <v>1.2619438324145716E-2</v>
      </c>
      <c r="Q2092">
        <v>3.0713634385680444E-3</v>
      </c>
      <c r="R2092">
        <v>7.4537666415040466E-4</v>
      </c>
      <c r="S2092">
        <v>8.9082652129637424E-2</v>
      </c>
      <c r="T2092">
        <v>0.81680265191488788</v>
      </c>
      <c r="U2092">
        <v>1.762103627931657E-2</v>
      </c>
      <c r="V2092">
        <v>1.04172187034245E-2</v>
      </c>
      <c r="W2092">
        <v>4.3871180732630244E-2</v>
      </c>
      <c r="X2092">
        <v>9.8202645177546521E-3</v>
      </c>
      <c r="Y2092">
        <v>2.0286695664661009E-3</v>
      </c>
    </row>
    <row r="2093" spans="1:25">
      <c r="A2093" s="876"/>
      <c r="B2093" s="1202">
        <v>1843</v>
      </c>
      <c r="C2093" s="880">
        <v>0.99481868721399935</v>
      </c>
      <c r="D2093" s="880">
        <v>0.9712634601854252</v>
      </c>
      <c r="E2093" s="880">
        <v>0.96598157074341173</v>
      </c>
      <c r="F2093" s="880">
        <v>1.0008197511395256</v>
      </c>
      <c r="G2093" s="880">
        <v>0.98719584356195555</v>
      </c>
      <c r="H2093" s="880">
        <v>0.97733698412810044</v>
      </c>
      <c r="I2093" s="880">
        <v>1.0137220363051791</v>
      </c>
      <c r="K2093">
        <v>1.0757144077336553</v>
      </c>
      <c r="L2093">
        <v>0</v>
      </c>
      <c r="M2093">
        <v>7.3956987589480897E-4</v>
      </c>
      <c r="N2093">
        <v>6.6261101952110116E-2</v>
      </c>
      <c r="O2093">
        <v>8.9719222049423428E-3</v>
      </c>
      <c r="P2093">
        <v>1.2403746233460019E-2</v>
      </c>
      <c r="Q2093">
        <v>2.9075581168112375E-3</v>
      </c>
      <c r="R2093">
        <v>7.2681276624442389E-4</v>
      </c>
      <c r="S2093">
        <v>8.7537860342885354E-2</v>
      </c>
      <c r="T2093">
        <v>0.81860286278972583</v>
      </c>
      <c r="U2093">
        <v>1.699870447077223E-2</v>
      </c>
      <c r="V2093">
        <v>1.04136411144465E-2</v>
      </c>
      <c r="W2093">
        <v>4.0551323873676069E-2</v>
      </c>
      <c r="X2093">
        <v>9.1002989885225656E-3</v>
      </c>
      <c r="Y2093">
        <v>1.9781447559533215E-3</v>
      </c>
    </row>
    <row r="2094" spans="1:25">
      <c r="A2094" s="876"/>
      <c r="B2094" s="1202">
        <v>1844</v>
      </c>
      <c r="C2094" s="880">
        <v>1.0341693851583</v>
      </c>
      <c r="D2094" s="880">
        <v>1.0081182995400959</v>
      </c>
      <c r="E2094" s="880">
        <v>0.96519528376642727</v>
      </c>
      <c r="F2094" s="880">
        <v>0.9874757618317036</v>
      </c>
      <c r="G2094" s="880">
        <v>0.97375377284524745</v>
      </c>
      <c r="H2094" s="880">
        <v>0.98561527704067087</v>
      </c>
      <c r="I2094" s="880">
        <v>1.0211107996791835</v>
      </c>
      <c r="K2094">
        <v>1.0647418105058997</v>
      </c>
      <c r="L2094">
        <v>0</v>
      </c>
      <c r="M2094">
        <v>7.0452478732231346E-4</v>
      </c>
      <c r="N2094">
        <v>6.2972922549176524E-2</v>
      </c>
      <c r="O2094">
        <v>8.4606506912775388E-3</v>
      </c>
      <c r="P2094">
        <v>1.2335454958944055E-2</v>
      </c>
      <c r="Q2094">
        <v>2.7473272214840667E-3</v>
      </c>
      <c r="R2094">
        <v>6.9244110300498195E-4</v>
      </c>
      <c r="S2094">
        <v>8.355187553784002E-2</v>
      </c>
      <c r="T2094">
        <v>0.81866725988946998</v>
      </c>
      <c r="U2094">
        <v>1.6351894678610944E-2</v>
      </c>
      <c r="V2094">
        <v>1.0409922809273064E-2</v>
      </c>
      <c r="W2094">
        <v>3.8560228292053536E-2</v>
      </c>
      <c r="X2094">
        <v>8.8117611428560182E-3</v>
      </c>
      <c r="Y2094">
        <v>1.8845964192313019E-3</v>
      </c>
    </row>
    <row r="2095" spans="1:25">
      <c r="A2095" s="876"/>
      <c r="B2095" s="1202">
        <v>1845</v>
      </c>
      <c r="C2095" s="880">
        <v>0.98385354932814639</v>
      </c>
      <c r="D2095" s="880">
        <v>1.0032343781280455</v>
      </c>
      <c r="E2095" s="880">
        <v>0.99155686311710278</v>
      </c>
      <c r="F2095" s="880">
        <v>0.95618995822115915</v>
      </c>
      <c r="G2095" s="880">
        <v>0.98716774526165685</v>
      </c>
      <c r="H2095" s="880">
        <v>1.021944211827164</v>
      </c>
      <c r="I2095" s="880">
        <v>1.030466035558838</v>
      </c>
      <c r="K2095">
        <v>1.0837654909292149</v>
      </c>
      <c r="L2095">
        <v>0</v>
      </c>
      <c r="M2095">
        <v>7.2840095924032653E-4</v>
      </c>
      <c r="N2095">
        <v>7.0725383321652388E-2</v>
      </c>
      <c r="O2095">
        <v>8.9163906778280001E-3</v>
      </c>
      <c r="P2095">
        <v>1.2658124715510928E-2</v>
      </c>
      <c r="Q2095">
        <v>2.9729367399223368E-3</v>
      </c>
      <c r="R2095">
        <v>7.163561659032689E-4</v>
      </c>
      <c r="S2095">
        <v>9.0202033850162622E-2</v>
      </c>
      <c r="T2095">
        <v>0.81651962905819309</v>
      </c>
      <c r="U2095">
        <v>1.7188156588447863E-2</v>
      </c>
      <c r="V2095">
        <v>1.0414730214824714E-2</v>
      </c>
      <c r="W2095">
        <v>4.2521414297794206E-2</v>
      </c>
      <c r="X2095">
        <v>9.7090509213725428E-3</v>
      </c>
      <c r="Y2095">
        <v>1.9496853368420738E-3</v>
      </c>
    </row>
    <row r="2096" spans="1:25">
      <c r="A2096" s="876"/>
      <c r="B2096" s="1202">
        <v>1846</v>
      </c>
      <c r="C2096" s="880">
        <v>0.96108681183857392</v>
      </c>
      <c r="D2096" s="880">
        <v>0.98500937106521436</v>
      </c>
      <c r="E2096" s="880">
        <v>1.0339751510432997</v>
      </c>
      <c r="F2096" s="880">
        <v>0.99419509430464359</v>
      </c>
      <c r="G2096" s="880">
        <v>1.0327952562434504</v>
      </c>
      <c r="H2096" s="880">
        <v>1.0188650432132527</v>
      </c>
      <c r="I2096" s="880">
        <v>0.9876312871480355</v>
      </c>
      <c r="K2096">
        <v>1.0888221452308788</v>
      </c>
      <c r="L2096">
        <v>0</v>
      </c>
      <c r="M2096">
        <v>6.8642817187449163E-4</v>
      </c>
      <c r="N2096">
        <v>7.6040784476695128E-2</v>
      </c>
      <c r="O2096">
        <v>9.2173320382015565E-3</v>
      </c>
      <c r="P2096">
        <v>1.3004969635889723E-2</v>
      </c>
      <c r="Q2096">
        <v>3.2017949383575913E-3</v>
      </c>
      <c r="R2096">
        <v>6.7505848982457497E-4</v>
      </c>
      <c r="S2096">
        <v>8.9199321345250215E-2</v>
      </c>
      <c r="T2096">
        <v>0.81311341135469795</v>
      </c>
      <c r="U2096">
        <v>1.7595318817872567E-2</v>
      </c>
      <c r="V2096">
        <v>1.0417070861862597E-2</v>
      </c>
      <c r="W2096">
        <v>4.4420649134167926E-2</v>
      </c>
      <c r="X2096">
        <v>1.0785575633600279E-2</v>
      </c>
      <c r="Y2096">
        <v>1.83728667633113E-3</v>
      </c>
    </row>
    <row r="2097" spans="1:25">
      <c r="A2097" s="876"/>
      <c r="B2097" s="1202">
        <v>1847</v>
      </c>
      <c r="C2097" s="880">
        <v>0.99053668824651131</v>
      </c>
      <c r="D2097" s="880">
        <v>1.0253528355999966</v>
      </c>
      <c r="E2097" s="880">
        <v>1.0081248156210254</v>
      </c>
      <c r="F2097" s="880">
        <v>0.95426568346245177</v>
      </c>
      <c r="G2097" s="880">
        <v>0.99678337053109645</v>
      </c>
      <c r="H2097" s="880">
        <v>0.98848088026071068</v>
      </c>
      <c r="I2097" s="880">
        <v>1.0274373954764162</v>
      </c>
      <c r="K2097">
        <v>1.0747269888648301</v>
      </c>
      <c r="L2097">
        <v>0</v>
      </c>
      <c r="M2097">
        <v>6.6801632828554437E-4</v>
      </c>
      <c r="N2097">
        <v>6.8252479991041809E-2</v>
      </c>
      <c r="O2097">
        <v>8.7539736333372871E-3</v>
      </c>
      <c r="P2097">
        <v>1.2753769390349478E-2</v>
      </c>
      <c r="Q2097">
        <v>2.9726118156816667E-3</v>
      </c>
      <c r="R2097">
        <v>6.565779087599734E-4</v>
      </c>
      <c r="S2097">
        <v>8.7141325446586301E-2</v>
      </c>
      <c r="T2097">
        <v>0.81518192103021681</v>
      </c>
      <c r="U2097">
        <v>1.70721883062083E-2</v>
      </c>
      <c r="V2097">
        <v>1.0414063549803506E-2</v>
      </c>
      <c r="W2097">
        <v>4.0572042790971839E-2</v>
      </c>
      <c r="X2097">
        <v>9.8370627033632276E-3</v>
      </c>
      <c r="Y2097">
        <v>1.7869886267951947E-3</v>
      </c>
    </row>
    <row r="2098" spans="1:25">
      <c r="A2098" s="876"/>
      <c r="B2098" s="1202">
        <v>1848</v>
      </c>
      <c r="C2098" s="880">
        <v>0.95641110235331872</v>
      </c>
      <c r="D2098" s="880">
        <v>0.97463448847520151</v>
      </c>
      <c r="E2098" s="880">
        <v>1.0032979076112594</v>
      </c>
      <c r="F2098" s="880">
        <v>0.9898730884606558</v>
      </c>
      <c r="G2098" s="880">
        <v>1.014692478526841</v>
      </c>
      <c r="H2098" s="880">
        <v>1.0246718316402486</v>
      </c>
      <c r="I2098" s="880">
        <v>1.0078063678739715</v>
      </c>
      <c r="K2098">
        <v>1.0929595009121575</v>
      </c>
      <c r="L2098">
        <v>0</v>
      </c>
      <c r="M2098">
        <v>7.443366661697813E-4</v>
      </c>
      <c r="N2098">
        <v>7.4968008908512546E-2</v>
      </c>
      <c r="O2098">
        <v>9.3149450902125508E-3</v>
      </c>
      <c r="P2098">
        <v>1.2790650975849839E-2</v>
      </c>
      <c r="Q2098">
        <v>3.1359342579997504E-3</v>
      </c>
      <c r="R2098">
        <v>7.3208729389383025E-4</v>
      </c>
      <c r="S2098">
        <v>9.2173322050385406E-2</v>
      </c>
      <c r="T2098">
        <v>0.81557068598500992</v>
      </c>
      <c r="U2098">
        <v>1.7681338939230774E-2</v>
      </c>
      <c r="V2098">
        <v>1.0417565364367233E-2</v>
      </c>
      <c r="W2098">
        <v>4.4710866393891997E-2</v>
      </c>
      <c r="X2098">
        <v>1.0215932037505671E-2</v>
      </c>
      <c r="Y2098">
        <v>1.9925002814674335E-3</v>
      </c>
    </row>
    <row r="2099" spans="1:25">
      <c r="A2099" s="876"/>
      <c r="B2099" s="1202">
        <v>1849</v>
      </c>
      <c r="C2099" s="880">
        <v>0.98206801739930838</v>
      </c>
      <c r="D2099" s="880">
        <v>1.0204277500294843</v>
      </c>
      <c r="E2099" s="880">
        <v>1.0038055421963183</v>
      </c>
      <c r="F2099" s="880">
        <v>0.9751545957144323</v>
      </c>
      <c r="G2099" s="880">
        <v>0.98754464861035263</v>
      </c>
      <c r="H2099" s="880">
        <v>0.99862204105490737</v>
      </c>
      <c r="I2099" s="880">
        <v>1.0012098936266887</v>
      </c>
      <c r="K2099">
        <v>1.0764371136776334</v>
      </c>
      <c r="L2099">
        <v>0</v>
      </c>
      <c r="M2099">
        <v>6.8867299275731232E-4</v>
      </c>
      <c r="N2099">
        <v>6.9436928074485579E-2</v>
      </c>
      <c r="O2099">
        <v>8.852112719511725E-3</v>
      </c>
      <c r="P2099">
        <v>1.2707085204180292E-2</v>
      </c>
      <c r="Q2099">
        <v>2.9918919013156992E-3</v>
      </c>
      <c r="R2099">
        <v>6.7700470641773771E-4</v>
      </c>
      <c r="S2099">
        <v>8.621989449452902E-2</v>
      </c>
      <c r="T2099">
        <v>0.8155297632029388</v>
      </c>
      <c r="U2099">
        <v>1.7219406972171603E-2</v>
      </c>
      <c r="V2099">
        <v>1.0414909863409011E-2</v>
      </c>
      <c r="W2099">
        <v>4.1397787602588193E-2</v>
      </c>
      <c r="X2099">
        <v>9.8364182925143855E-3</v>
      </c>
      <c r="Y2099">
        <v>1.8425836363275909E-3</v>
      </c>
    </row>
    <row r="2100" spans="1:25">
      <c r="A2100" s="876"/>
      <c r="B2100" s="1202">
        <v>1850</v>
      </c>
      <c r="C2100" s="880">
        <v>1.0094579886805297</v>
      </c>
      <c r="D2100" s="880">
        <v>0.99160910991477413</v>
      </c>
      <c r="E2100" s="880">
        <v>1.0095690059935836</v>
      </c>
      <c r="F2100" s="880">
        <v>0.98551598004832985</v>
      </c>
      <c r="G2100" s="880">
        <v>0.99844793890796091</v>
      </c>
      <c r="H2100" s="880">
        <v>0.97875800775848842</v>
      </c>
      <c r="I2100" s="880">
        <v>1.0173152224116153</v>
      </c>
      <c r="K2100">
        <v>1.0717227641770777</v>
      </c>
      <c r="L2100">
        <v>0</v>
      </c>
      <c r="M2100">
        <v>6.586872829666869E-4</v>
      </c>
      <c r="N2100">
        <v>6.7593382847995473E-2</v>
      </c>
      <c r="O2100">
        <v>8.744426075104365E-3</v>
      </c>
      <c r="P2100">
        <v>1.2742072958902215E-2</v>
      </c>
      <c r="Q2100">
        <v>2.9662658864983917E-3</v>
      </c>
      <c r="R2100">
        <v>6.4732441722214194E-4</v>
      </c>
      <c r="S2100">
        <v>8.5734861247238503E-2</v>
      </c>
      <c r="T2100">
        <v>0.81506575826394256</v>
      </c>
      <c r="U2100">
        <v>1.6752186872141556E-2</v>
      </c>
      <c r="V2100">
        <v>1.041222396264479E-2</v>
      </c>
      <c r="W2100">
        <v>4.0140807214316995E-2</v>
      </c>
      <c r="X2100">
        <v>9.8203380407946798E-3</v>
      </c>
      <c r="Y2100">
        <v>1.7618036732418832E-3</v>
      </c>
    </row>
    <row r="2101" spans="1:25">
      <c r="A2101" s="876"/>
      <c r="B2101" s="1202">
        <v>1851</v>
      </c>
      <c r="C2101" s="880">
        <v>1.0006639274855029</v>
      </c>
      <c r="D2101" s="880">
        <v>1.0444069526687965</v>
      </c>
      <c r="E2101" s="880">
        <v>0.9985855315563118</v>
      </c>
      <c r="F2101" s="880">
        <v>0.95742991326223748</v>
      </c>
      <c r="G2101" s="880">
        <v>0.98105854227322409</v>
      </c>
      <c r="H2101" s="880">
        <v>0.98498795037179865</v>
      </c>
      <c r="I2101" s="880">
        <v>1.0293479054639159</v>
      </c>
      <c r="K2101">
        <v>1.0697232187984531</v>
      </c>
      <c r="L2101">
        <v>0</v>
      </c>
      <c r="M2101">
        <v>6.6576465929087613E-4</v>
      </c>
      <c r="N2101">
        <v>6.6028199216466382E-2</v>
      </c>
      <c r="O2101">
        <v>8.5809859727302464E-3</v>
      </c>
      <c r="P2101">
        <v>1.2649348739572502E-2</v>
      </c>
      <c r="Q2101">
        <v>2.8900277642028415E-3</v>
      </c>
      <c r="R2101">
        <v>6.5430912031497841E-4</v>
      </c>
      <c r="S2101">
        <v>8.5508615112176709E-2</v>
      </c>
      <c r="T2101">
        <v>0.81595099055426612</v>
      </c>
      <c r="U2101">
        <v>1.6899408883905596E-2</v>
      </c>
      <c r="V2101">
        <v>1.0413070295484234E-2</v>
      </c>
      <c r="W2101">
        <v>3.9506265853970095E-2</v>
      </c>
      <c r="X2101">
        <v>9.5269482120998953E-3</v>
      </c>
      <c r="Y2101">
        <v>1.7808137325538284E-3</v>
      </c>
    </row>
    <row r="2102" spans="1:25">
      <c r="A2102" s="876"/>
      <c r="B2102" s="1202">
        <v>1852</v>
      </c>
      <c r="C2102" s="880">
        <v>1.0170875806847712</v>
      </c>
      <c r="D2102" s="880">
        <v>1.0061455449418242</v>
      </c>
      <c r="E2102" s="880">
        <v>1.0271804803663411</v>
      </c>
      <c r="F2102" s="880">
        <v>0.97302822886108753</v>
      </c>
      <c r="G2102" s="880">
        <v>1.0334459317969424</v>
      </c>
      <c r="H2102" s="880">
        <v>0.98478153136599744</v>
      </c>
      <c r="I2102" s="880">
        <v>1.0043843558734509</v>
      </c>
      <c r="K2102">
        <v>1.0686918995099237</v>
      </c>
      <c r="L2102">
        <v>0</v>
      </c>
      <c r="M2102">
        <v>6.2886637157009463E-4</v>
      </c>
      <c r="N2102">
        <v>6.816869755122229E-2</v>
      </c>
      <c r="O2102">
        <v>8.6117304667217166E-3</v>
      </c>
      <c r="P2102">
        <v>1.2857123006433527E-2</v>
      </c>
      <c r="Q2102">
        <v>2.976131551212144E-3</v>
      </c>
      <c r="R2102">
        <v>6.1807276152560755E-4</v>
      </c>
      <c r="S2102">
        <v>8.3615626828711806E-2</v>
      </c>
      <c r="T2102">
        <v>0.81365490386989281</v>
      </c>
      <c r="U2102">
        <v>1.6626521832630178E-2</v>
      </c>
      <c r="V2102">
        <v>1.0411501554029137E-2</v>
      </c>
      <c r="W2102">
        <v>4.0003681081382005E-2</v>
      </c>
      <c r="X2102">
        <v>1.009458506849179E-2</v>
      </c>
      <c r="Y2102">
        <v>1.6821903092416252E-3</v>
      </c>
    </row>
    <row r="2103" spans="1:25">
      <c r="A2103" s="876"/>
      <c r="B2103" s="1202">
        <v>1853</v>
      </c>
      <c r="C2103" s="880">
        <v>0.99148285068388842</v>
      </c>
      <c r="D2103" s="880">
        <v>1.0270447548773645</v>
      </c>
      <c r="E2103" s="880">
        <v>0.99692351597330109</v>
      </c>
      <c r="F2103" s="880">
        <v>1.0078064445272235</v>
      </c>
      <c r="G2103" s="880">
        <v>0.98498579366574224</v>
      </c>
      <c r="H2103" s="880">
        <v>1.0102931206620729</v>
      </c>
      <c r="I2103" s="880">
        <v>1.0019823435850044</v>
      </c>
      <c r="K2103">
        <v>1.0751259313160069</v>
      </c>
      <c r="L2103">
        <v>0</v>
      </c>
      <c r="M2103">
        <v>6.9778268615240582E-4</v>
      </c>
      <c r="N2103">
        <v>6.8878281422472348E-2</v>
      </c>
      <c r="O2103">
        <v>8.7379528191515159E-3</v>
      </c>
      <c r="P2103">
        <v>1.26389608925525E-2</v>
      </c>
      <c r="Q2103">
        <v>2.9343539648547003E-3</v>
      </c>
      <c r="R2103">
        <v>6.8609113862081014E-4</v>
      </c>
      <c r="S2103">
        <v>8.560884993027397E-2</v>
      </c>
      <c r="T2103">
        <v>0.81608530076047814</v>
      </c>
      <c r="U2103">
        <v>1.7055896483018407E-2</v>
      </c>
      <c r="V2103">
        <v>1.041396989325845E-2</v>
      </c>
      <c r="W2103">
        <v>4.1258505712982764E-2</v>
      </c>
      <c r="X2103">
        <v>9.6582370750513021E-3</v>
      </c>
      <c r="Y2103">
        <v>1.867313909442783E-3</v>
      </c>
    </row>
    <row r="2104" spans="1:25">
      <c r="A2104" s="876"/>
      <c r="B2104" s="1202">
        <v>1854</v>
      </c>
      <c r="C2104" s="880">
        <v>0.99913298165790665</v>
      </c>
      <c r="D2104" s="880">
        <v>1.0220516664165971</v>
      </c>
      <c r="E2104" s="880">
        <v>0.98401228477834191</v>
      </c>
      <c r="F2104" s="880">
        <v>1.0016730309908299</v>
      </c>
      <c r="G2104" s="880">
        <v>1.0049516396197851</v>
      </c>
      <c r="H2104" s="880">
        <v>1.0274270614199734</v>
      </c>
      <c r="I2104" s="880">
        <v>1.0007884282749122</v>
      </c>
      <c r="K2104">
        <v>1.0759772654140209</v>
      </c>
      <c r="L2104">
        <v>0</v>
      </c>
      <c r="M2104">
        <v>7.254377062092572E-4</v>
      </c>
      <c r="N2104">
        <v>6.8806747263122886E-2</v>
      </c>
      <c r="O2104">
        <v>8.6935603802491129E-3</v>
      </c>
      <c r="P2104">
        <v>1.2529710295557214E-2</v>
      </c>
      <c r="Q2104">
        <v>2.8805661976995158E-3</v>
      </c>
      <c r="R2104">
        <v>7.1348972456651073E-4</v>
      </c>
      <c r="S2104">
        <v>8.5664413030352965E-2</v>
      </c>
      <c r="T2104">
        <v>0.81713187073040627</v>
      </c>
      <c r="U2104">
        <v>1.6925303414458189E-2</v>
      </c>
      <c r="V2104">
        <v>1.0413219154960506E-2</v>
      </c>
      <c r="W2104">
        <v>4.1583842972651365E-2</v>
      </c>
      <c r="X2104">
        <v>9.4180961277607125E-3</v>
      </c>
      <c r="Y2104">
        <v>1.9418838284455508E-3</v>
      </c>
    </row>
    <row r="2105" spans="1:25">
      <c r="A2105" s="876"/>
      <c r="B2105" s="1202">
        <v>1855</v>
      </c>
      <c r="C2105" s="880">
        <v>1.0336025814272907</v>
      </c>
      <c r="D2105" s="880">
        <v>0.98935612301083964</v>
      </c>
      <c r="E2105" s="880">
        <v>0.99825658889356506</v>
      </c>
      <c r="F2105" s="880">
        <v>1.0094478769362343</v>
      </c>
      <c r="G2105" s="880">
        <v>0.97017338275891063</v>
      </c>
      <c r="H2105" s="880">
        <v>0.98992593471296131</v>
      </c>
      <c r="I2105" s="880">
        <v>1.0078042758201962</v>
      </c>
      <c r="K2105">
        <v>1.067155357367761</v>
      </c>
      <c r="L2105">
        <v>0</v>
      </c>
      <c r="M2105">
        <v>6.6714441477455633E-4</v>
      </c>
      <c r="N2105">
        <v>6.6107662974875039E-2</v>
      </c>
      <c r="O2105">
        <v>8.5505342335804105E-3</v>
      </c>
      <c r="P2105">
        <v>1.2610951947379099E-2</v>
      </c>
      <c r="Q2105">
        <v>2.8672808041349473E-3</v>
      </c>
      <c r="R2105">
        <v>6.5576740218836489E-4</v>
      </c>
      <c r="S2105">
        <v>8.3434948379633195E-2</v>
      </c>
      <c r="T2105">
        <v>0.81597756550398004</v>
      </c>
      <c r="U2105">
        <v>1.6360861679157828E-2</v>
      </c>
      <c r="V2105">
        <v>1.0409974357726613E-2</v>
      </c>
      <c r="W2105">
        <v>3.9562724381300533E-2</v>
      </c>
      <c r="X2105">
        <v>9.4994474234889343E-3</v>
      </c>
      <c r="Y2105">
        <v>1.7847826950906957E-3</v>
      </c>
    </row>
    <row r="2106" spans="1:25">
      <c r="A2106" s="876"/>
      <c r="B2106" s="1202">
        <v>1856</v>
      </c>
      <c r="C2106" s="880">
        <v>0.99825442732246628</v>
      </c>
      <c r="D2106" s="880">
        <v>1.0138532504721371</v>
      </c>
      <c r="E2106" s="880">
        <v>0.99776405702603632</v>
      </c>
      <c r="F2106" s="880">
        <v>1.0191091513530162</v>
      </c>
      <c r="G2106" s="880">
        <v>0.95099918492834201</v>
      </c>
      <c r="H2106" s="880">
        <v>1.0063197534305859</v>
      </c>
      <c r="I2106" s="880">
        <v>0.9566800002724053</v>
      </c>
      <c r="K2106">
        <v>1.0704675539687003</v>
      </c>
      <c r="L2106">
        <v>0</v>
      </c>
      <c r="M2106">
        <v>6.9384974188081293E-4</v>
      </c>
      <c r="N2106">
        <v>6.8665916527648946E-2</v>
      </c>
      <c r="O2106">
        <v>8.7385989091614512E-3</v>
      </c>
      <c r="P2106">
        <v>1.2589403617938951E-2</v>
      </c>
      <c r="Q2106">
        <v>2.9342452354409227E-3</v>
      </c>
      <c r="R2106">
        <v>6.8218916608726074E-4</v>
      </c>
      <c r="S2106">
        <v>8.1572017449037457E-2</v>
      </c>
      <c r="T2106">
        <v>0.81601736353365506</v>
      </c>
      <c r="U2106">
        <v>1.6940199214853794E-2</v>
      </c>
      <c r="V2106">
        <v>1.0413304786211537E-2</v>
      </c>
      <c r="W2106">
        <v>4.1107604804749731E-2</v>
      </c>
      <c r="X2106">
        <v>9.6438664393047654E-3</v>
      </c>
      <c r="Y2106">
        <v>1.8566940264913622E-3</v>
      </c>
    </row>
    <row r="2107" spans="1:25">
      <c r="A2107" s="876"/>
      <c r="B2107" s="1202">
        <v>1857</v>
      </c>
      <c r="C2107" s="880">
        <v>1.0034850531555499</v>
      </c>
      <c r="D2107" s="880">
        <v>1.0164310268529693</v>
      </c>
      <c r="E2107" s="880">
        <v>1.0394879719135051</v>
      </c>
      <c r="F2107" s="880">
        <v>0.99540037667547288</v>
      </c>
      <c r="G2107" s="880">
        <v>1.0431431682080228</v>
      </c>
      <c r="H2107" s="880">
        <v>0.98750498051750657</v>
      </c>
      <c r="I2107" s="880">
        <v>1.0485335909007194</v>
      </c>
      <c r="K2107">
        <v>1.0752361327660103</v>
      </c>
      <c r="L2107">
        <v>0</v>
      </c>
      <c r="M2107">
        <v>6.193620917622195E-4</v>
      </c>
      <c r="N2107">
        <v>6.9754897450631265E-2</v>
      </c>
      <c r="O2107">
        <v>8.6813024854391126E-3</v>
      </c>
      <c r="P2107">
        <v>1.3025209511145082E-2</v>
      </c>
      <c r="Q2107">
        <v>3.0391344019582173E-3</v>
      </c>
      <c r="R2107">
        <v>6.0875304556932139E-4</v>
      </c>
      <c r="S2107">
        <v>8.8128870331145581E-2</v>
      </c>
      <c r="T2107">
        <v>0.81267523291725419</v>
      </c>
      <c r="U2107">
        <v>1.6851899101810598E-2</v>
      </c>
      <c r="V2107">
        <v>1.0412797176754909E-2</v>
      </c>
      <c r="W2107">
        <v>4.0599070056361826E-2</v>
      </c>
      <c r="X2107">
        <v>1.0421503265050147E-2</v>
      </c>
      <c r="Y2107">
        <v>1.6568251146521534E-3</v>
      </c>
    </row>
    <row r="2108" spans="1:25">
      <c r="A2108" s="876"/>
      <c r="B2108" s="1202">
        <v>1858</v>
      </c>
      <c r="C2108" s="880">
        <v>1.0270311243325123</v>
      </c>
      <c r="D2108" s="880">
        <v>1.0164006694693801</v>
      </c>
      <c r="E2108" s="880">
        <v>1.0263878827627559</v>
      </c>
      <c r="F2108" s="880">
        <v>0.9929911916204015</v>
      </c>
      <c r="G2108" s="880">
        <v>1.0097420471096927</v>
      </c>
      <c r="H2108" s="880">
        <v>1.0130056051084675</v>
      </c>
      <c r="I2108" s="880">
        <v>1.0209094123382236</v>
      </c>
      <c r="K2108">
        <v>1.0709877829314556</v>
      </c>
      <c r="L2108">
        <v>0</v>
      </c>
      <c r="M2108">
        <v>6.3825229798503439E-4</v>
      </c>
      <c r="N2108">
        <v>6.9048781444203844E-2</v>
      </c>
      <c r="O2108">
        <v>8.4824068287574113E-3</v>
      </c>
      <c r="P2108">
        <v>1.2863960965533753E-2</v>
      </c>
      <c r="Q2108">
        <v>2.9313469176273131E-3</v>
      </c>
      <c r="R2108">
        <v>6.2759491415494736E-4</v>
      </c>
      <c r="S2108">
        <v>8.4739586490819363E-2</v>
      </c>
      <c r="T2108">
        <v>0.81371817155670123</v>
      </c>
      <c r="U2108">
        <v>1.6465546627852125E-2</v>
      </c>
      <c r="V2108">
        <v>1.0410576158427576E-2</v>
      </c>
      <c r="W2108">
        <v>4.0541719150466539E-2</v>
      </c>
      <c r="X2108">
        <v>1.0088237705173831E-2</v>
      </c>
      <c r="Y2108">
        <v>1.7081064697219172E-3</v>
      </c>
    </row>
    <row r="2109" spans="1:25">
      <c r="A2109" s="876"/>
      <c r="B2109" s="1202">
        <v>1859</v>
      </c>
      <c r="C2109" s="880">
        <v>1.0011201126281239</v>
      </c>
      <c r="D2109" s="880">
        <v>1.0028898284732386</v>
      </c>
      <c r="E2109" s="880">
        <v>0.99384669642234813</v>
      </c>
      <c r="F2109" s="880">
        <v>0.96095686366908151</v>
      </c>
      <c r="G2109" s="880">
        <v>1.0149338039379527</v>
      </c>
      <c r="H2109" s="880">
        <v>0.98063263471676076</v>
      </c>
      <c r="I2109" s="880">
        <v>0.96069710770179373</v>
      </c>
      <c r="K2109">
        <v>1.0673745972560928</v>
      </c>
      <c r="L2109">
        <v>0</v>
      </c>
      <c r="M2109">
        <v>6.8372487688492635E-4</v>
      </c>
      <c r="N2109">
        <v>6.6815034452846395E-2</v>
      </c>
      <c r="O2109">
        <v>8.7642122882837532E-3</v>
      </c>
      <c r="P2109">
        <v>1.255165824354949E-2</v>
      </c>
      <c r="Q2109">
        <v>2.9288828599271055E-3</v>
      </c>
      <c r="R2109">
        <v>6.7194284667220394E-4</v>
      </c>
      <c r="S2109">
        <v>8.124329142625647E-2</v>
      </c>
      <c r="T2109">
        <v>0.81633419112801109</v>
      </c>
      <c r="U2109">
        <v>1.6891708250230709E-2</v>
      </c>
      <c r="V2109">
        <v>1.0413026026973802E-2</v>
      </c>
      <c r="W2109">
        <v>4.010722885688104E-2</v>
      </c>
      <c r="X2109">
        <v>9.5083388306025068E-3</v>
      </c>
      <c r="Y2109">
        <v>1.8288069227418648E-3</v>
      </c>
    </row>
    <row r="2110" spans="1:25">
      <c r="A2110" s="876"/>
      <c r="B2110" s="1202">
        <v>1860</v>
      </c>
      <c r="C2110" s="880">
        <v>1.0044132048862753</v>
      </c>
      <c r="D2110" s="880">
        <v>0.98604235560328113</v>
      </c>
      <c r="E2110" s="880">
        <v>1.0141012624737167</v>
      </c>
      <c r="F2110" s="880">
        <v>1.0194579440562372</v>
      </c>
      <c r="G2110" s="880">
        <v>1.0288028545069374</v>
      </c>
      <c r="H2110" s="880">
        <v>0.9860182517517031</v>
      </c>
      <c r="I2110" s="880">
        <v>0.9987076223100565</v>
      </c>
      <c r="K2110">
        <v>1.0731531221921111</v>
      </c>
      <c r="L2110">
        <v>0</v>
      </c>
      <c r="M2110">
        <v>6.6254310298054881E-4</v>
      </c>
      <c r="N2110">
        <v>6.8963080745040511E-2</v>
      </c>
      <c r="O2110">
        <v>8.8147977242494808E-3</v>
      </c>
      <c r="P2110">
        <v>1.2772038623786133E-2</v>
      </c>
      <c r="Q2110">
        <v>3.0024324620523614E-3</v>
      </c>
      <c r="R2110">
        <v>6.512025899163724E-4</v>
      </c>
      <c r="S2110">
        <v>8.5087180134030327E-2</v>
      </c>
      <c r="T2110">
        <v>0.81470166940929956</v>
      </c>
      <c r="U2110">
        <v>1.6836326706663594E-2</v>
      </c>
      <c r="V2110">
        <v>1.0412707655974388E-2</v>
      </c>
      <c r="W2110">
        <v>4.0828443555316847E-2</v>
      </c>
      <c r="X2110">
        <v>9.9734269078858989E-3</v>
      </c>
      <c r="Y2110">
        <v>1.772358780876293E-3</v>
      </c>
    </row>
    <row r="2111" spans="1:25">
      <c r="A2111" s="876"/>
      <c r="B2111" s="1202">
        <v>1861</v>
      </c>
      <c r="C2111" s="880">
        <v>1.0308877588293317</v>
      </c>
      <c r="D2111" s="880">
        <v>1.0026312416754641</v>
      </c>
      <c r="E2111" s="880">
        <v>1.0118544305862809</v>
      </c>
      <c r="F2111" s="880">
        <v>0.98535357156864778</v>
      </c>
      <c r="G2111" s="880">
        <v>0.96284957119454451</v>
      </c>
      <c r="H2111" s="880">
        <v>1.0211310461860224</v>
      </c>
      <c r="I2111" s="880">
        <v>0.98760332399540141</v>
      </c>
      <c r="K2111">
        <v>1.0696005381562581</v>
      </c>
      <c r="L2111">
        <v>0</v>
      </c>
      <c r="M2111">
        <v>6.6575418699506544E-4</v>
      </c>
      <c r="N2111">
        <v>6.8854856543629051E-2</v>
      </c>
      <c r="O2111">
        <v>8.512309371824919E-3</v>
      </c>
      <c r="P2111">
        <v>1.2711781533961098E-2</v>
      </c>
      <c r="Q2111">
        <v>2.8965230119375974E-3</v>
      </c>
      <c r="R2111">
        <v>6.5473703592384318E-4</v>
      </c>
      <c r="S2111">
        <v>8.2502670384129381E-2</v>
      </c>
      <c r="T2111">
        <v>0.81488207628662457</v>
      </c>
      <c r="U2111">
        <v>1.6403947685978894E-2</v>
      </c>
      <c r="V2111">
        <v>1.0410222045569335E-2</v>
      </c>
      <c r="W2111">
        <v>4.0826524338206382E-2</v>
      </c>
      <c r="X2111">
        <v>9.8286657276888782E-3</v>
      </c>
      <c r="Y2111">
        <v>1.7819783777788159E-3</v>
      </c>
    </row>
    <row r="2112" spans="1:25">
      <c r="A2112" s="876"/>
      <c r="B2112" s="1202">
        <v>1862</v>
      </c>
      <c r="C2112" s="880">
        <v>1.03996320405748</v>
      </c>
      <c r="D2112" s="880">
        <v>1.0069255066818728</v>
      </c>
      <c r="E2112" s="880">
        <v>0.99226513914551095</v>
      </c>
      <c r="F2112" s="880">
        <v>0.98910572404659669</v>
      </c>
      <c r="G2112" s="880">
        <v>1.0126644559806655</v>
      </c>
      <c r="H2112" s="880">
        <v>0.96367358837600703</v>
      </c>
      <c r="I2112" s="880">
        <v>1.0257876634437513</v>
      </c>
      <c r="K2112">
        <v>1.0613936257131196</v>
      </c>
      <c r="L2112">
        <v>0</v>
      </c>
      <c r="M2112">
        <v>6.4757590664077218E-4</v>
      </c>
      <c r="N2112">
        <v>6.295194904915731E-2</v>
      </c>
      <c r="O2112">
        <v>8.4188244866970526E-3</v>
      </c>
      <c r="P2112">
        <v>1.255025316133123E-2</v>
      </c>
      <c r="Q2112">
        <v>2.8098134211289988E-3</v>
      </c>
      <c r="R2112">
        <v>6.3621707625278459E-4</v>
      </c>
      <c r="S2112">
        <v>8.2745137608430636E-2</v>
      </c>
      <c r="T2112">
        <v>0.81646225162722186</v>
      </c>
      <c r="U2112">
        <v>1.6260795381965933E-2</v>
      </c>
      <c r="V2112">
        <v>1.0409399108194155E-2</v>
      </c>
      <c r="W2112">
        <v>3.7829439418159333E-2</v>
      </c>
      <c r="X2112">
        <v>9.2355481285637947E-3</v>
      </c>
      <c r="Y2112">
        <v>1.7315731526572585E-3</v>
      </c>
    </row>
    <row r="2113" spans="1:25">
      <c r="A2113" s="876"/>
      <c r="B2113" s="1202">
        <v>1863</v>
      </c>
      <c r="C2113" s="880">
        <v>0.9970727668482382</v>
      </c>
      <c r="D2113" s="880">
        <v>1.0347063211280505</v>
      </c>
      <c r="E2113" s="880">
        <v>1.0031550001967864</v>
      </c>
      <c r="F2113" s="880">
        <v>0.98100283042778891</v>
      </c>
      <c r="G2113" s="880">
        <v>1.0277201006871395</v>
      </c>
      <c r="H2113" s="880">
        <v>1.015260789616383</v>
      </c>
      <c r="I2113" s="880">
        <v>0.95949074885999608</v>
      </c>
      <c r="K2113">
        <v>1.0702506520394348</v>
      </c>
      <c r="L2113">
        <v>0</v>
      </c>
      <c r="M2113">
        <v>6.8548380688604612E-4</v>
      </c>
      <c r="N2113">
        <v>6.8993969067577932E-2</v>
      </c>
      <c r="O2113">
        <v>8.6546951343633629E-3</v>
      </c>
      <c r="P2113">
        <v>1.2631961160035223E-2</v>
      </c>
      <c r="Q2113">
        <v>2.926259008636108E-3</v>
      </c>
      <c r="R2113">
        <v>6.7404837189273168E-4</v>
      </c>
      <c r="S2113">
        <v>8.1386366352339576E-2</v>
      </c>
      <c r="T2113">
        <v>0.81558220799594594</v>
      </c>
      <c r="U2113">
        <v>1.6960275546795984E-2</v>
      </c>
      <c r="V2113">
        <v>1.041342019870194E-2</v>
      </c>
      <c r="W2113">
        <v>4.1151968065475691E-2</v>
      </c>
      <c r="X2113">
        <v>9.7264274762490152E-3</v>
      </c>
      <c r="Y2113">
        <v>1.8345374683059383E-3</v>
      </c>
    </row>
    <row r="2114" spans="1:25">
      <c r="A2114" s="876"/>
      <c r="B2114" s="1202">
        <v>1864</v>
      </c>
      <c r="C2114" s="880">
        <v>0.97748577817086568</v>
      </c>
      <c r="D2114" s="880">
        <v>0.99518331305410257</v>
      </c>
      <c r="E2114" s="880">
        <v>1.0249890322930844</v>
      </c>
      <c r="F2114" s="880">
        <v>0.97919339166025754</v>
      </c>
      <c r="G2114" s="880">
        <v>0.99815640132280081</v>
      </c>
      <c r="H2114" s="880">
        <v>1.0144131977417097</v>
      </c>
      <c r="I2114" s="880">
        <v>1.0369318139281232</v>
      </c>
      <c r="K2114">
        <v>1.0868143117230595</v>
      </c>
      <c r="L2114">
        <v>0</v>
      </c>
      <c r="M2114">
        <v>6.8112134487729895E-4</v>
      </c>
      <c r="N2114">
        <v>7.3370803456129993E-2</v>
      </c>
      <c r="O2114">
        <v>9.0131233385766542E-3</v>
      </c>
      <c r="P2114">
        <v>1.2957207007534163E-2</v>
      </c>
      <c r="Q2114">
        <v>3.1055516255523064E-3</v>
      </c>
      <c r="R2114">
        <v>6.6978146139118236E-4</v>
      </c>
      <c r="S2114">
        <v>9.1440617308833308E-2</v>
      </c>
      <c r="T2114">
        <v>0.81382988459704086</v>
      </c>
      <c r="U2114">
        <v>1.7300127780474343E-2</v>
      </c>
      <c r="V2114">
        <v>1.041537390183692E-2</v>
      </c>
      <c r="W2114">
        <v>4.3119899393632477E-2</v>
      </c>
      <c r="X2114">
        <v>1.045013885242678E-2</v>
      </c>
      <c r="Y2114">
        <v>1.8229243445073904E-3</v>
      </c>
    </row>
    <row r="2115" spans="1:25">
      <c r="A2115" s="876"/>
      <c r="B2115" s="1202">
        <v>1865</v>
      </c>
      <c r="C2115" s="880">
        <v>0.99634925706066235</v>
      </c>
      <c r="D2115" s="880">
        <v>0.99913213843918691</v>
      </c>
      <c r="E2115" s="880">
        <v>1.0042174604995047</v>
      </c>
      <c r="F2115" s="880">
        <v>0.988092076556637</v>
      </c>
      <c r="G2115" s="880">
        <v>0.98653646931276906</v>
      </c>
      <c r="H2115" s="880">
        <v>0.99234672226661436</v>
      </c>
      <c r="I2115" s="880">
        <v>1.0076361324074719</v>
      </c>
      <c r="K2115">
        <v>1.075023161427398</v>
      </c>
      <c r="L2115">
        <v>0</v>
      </c>
      <c r="M2115">
        <v>6.8154838647634444E-4</v>
      </c>
      <c r="N2115">
        <v>6.8801008828786606E-2</v>
      </c>
      <c r="O2115">
        <v>8.8238227321053783E-3</v>
      </c>
      <c r="P2115">
        <v>1.270692054205597E-2</v>
      </c>
      <c r="Q2115">
        <v>2.9788861294062375E-3</v>
      </c>
      <c r="R2115">
        <v>6.6994569647708968E-4</v>
      </c>
      <c r="S2115">
        <v>8.6204722935842179E-2</v>
      </c>
      <c r="T2115">
        <v>0.81549656299445905</v>
      </c>
      <c r="U2115">
        <v>1.6972591434293371E-2</v>
      </c>
      <c r="V2115">
        <v>1.0413490998848659E-2</v>
      </c>
      <c r="W2115">
        <v>4.1007129984356398E-2</v>
      </c>
      <c r="X2115">
        <v>9.8062561989725114E-3</v>
      </c>
      <c r="Y2115">
        <v>1.8233713382711486E-3</v>
      </c>
    </row>
    <row r="2116" spans="1:25">
      <c r="A2116" s="876"/>
      <c r="B2116" s="1202">
        <v>1866</v>
      </c>
      <c r="C2116" s="880">
        <v>1.0171067007765984</v>
      </c>
      <c r="D2116" s="880">
        <v>1.0349237507545583</v>
      </c>
      <c r="E2116" s="880">
        <v>1.0054234022375033</v>
      </c>
      <c r="F2116" s="880">
        <v>0.99872274898189861</v>
      </c>
      <c r="G2116" s="880">
        <v>1.0452436008935244</v>
      </c>
      <c r="H2116" s="880">
        <v>1.0081289182386062</v>
      </c>
      <c r="I2116" s="880">
        <v>1.0292457375108666</v>
      </c>
      <c r="K2116">
        <v>1.0706197465962783</v>
      </c>
      <c r="L2116">
        <v>0</v>
      </c>
      <c r="M2116">
        <v>6.6400533241759514E-4</v>
      </c>
      <c r="N2116">
        <v>6.729723313452525E-2</v>
      </c>
      <c r="O2116">
        <v>8.4832762556952702E-3</v>
      </c>
      <c r="P2116">
        <v>1.2700110309065897E-2</v>
      </c>
      <c r="Q2116">
        <v>2.874876712118815E-3</v>
      </c>
      <c r="R2116">
        <v>6.5284967422760967E-4</v>
      </c>
      <c r="S2116">
        <v>8.5321245839510437E-2</v>
      </c>
      <c r="T2116">
        <v>0.81539939845428222</v>
      </c>
      <c r="U2116">
        <v>1.6626209278771335E-2</v>
      </c>
      <c r="V2116">
        <v>1.0411499757255751E-2</v>
      </c>
      <c r="W2116">
        <v>4.0077868935666859E-2</v>
      </c>
      <c r="X2116">
        <v>9.6623419761658336E-3</v>
      </c>
      <c r="Y2116">
        <v>1.7768416014102837E-3</v>
      </c>
    </row>
    <row r="2117" spans="1:25">
      <c r="A2117" s="876"/>
      <c r="B2117" s="1202">
        <v>1867</v>
      </c>
      <c r="C2117" s="880">
        <v>0.98913248352557193</v>
      </c>
      <c r="D2117" s="880">
        <v>1.0345784173059032</v>
      </c>
      <c r="E2117" s="880">
        <v>0.98000699514711631</v>
      </c>
      <c r="F2117" s="880">
        <v>0.96045183063469541</v>
      </c>
      <c r="G2117" s="880">
        <v>0.978954529397287</v>
      </c>
      <c r="H2117" s="880">
        <v>0.9803780551077389</v>
      </c>
      <c r="I2117" s="880">
        <v>0.97594069339731493</v>
      </c>
      <c r="K2117">
        <v>1.067665611790779</v>
      </c>
      <c r="L2117">
        <v>0</v>
      </c>
      <c r="M2117">
        <v>7.0057920190320976E-4</v>
      </c>
      <c r="N2117">
        <v>6.5571228199712547E-2</v>
      </c>
      <c r="O2117">
        <v>8.7247441788788054E-3</v>
      </c>
      <c r="P2117">
        <v>1.2452362374865657E-2</v>
      </c>
      <c r="Q2117">
        <v>2.8817564184578275E-3</v>
      </c>
      <c r="R2117">
        <v>6.8847620624026102E-4</v>
      </c>
      <c r="S2117">
        <v>8.2242792398966813E-2</v>
      </c>
      <c r="T2117">
        <v>0.81745768302492372</v>
      </c>
      <c r="U2117">
        <v>1.7096424541308851E-2</v>
      </c>
      <c r="V2117">
        <v>1.0414202876263065E-2</v>
      </c>
      <c r="W2117">
        <v>3.9738568359853031E-2</v>
      </c>
      <c r="X2117">
        <v>9.224147135946539E-3</v>
      </c>
      <c r="Y2117">
        <v>1.873805277265599E-3</v>
      </c>
    </row>
    <row r="2118" spans="1:25">
      <c r="A2118" s="876"/>
      <c r="B2118" s="1202">
        <v>1868</v>
      </c>
      <c r="C2118" s="880">
        <v>1.004042422778181</v>
      </c>
      <c r="D2118" s="880">
        <v>0.98839828583215528</v>
      </c>
      <c r="E2118" s="880">
        <v>0.99595497292019874</v>
      </c>
      <c r="F2118" s="880">
        <v>1.0391677822285226</v>
      </c>
      <c r="G2118" s="880">
        <v>1.0189186824546965</v>
      </c>
      <c r="H2118" s="880">
        <v>0.99510520003655534</v>
      </c>
      <c r="I2118" s="880">
        <v>0.99940039408033499</v>
      </c>
      <c r="K2118">
        <v>1.0739056365272424</v>
      </c>
      <c r="L2118">
        <v>0</v>
      </c>
      <c r="M2118">
        <v>6.940900252870722E-4</v>
      </c>
      <c r="N2118">
        <v>6.8293132599703238E-2</v>
      </c>
      <c r="O2118">
        <v>8.8068244096914938E-3</v>
      </c>
      <c r="P2118">
        <v>1.2625119626353572E-2</v>
      </c>
      <c r="Q2118">
        <v>2.9461738827231856E-3</v>
      </c>
      <c r="R2118">
        <v>6.8231594873555145E-4</v>
      </c>
      <c r="S2118">
        <v>8.540175620754184E-2</v>
      </c>
      <c r="T2118">
        <v>0.81616361357348488</v>
      </c>
      <c r="U2118">
        <v>1.6842544181709735E-2</v>
      </c>
      <c r="V2118">
        <v>1.0412743398274393E-2</v>
      </c>
      <c r="W2118">
        <v>4.0935185012594973E-2</v>
      </c>
      <c r="X2118">
        <v>9.6332786246493725E-3</v>
      </c>
      <c r="Y2118">
        <v>1.8570390870661202E-3</v>
      </c>
    </row>
    <row r="2119" spans="1:25">
      <c r="A2119" s="876"/>
      <c r="B2119" s="1202">
        <v>1869</v>
      </c>
      <c r="C2119" s="880">
        <v>0.99719675366133231</v>
      </c>
      <c r="D2119" s="880">
        <v>0.98399943641585852</v>
      </c>
      <c r="E2119" s="880">
        <v>1.0026860557980142</v>
      </c>
      <c r="F2119" s="880">
        <v>0.98023158249811526</v>
      </c>
      <c r="G2119" s="880">
        <v>0.98614103723515545</v>
      </c>
      <c r="H2119" s="880">
        <v>1.0122342519584713</v>
      </c>
      <c r="I2119" s="880">
        <v>0.97244187344246147</v>
      </c>
      <c r="K2119">
        <v>1.0764696016126329</v>
      </c>
      <c r="L2119">
        <v>0</v>
      </c>
      <c r="M2119">
        <v>7.0254703648794069E-4</v>
      </c>
      <c r="N2119">
        <v>7.0609143692648632E-2</v>
      </c>
      <c r="O2119">
        <v>8.8884273294829296E-3</v>
      </c>
      <c r="P2119">
        <v>1.2670032551640129E-2</v>
      </c>
      <c r="Q2119">
        <v>2.9926637782717674E-3</v>
      </c>
      <c r="R2119">
        <v>6.9083502945156998E-4</v>
      </c>
      <c r="S2119">
        <v>8.4457284470365546E-2</v>
      </c>
      <c r="T2119">
        <v>0.8156200218455697</v>
      </c>
      <c r="U2119">
        <v>1.6958166784902692E-2</v>
      </c>
      <c r="V2119">
        <v>1.0413408076095962E-2</v>
      </c>
      <c r="W2119">
        <v>4.2128839265993361E-2</v>
      </c>
      <c r="X2119">
        <v>9.8631006082357305E-3</v>
      </c>
      <c r="Y2119">
        <v>1.8802252164609196E-3</v>
      </c>
    </row>
    <row r="2120" spans="1:25">
      <c r="A2120" s="876"/>
      <c r="B2120" s="1202">
        <v>1870</v>
      </c>
      <c r="C2120" s="880">
        <v>0.97042772931639731</v>
      </c>
      <c r="D2120" s="880">
        <v>0.9873403258439335</v>
      </c>
      <c r="E2120" s="880">
        <v>1.0107537991024027</v>
      </c>
      <c r="F2120" s="880">
        <v>1.0152614619325364</v>
      </c>
      <c r="G2120" s="880">
        <v>0.98868232742459894</v>
      </c>
      <c r="H2120" s="880">
        <v>1.0034293851260265</v>
      </c>
      <c r="I2120" s="880">
        <v>1.0010436525695763</v>
      </c>
      <c r="K2120">
        <v>1.0840365316085827</v>
      </c>
      <c r="L2120">
        <v>0</v>
      </c>
      <c r="M2120">
        <v>7.0230911104372492E-4</v>
      </c>
      <c r="N2120">
        <v>7.2367335665447785E-2</v>
      </c>
      <c r="O2120">
        <v>9.1170958130038695E-3</v>
      </c>
      <c r="P2120">
        <v>1.2804279863740763E-2</v>
      </c>
      <c r="Q2120">
        <v>3.0953446967412991E-3</v>
      </c>
      <c r="R2120">
        <v>6.9049537666953601E-4</v>
      </c>
      <c r="S2120">
        <v>8.8861666339398862E-2</v>
      </c>
      <c r="T2120">
        <v>0.81497051300003831</v>
      </c>
      <c r="U2120">
        <v>1.7425953891347306E-2</v>
      </c>
      <c r="V2120">
        <v>1.0416097236400945E-2</v>
      </c>
      <c r="W2120">
        <v>4.2941272829682013E-2</v>
      </c>
      <c r="X2120">
        <v>1.0169485213599391E-2</v>
      </c>
      <c r="Y2120">
        <v>1.8793007935547328E-3</v>
      </c>
    </row>
    <row r="2121" spans="1:25">
      <c r="A2121" s="876"/>
      <c r="B2121" s="1202">
        <v>1871</v>
      </c>
      <c r="C2121" s="880">
        <v>1.0140764957959125</v>
      </c>
      <c r="D2121" s="880">
        <v>1.0225010000936543</v>
      </c>
      <c r="E2121" s="880">
        <v>0.98932357648672964</v>
      </c>
      <c r="F2121" s="880">
        <v>1.0077882268573199</v>
      </c>
      <c r="G2121" s="880">
        <v>0.98308710182404235</v>
      </c>
      <c r="H2121" s="880">
        <v>0.98197763795903559</v>
      </c>
      <c r="I2121" s="880">
        <v>0.97403305519607775</v>
      </c>
      <c r="K2121">
        <v>1.0636548872884592</v>
      </c>
      <c r="L2121">
        <v>0</v>
      </c>
      <c r="M2121">
        <v>6.7538963147697171E-4</v>
      </c>
      <c r="N2121">
        <v>6.507762558099929E-2</v>
      </c>
      <c r="O2121">
        <v>8.5634481181267111E-3</v>
      </c>
      <c r="P2121">
        <v>1.2502115926475181E-2</v>
      </c>
      <c r="Q2121">
        <v>2.8528490576013358E-3</v>
      </c>
      <c r="R2121">
        <v>6.6375072720120751E-4</v>
      </c>
      <c r="S2121">
        <v>8.0585181852394647E-2</v>
      </c>
      <c r="T2121">
        <v>0.81670065898035227</v>
      </c>
      <c r="U2121">
        <v>1.6675890759779252E-2</v>
      </c>
      <c r="V2121">
        <v>1.0411785360396116E-2</v>
      </c>
      <c r="W2121">
        <v>3.9186113215338519E-2</v>
      </c>
      <c r="X2121">
        <v>9.3043466671976043E-3</v>
      </c>
      <c r="Y2121">
        <v>1.80651067407327E-3</v>
      </c>
    </row>
    <row r="2122" spans="1:25">
      <c r="A2122" s="876"/>
      <c r="B2122" s="1202">
        <v>1872</v>
      </c>
      <c r="C2122" s="880">
        <v>1.0187196197939388</v>
      </c>
      <c r="D2122" s="880">
        <v>1.0172439319870423</v>
      </c>
      <c r="E2122" s="880">
        <v>1.0049455163663625</v>
      </c>
      <c r="F2122" s="880">
        <v>0.98397222066687129</v>
      </c>
      <c r="G2122" s="880">
        <v>0.98518585325464958</v>
      </c>
      <c r="H2122" s="880">
        <v>1.0113844562201129</v>
      </c>
      <c r="I2122" s="880">
        <v>1.0262828542972922</v>
      </c>
      <c r="K2122">
        <v>1.0723767008184335</v>
      </c>
      <c r="L2122">
        <v>0</v>
      </c>
      <c r="M2122">
        <v>6.7188121327156852E-4</v>
      </c>
      <c r="N2122">
        <v>6.7999517852788766E-2</v>
      </c>
      <c r="O2122">
        <v>8.5478378115555736E-3</v>
      </c>
      <c r="P2122">
        <v>1.2702148195113078E-2</v>
      </c>
      <c r="Q2122">
        <v>2.8916859908898959E-3</v>
      </c>
      <c r="R2122">
        <v>6.6064363972234816E-4</v>
      </c>
      <c r="S2122">
        <v>8.5787333959837661E-2</v>
      </c>
      <c r="T2122">
        <v>0.81543789652178156</v>
      </c>
      <c r="U2122">
        <v>1.6599885324062959E-2</v>
      </c>
      <c r="V2122">
        <v>1.0411348429155661E-2</v>
      </c>
      <c r="W2122">
        <v>4.0509300300710802E-2</v>
      </c>
      <c r="X2122">
        <v>9.7029297998786155E-3</v>
      </c>
      <c r="Y2122">
        <v>1.7980542062069264E-3</v>
      </c>
    </row>
    <row r="2123" spans="1:25">
      <c r="A2123" s="876"/>
      <c r="B2123" s="1202">
        <v>1873</v>
      </c>
      <c r="C2123" s="880">
        <v>1.0184882067148688</v>
      </c>
      <c r="D2123" s="880">
        <v>1.0172010247043839</v>
      </c>
      <c r="E2123" s="880">
        <v>1.02159524941443</v>
      </c>
      <c r="F2123" s="880">
        <v>1.0206434844811108</v>
      </c>
      <c r="G2123" s="880">
        <v>0.97902006365612393</v>
      </c>
      <c r="H2123" s="880">
        <v>1.0094862166977181</v>
      </c>
      <c r="I2123" s="880">
        <v>0.99677423200125337</v>
      </c>
      <c r="K2123">
        <v>1.0701118588052061</v>
      </c>
      <c r="L2123">
        <v>0</v>
      </c>
      <c r="M2123">
        <v>6.4762900489997424E-4</v>
      </c>
      <c r="N2123">
        <v>6.902394262624191E-2</v>
      </c>
      <c r="O2123">
        <v>8.5499719911786305E-3</v>
      </c>
      <c r="P2123">
        <v>1.2805899415607501E-2</v>
      </c>
      <c r="Q2123">
        <v>2.9408540707519179E-3</v>
      </c>
      <c r="R2123">
        <v>6.3677672750183029E-4</v>
      </c>
      <c r="S2123">
        <v>8.3275554236840951E-2</v>
      </c>
      <c r="T2123">
        <v>0.81410119157652916</v>
      </c>
      <c r="U2123">
        <v>1.6603657022694032E-2</v>
      </c>
      <c r="V2123">
        <v>1.0411370111459635E-2</v>
      </c>
      <c r="W2123">
        <v>4.0658046971468048E-2</v>
      </c>
      <c r="X2123">
        <v>1.0019126720963526E-2</v>
      </c>
      <c r="Y2123">
        <v>1.733096338868177E-3</v>
      </c>
    </row>
    <row r="2124" spans="1:25">
      <c r="A2124" s="876"/>
      <c r="B2124" s="1202">
        <v>1874</v>
      </c>
      <c r="C2124" s="880">
        <v>1.0433687145150439</v>
      </c>
      <c r="D2124" s="880">
        <v>0.96102457373287342</v>
      </c>
      <c r="E2124" s="880">
        <v>1.021784350736038</v>
      </c>
      <c r="F2124" s="880">
        <v>1.0372309514850422</v>
      </c>
      <c r="G2124" s="880">
        <v>0.97620256612635159</v>
      </c>
      <c r="H2124" s="880">
        <v>0.9695274480114594</v>
      </c>
      <c r="I2124" s="880">
        <v>1.0035090726361953</v>
      </c>
      <c r="K2124">
        <v>1.0653587427654427</v>
      </c>
      <c r="L2124">
        <v>0</v>
      </c>
      <c r="M2124">
        <v>6.2556241096240319E-4</v>
      </c>
      <c r="N2124">
        <v>6.6669364060426409E-2</v>
      </c>
      <c r="O2124">
        <v>8.6030830342996786E-3</v>
      </c>
      <c r="P2124">
        <v>1.2795180653018072E-2</v>
      </c>
      <c r="Q2124">
        <v>2.9470845034494614E-3</v>
      </c>
      <c r="R2124">
        <v>6.146935281010318E-4</v>
      </c>
      <c r="S2124">
        <v>8.2788110880083365E-2</v>
      </c>
      <c r="T2124">
        <v>0.81408606403794004</v>
      </c>
      <c r="U2124">
        <v>1.6207720847574401E-2</v>
      </c>
      <c r="V2124">
        <v>1.0409093999461742E-2</v>
      </c>
      <c r="W2124">
        <v>3.9266094887653188E-2</v>
      </c>
      <c r="X2124">
        <v>9.9248215945725166E-3</v>
      </c>
      <c r="Y2124">
        <v>1.6729931498239289E-3</v>
      </c>
    </row>
    <row r="2125" spans="1:25">
      <c r="A2125" s="876"/>
      <c r="B2125" s="1202">
        <v>1875</v>
      </c>
      <c r="C2125" s="880">
        <v>1.047522265556911</v>
      </c>
      <c r="D2125" s="880">
        <v>0.99968356868695785</v>
      </c>
      <c r="E2125" s="880">
        <v>1.0034011839645069</v>
      </c>
      <c r="F2125" s="880">
        <v>1.0094374447898349</v>
      </c>
      <c r="G2125" s="880">
        <v>1.0032069682466602</v>
      </c>
      <c r="H2125" s="880">
        <v>0.97795652403184263</v>
      </c>
      <c r="I2125" s="880">
        <v>1.0042114222665512</v>
      </c>
      <c r="K2125">
        <v>1.0611224037376499</v>
      </c>
      <c r="L2125">
        <v>0</v>
      </c>
      <c r="M2125">
        <v>6.3976525933740727E-4</v>
      </c>
      <c r="N2125">
        <v>6.440286318600312E-2</v>
      </c>
      <c r="O2125">
        <v>8.3902967573718998E-3</v>
      </c>
      <c r="P2125">
        <v>1.2620202369459863E-2</v>
      </c>
      <c r="Q2125">
        <v>2.8303279569963928E-3</v>
      </c>
      <c r="R2125">
        <v>6.2871317629775594E-4</v>
      </c>
      <c r="S2125">
        <v>8.1199046767950186E-2</v>
      </c>
      <c r="T2125">
        <v>0.81556235968849555</v>
      </c>
      <c r="U2125">
        <v>1.6143455296352947E-2</v>
      </c>
      <c r="V2125">
        <v>1.0408724557108697E-2</v>
      </c>
      <c r="W2125">
        <v>3.8407113280279272E-2</v>
      </c>
      <c r="X2125">
        <v>9.4579159500319532E-3</v>
      </c>
      <c r="Y2125">
        <v>1.7111500106396259E-3</v>
      </c>
    </row>
    <row r="2126" spans="1:25">
      <c r="A2126" s="876"/>
      <c r="B2126" s="1202">
        <v>1876</v>
      </c>
      <c r="C2126" s="880">
        <v>0.99777515412016893</v>
      </c>
      <c r="D2126" s="880">
        <v>0.99449723939783741</v>
      </c>
      <c r="E2126" s="880">
        <v>0.98500035434049504</v>
      </c>
      <c r="F2126" s="880">
        <v>1.0054724594517102</v>
      </c>
      <c r="G2126" s="880">
        <v>0.97506472653544707</v>
      </c>
      <c r="H2126" s="880">
        <v>1.0082939467660228</v>
      </c>
      <c r="I2126" s="880">
        <v>0.98646024931562581</v>
      </c>
      <c r="K2126">
        <v>1.0752381817134671</v>
      </c>
      <c r="L2126">
        <v>0</v>
      </c>
      <c r="M2126">
        <v>7.2183020645950316E-4</v>
      </c>
      <c r="N2126">
        <v>6.8656125452192657E-2</v>
      </c>
      <c r="O2126">
        <v>8.8330943728547572E-3</v>
      </c>
      <c r="P2126">
        <v>1.2529803164110119E-2</v>
      </c>
      <c r="Q2126">
        <v>2.9237801248825626E-3</v>
      </c>
      <c r="R2126">
        <v>7.0974024703094067E-4</v>
      </c>
      <c r="S2126">
        <v>8.5033301288813506E-2</v>
      </c>
      <c r="T2126">
        <v>0.81705157923718219</v>
      </c>
      <c r="U2126">
        <v>1.6948336302144179E-2</v>
      </c>
      <c r="V2126">
        <v>1.0413351563755929E-2</v>
      </c>
      <c r="W2126">
        <v>4.1464465151558813E-2</v>
      </c>
      <c r="X2126">
        <v>9.4647560287920932E-3</v>
      </c>
      <c r="Y2126">
        <v>1.9316789866086659E-3</v>
      </c>
    </row>
    <row r="2127" spans="1:25">
      <c r="A2127" s="876"/>
      <c r="B2127" s="1202">
        <v>1877</v>
      </c>
      <c r="C2127" s="880">
        <v>0.96496116431527579</v>
      </c>
      <c r="D2127" s="880">
        <v>0.99250519237395385</v>
      </c>
      <c r="E2127" s="880">
        <v>1.0043702209926617</v>
      </c>
      <c r="F2127" s="880">
        <v>1.013059275424796</v>
      </c>
      <c r="G2127" s="880">
        <v>0.99719137236881816</v>
      </c>
      <c r="H2127" s="880">
        <v>1.0430898501453543</v>
      </c>
      <c r="I2127" s="880">
        <v>0.99817330487372691</v>
      </c>
      <c r="K2127">
        <v>1.0906475850636546</v>
      </c>
      <c r="L2127">
        <v>0</v>
      </c>
      <c r="M2127">
        <v>7.4208749951662305E-4</v>
      </c>
      <c r="N2127">
        <v>7.5011664998972452E-2</v>
      </c>
      <c r="O2127">
        <v>9.1432453905781769E-3</v>
      </c>
      <c r="P2127">
        <v>1.2772557297649404E-2</v>
      </c>
      <c r="Q2127">
        <v>3.0856578911887702E-3</v>
      </c>
      <c r="R2127">
        <v>7.3007464477548804E-4</v>
      </c>
      <c r="S2127">
        <v>9.0349978806992887E-2</v>
      </c>
      <c r="T2127">
        <v>0.81548425211613029</v>
      </c>
      <c r="U2127">
        <v>1.7524673003759633E-2</v>
      </c>
      <c r="V2127">
        <v>1.0416664741393656E-2</v>
      </c>
      <c r="W2127">
        <v>4.4704178147341858E-2</v>
      </c>
      <c r="X2127">
        <v>1.0179703010350854E-2</v>
      </c>
      <c r="Y2127">
        <v>1.9870225140369096E-3</v>
      </c>
    </row>
    <row r="2128" spans="1:25">
      <c r="A2128" s="876"/>
      <c r="B2128" s="1202">
        <v>1878</v>
      </c>
      <c r="C2128" s="880">
        <v>1.0342736388134051</v>
      </c>
      <c r="D2128" s="880">
        <v>0.99509390767987704</v>
      </c>
      <c r="E2128" s="880">
        <v>1.0285304221285867</v>
      </c>
      <c r="F2128" s="880">
        <v>0.99522214686802746</v>
      </c>
      <c r="G2128" s="880">
        <v>0.96674605151120163</v>
      </c>
      <c r="H2128" s="880">
        <v>1.0162717250708815</v>
      </c>
      <c r="I2128" s="880">
        <v>1.0218491317469645</v>
      </c>
      <c r="K2128">
        <v>1.0723550988307939</v>
      </c>
      <c r="L2128">
        <v>0</v>
      </c>
      <c r="M2128">
        <v>6.4012249020336371E-4</v>
      </c>
      <c r="N2128">
        <v>6.9718945151595282E-2</v>
      </c>
      <c r="O2128">
        <v>8.5186568154137637E-3</v>
      </c>
      <c r="P2128">
        <v>1.2886938393674914E-2</v>
      </c>
      <c r="Q2128">
        <v>2.9454724693074225E-3</v>
      </c>
      <c r="R2128">
        <v>6.2948475035806348E-4</v>
      </c>
      <c r="S2128">
        <v>8.5232593880196897E-2</v>
      </c>
      <c r="T2128">
        <v>0.81354719653703378</v>
      </c>
      <c r="U2128">
        <v>1.6350246425456131E-2</v>
      </c>
      <c r="V2128">
        <v>1.0409913333986361E-2</v>
      </c>
      <c r="W2128">
        <v>4.0876369228828674E-2</v>
      </c>
      <c r="X2128">
        <v>1.0166154354262635E-2</v>
      </c>
      <c r="Y2128">
        <v>1.7132499808824632E-3</v>
      </c>
    </row>
    <row r="2129" spans="1:25">
      <c r="A2129" s="876"/>
      <c r="B2129" s="1202">
        <v>1879</v>
      </c>
      <c r="C2129" s="880">
        <v>0.98976856928613377</v>
      </c>
      <c r="D2129" s="880">
        <v>0.98116234501818733</v>
      </c>
      <c r="E2129" s="880">
        <v>1.0067286052526934</v>
      </c>
      <c r="F2129" s="880">
        <v>0.99956809861960849</v>
      </c>
      <c r="G2129" s="880">
        <v>0.96321985040272984</v>
      </c>
      <c r="H2129" s="880">
        <v>0.99699066446099205</v>
      </c>
      <c r="I2129" s="880">
        <v>0.98149150953538955</v>
      </c>
      <c r="K2129">
        <v>1.0771271993945266</v>
      </c>
      <c r="L2129">
        <v>0</v>
      </c>
      <c r="M2129">
        <v>6.9231050853730636E-4</v>
      </c>
      <c r="N2129">
        <v>7.0442637928943452E-2</v>
      </c>
      <c r="O2129">
        <v>8.9689572000460765E-3</v>
      </c>
      <c r="P2129">
        <v>1.2719239553407535E-2</v>
      </c>
      <c r="Q2129">
        <v>3.0313825090529738E-3</v>
      </c>
      <c r="R2129">
        <v>6.8059519279199698E-4</v>
      </c>
      <c r="S2129">
        <v>8.5460934886658374E-2</v>
      </c>
      <c r="T2129">
        <v>0.81529429202076686</v>
      </c>
      <c r="U2129">
        <v>1.7085437334253922E-2</v>
      </c>
      <c r="V2129">
        <v>1.0414139714280493E-2</v>
      </c>
      <c r="W2129">
        <v>4.191377778433214E-2</v>
      </c>
      <c r="X2129">
        <v>9.9557600218940639E-3</v>
      </c>
      <c r="Y2129">
        <v>1.8523557566348097E-3</v>
      </c>
    </row>
    <row r="2130" spans="1:25">
      <c r="A2130" s="876"/>
      <c r="B2130" s="1202">
        <v>1880</v>
      </c>
      <c r="C2130" s="880">
        <v>0.99718065239609366</v>
      </c>
      <c r="D2130" s="880">
        <v>1.0245900572851572</v>
      </c>
      <c r="E2130" s="880">
        <v>1.0137648000438442</v>
      </c>
      <c r="F2130" s="880">
        <v>0.99026139914840838</v>
      </c>
      <c r="G2130" s="880">
        <v>1.0000462496511771</v>
      </c>
      <c r="H2130" s="880">
        <v>1.0223541474004907</v>
      </c>
      <c r="I2130" s="880">
        <v>0.9592525424113707</v>
      </c>
      <c r="K2130">
        <v>1.0726762571859594</v>
      </c>
      <c r="L2130">
        <v>0</v>
      </c>
      <c r="M2130">
        <v>6.7845564680672093E-4</v>
      </c>
      <c r="N2130">
        <v>7.0585915071070052E-2</v>
      </c>
      <c r="O2130">
        <v>8.6990916053557681E-3</v>
      </c>
      <c r="P2130">
        <v>1.2728316846820123E-2</v>
      </c>
      <c r="Q2130">
        <v>2.9705046786791078E-3</v>
      </c>
      <c r="R2130">
        <v>6.6722398971936711E-4</v>
      </c>
      <c r="S2130">
        <v>8.1996182838224171E-2</v>
      </c>
      <c r="T2130">
        <v>0.81472867434207497</v>
      </c>
      <c r="U2130">
        <v>1.6958440604837595E-2</v>
      </c>
      <c r="V2130">
        <v>1.0413409650200243E-2</v>
      </c>
      <c r="W2130">
        <v>4.1798744485963324E-2</v>
      </c>
      <c r="X2130">
        <v>9.9922449701350616E-3</v>
      </c>
      <c r="Y2130">
        <v>1.8159637496870196E-3</v>
      </c>
    </row>
    <row r="2131" spans="1:25">
      <c r="A2131" s="876"/>
      <c r="B2131" s="1202">
        <v>1881</v>
      </c>
      <c r="C2131" s="880">
        <v>0.99051403809301231</v>
      </c>
      <c r="D2131" s="880">
        <v>0.98874080018058674</v>
      </c>
      <c r="E2131" s="880">
        <v>1.0419442519978332</v>
      </c>
      <c r="F2131" s="880">
        <v>0.98921437969594261</v>
      </c>
      <c r="G2131" s="880">
        <v>0.99287753925102729</v>
      </c>
      <c r="H2131" s="880">
        <v>1.0173786884046236</v>
      </c>
      <c r="I2131" s="880">
        <v>1.0289654702454967</v>
      </c>
      <c r="K2131">
        <v>1.0846889467120009</v>
      </c>
      <c r="L2131">
        <v>0</v>
      </c>
      <c r="M2131">
        <v>6.5261658051517268E-4</v>
      </c>
      <c r="N2131">
        <v>7.4102699272013253E-2</v>
      </c>
      <c r="O2131">
        <v>8.9254564564213781E-3</v>
      </c>
      <c r="P2131">
        <v>1.3074233631796514E-2</v>
      </c>
      <c r="Q2131">
        <v>3.1257121460339359E-3</v>
      </c>
      <c r="R2131">
        <v>6.4178812244700329E-4</v>
      </c>
      <c r="S2131">
        <v>8.9945986963775162E-2</v>
      </c>
      <c r="T2131">
        <v>0.81248033359912708</v>
      </c>
      <c r="U2131">
        <v>1.7072578697127378E-2</v>
      </c>
      <c r="V2131">
        <v>1.0414065794037581E-2</v>
      </c>
      <c r="W2131">
        <v>4.3059188450714443E-2</v>
      </c>
      <c r="X2131">
        <v>1.0752784455118517E-2</v>
      </c>
      <c r="Y2131">
        <v>1.7467357039030378E-3</v>
      </c>
    </row>
    <row r="2132" spans="1:25">
      <c r="A2132" s="876"/>
      <c r="B2132" s="1202">
        <v>1882</v>
      </c>
      <c r="C2132" s="880">
        <v>1.0322990577061915</v>
      </c>
      <c r="D2132" s="880">
        <v>0.98008494558135473</v>
      </c>
      <c r="E2132" s="880">
        <v>1.018155304173237</v>
      </c>
      <c r="F2132" s="880">
        <v>1.0054865262903216</v>
      </c>
      <c r="G2132" s="880">
        <v>0.99965887196295988</v>
      </c>
      <c r="H2132" s="880">
        <v>0.99131078764768221</v>
      </c>
      <c r="I2132" s="880">
        <v>1.0187921357709553</v>
      </c>
      <c r="K2132">
        <v>1.0701395413620207</v>
      </c>
      <c r="L2132">
        <v>0</v>
      </c>
      <c r="M2132">
        <v>6.4466095602286658E-4</v>
      </c>
      <c r="N2132">
        <v>6.7959264236271952E-2</v>
      </c>
      <c r="O2132">
        <v>8.6044874528214028E-3</v>
      </c>
      <c r="P2132">
        <v>1.2796777506544373E-2</v>
      </c>
      <c r="Q2132">
        <v>2.9413177619119222E-3</v>
      </c>
      <c r="R2132">
        <v>6.3369035637494909E-4</v>
      </c>
      <c r="S2132">
        <v>8.4898091270957529E-2</v>
      </c>
      <c r="T2132">
        <v>0.81437658969760907</v>
      </c>
      <c r="U2132">
        <v>1.6381521168418449E-2</v>
      </c>
      <c r="V2132">
        <v>1.0410093122604238E-2</v>
      </c>
      <c r="W2132">
        <v>4.0123941736340124E-2</v>
      </c>
      <c r="X2132">
        <v>9.9337317541061138E-3</v>
      </c>
      <c r="Y2132">
        <v>1.7246962540827745E-3</v>
      </c>
    </row>
    <row r="2133" spans="1:25">
      <c r="A2133" s="876"/>
      <c r="B2133" s="1202">
        <v>1883</v>
      </c>
      <c r="C2133" s="880">
        <v>0.96336849998625007</v>
      </c>
      <c r="D2133" s="880">
        <v>1.0051204927776889</v>
      </c>
      <c r="E2133" s="880">
        <v>1.0071530896070426</v>
      </c>
      <c r="F2133" s="880">
        <v>0.99877160936478537</v>
      </c>
      <c r="G2133" s="880">
        <v>1.0250988545076924</v>
      </c>
      <c r="H2133" s="880">
        <v>1.0232573842982882</v>
      </c>
      <c r="I2133" s="880">
        <v>0.97999766699602131</v>
      </c>
      <c r="K2133">
        <v>1.084844789452968</v>
      </c>
      <c r="L2133">
        <v>0</v>
      </c>
      <c r="M2133">
        <v>7.2006160625031235E-4</v>
      </c>
      <c r="N2133">
        <v>7.3393312998951257E-2</v>
      </c>
      <c r="O2133">
        <v>9.0968760894950228E-3</v>
      </c>
      <c r="P2133">
        <v>1.275823373913031E-2</v>
      </c>
      <c r="Q2133">
        <v>3.0814886565396094E-3</v>
      </c>
      <c r="R2133">
        <v>7.0816835514000791E-4</v>
      </c>
      <c r="S2133">
        <v>8.7574084087743267E-2</v>
      </c>
      <c r="T2133">
        <v>0.81526012129297931</v>
      </c>
      <c r="U2133">
        <v>1.7553645221110869E-2</v>
      </c>
      <c r="V2133">
        <v>1.0416831293519137E-2</v>
      </c>
      <c r="W2133">
        <v>4.36568258657756E-2</v>
      </c>
      <c r="X2133">
        <v>1.0137862643777477E-2</v>
      </c>
      <c r="Y2133">
        <v>1.9274008150555705E-3</v>
      </c>
    </row>
    <row r="2134" spans="1:25">
      <c r="A2134" s="876"/>
      <c r="B2134" s="1202">
        <v>1884</v>
      </c>
      <c r="C2134" s="880">
        <v>0.99248740785666612</v>
      </c>
      <c r="D2134" s="880">
        <v>0.96847283713680798</v>
      </c>
      <c r="E2134" s="880">
        <v>1.0086065115399585</v>
      </c>
      <c r="F2134" s="880">
        <v>1.0203904051931401</v>
      </c>
      <c r="G2134" s="880">
        <v>0.99141938162951837</v>
      </c>
      <c r="H2134" s="880">
        <v>1.0296836674943199</v>
      </c>
      <c r="I2134" s="880">
        <v>1.0284931657423839</v>
      </c>
      <c r="K2134">
        <v>1.0873884743299744</v>
      </c>
      <c r="L2134">
        <v>0</v>
      </c>
      <c r="M2134">
        <v>7.151838657180079E-4</v>
      </c>
      <c r="N2134">
        <v>7.3237337313060785E-2</v>
      </c>
      <c r="O2134">
        <v>9.0068463429329188E-3</v>
      </c>
      <c r="P2134">
        <v>1.2812017853393025E-2</v>
      </c>
      <c r="Q2134">
        <v>3.0469191215340289E-3</v>
      </c>
      <c r="R2134">
        <v>7.0347706264529519E-4</v>
      </c>
      <c r="S2134">
        <v>9.1122952629098072E-2</v>
      </c>
      <c r="T2134">
        <v>0.81514316815896037</v>
      </c>
      <c r="U2134">
        <v>1.7038633167620578E-2</v>
      </c>
      <c r="V2134">
        <v>1.0413870651911543E-2</v>
      </c>
      <c r="W2134">
        <v>4.3520980963616854E-2</v>
      </c>
      <c r="X2134">
        <v>1.0142822267550262E-2</v>
      </c>
      <c r="Y2134">
        <v>1.9146326633691175E-3</v>
      </c>
    </row>
    <row r="2135" spans="1:25">
      <c r="A2135" s="876"/>
      <c r="B2135" s="1202">
        <v>1885</v>
      </c>
      <c r="C2135" s="880">
        <v>1.0045103255420758</v>
      </c>
      <c r="D2135" s="880">
        <v>0.99832085722362596</v>
      </c>
      <c r="E2135" s="880">
        <v>1.0280550237766444</v>
      </c>
      <c r="F2135" s="880">
        <v>1.0182577080876671</v>
      </c>
      <c r="G2135" s="880">
        <v>0.97336861904112038</v>
      </c>
      <c r="H2135" s="880">
        <v>0.99863421623466941</v>
      </c>
      <c r="I2135" s="880">
        <v>1.0072245606403025</v>
      </c>
      <c r="K2135">
        <v>1.0748549536787237</v>
      </c>
      <c r="L2135">
        <v>0</v>
      </c>
      <c r="M2135">
        <v>6.4718601904505439E-4</v>
      </c>
      <c r="N2135">
        <v>7.0363015318494981E-2</v>
      </c>
      <c r="O2135">
        <v>8.7559267932454301E-3</v>
      </c>
      <c r="P2135">
        <v>1.2896718803709975E-2</v>
      </c>
      <c r="Q2135">
        <v>3.0268215507171905E-3</v>
      </c>
      <c r="R2135">
        <v>6.3623833637838317E-4</v>
      </c>
      <c r="S2135">
        <v>8.5729635823389605E-2</v>
      </c>
      <c r="T2135">
        <v>0.81358511988452464</v>
      </c>
      <c r="U2135">
        <v>1.683469889353971E-2</v>
      </c>
      <c r="V2135">
        <v>1.0412698298190973E-2</v>
      </c>
      <c r="W2135">
        <v>4.1267148976468299E-2</v>
      </c>
      <c r="X2135">
        <v>1.0262486003397256E-2</v>
      </c>
      <c r="Y2135">
        <v>1.7316310157107398E-3</v>
      </c>
    </row>
    <row r="2136" spans="1:25">
      <c r="A2136" s="876"/>
      <c r="B2136" s="1202">
        <v>1886</v>
      </c>
      <c r="C2136" s="880">
        <v>1.0186122265368969</v>
      </c>
      <c r="D2136" s="880">
        <v>1.0078914502897929</v>
      </c>
      <c r="E2136" s="880">
        <v>1.0142232477467916</v>
      </c>
      <c r="F2136" s="880">
        <v>1.0104675500519715</v>
      </c>
      <c r="G2136" s="880">
        <v>1.0051290484082349</v>
      </c>
      <c r="H2136" s="880">
        <v>1.0450854874872988</v>
      </c>
      <c r="I2136" s="880">
        <v>0.99940269460997555</v>
      </c>
      <c r="K2136">
        <v>1.0764764562206992</v>
      </c>
      <c r="L2136">
        <v>0</v>
      </c>
      <c r="M2136">
        <v>6.8423849215993996E-4</v>
      </c>
      <c r="N2136">
        <v>7.1316565194824891E-2</v>
      </c>
      <c r="O2136">
        <v>8.5908994839243424E-3</v>
      </c>
      <c r="P2136">
        <v>1.2770130869469359E-2</v>
      </c>
      <c r="Q2136">
        <v>2.9313268295378604E-3</v>
      </c>
      <c r="R2136">
        <v>6.7317074949199023E-4</v>
      </c>
      <c r="S2136">
        <v>8.5111375696026004E-2</v>
      </c>
      <c r="T2136">
        <v>0.81469187965759204</v>
      </c>
      <c r="U2136">
        <v>1.6601635465780282E-2</v>
      </c>
      <c r="V2136">
        <v>1.0411358490167515E-2</v>
      </c>
      <c r="W2136">
        <v>4.2218295447586318E-2</v>
      </c>
      <c r="X2136">
        <v>1.0011907959019092E-2</v>
      </c>
      <c r="Y2136">
        <v>1.8321488694392667E-3</v>
      </c>
    </row>
    <row r="2137" spans="1:25">
      <c r="A2137" s="876"/>
      <c r="B2137" s="1202">
        <v>1887</v>
      </c>
      <c r="C2137" s="880">
        <v>1.0095310718602299</v>
      </c>
      <c r="D2137" s="880">
        <v>0.98635704739410623</v>
      </c>
      <c r="E2137" s="880">
        <v>1.0328767721958545</v>
      </c>
      <c r="F2137" s="880">
        <v>0.98697455903259634</v>
      </c>
      <c r="G2137" s="880">
        <v>1.020486689946666</v>
      </c>
      <c r="H2137" s="880">
        <v>1.039117913082344</v>
      </c>
      <c r="I2137" s="880">
        <v>0.97711189815308175</v>
      </c>
      <c r="K2137">
        <v>1.078852975106529</v>
      </c>
      <c r="L2137">
        <v>0</v>
      </c>
      <c r="M2137">
        <v>6.6754342030817654E-4</v>
      </c>
      <c r="N2137">
        <v>7.3721205785549623E-2</v>
      </c>
      <c r="O2137">
        <v>8.7686164744792058E-3</v>
      </c>
      <c r="P2137">
        <v>1.2920543603278517E-2</v>
      </c>
      <c r="Q2137">
        <v>3.0429389737062999E-3</v>
      </c>
      <c r="R2137">
        <v>6.5670094491425911E-4</v>
      </c>
      <c r="S2137">
        <v>8.4663133691190509E-2</v>
      </c>
      <c r="T2137">
        <v>0.81320083841881619</v>
      </c>
      <c r="U2137">
        <v>1.6750974127811354E-2</v>
      </c>
      <c r="V2137">
        <v>1.0412216990960727E-2</v>
      </c>
      <c r="W2137">
        <v>4.3097258384093257E-2</v>
      </c>
      <c r="X2137">
        <v>1.049876764138852E-2</v>
      </c>
      <c r="Y2137">
        <v>1.7873234906483032E-3</v>
      </c>
    </row>
    <row r="2138" spans="1:25">
      <c r="A2138" s="876"/>
      <c r="B2138" s="1202">
        <v>1888</v>
      </c>
      <c r="C2138" s="880">
        <v>0.99147819318718278</v>
      </c>
      <c r="D2138" s="880">
        <v>1.0110500157972198</v>
      </c>
      <c r="E2138" s="880">
        <v>0.97793258114375337</v>
      </c>
      <c r="F2138" s="880">
        <v>1.0145883102265372</v>
      </c>
      <c r="G2138" s="880">
        <v>1.0174509054924359</v>
      </c>
      <c r="H2138" s="880">
        <v>1.0211751454678406</v>
      </c>
      <c r="I2138" s="880">
        <v>1.0037211409832987</v>
      </c>
      <c r="K2138">
        <v>1.0781317057519804</v>
      </c>
      <c r="L2138">
        <v>0</v>
      </c>
      <c r="M2138">
        <v>7.4016754252840752E-4</v>
      </c>
      <c r="N2138">
        <v>6.8880464692260251E-2</v>
      </c>
      <c r="O2138">
        <v>8.8113075565187087E-3</v>
      </c>
      <c r="P2138">
        <v>1.2495892628892676E-2</v>
      </c>
      <c r="Q2138">
        <v>2.8992771981873715E-3</v>
      </c>
      <c r="R2138">
        <v>7.2791199998369029E-4</v>
      </c>
      <c r="S2138">
        <v>8.6821273661074228E-2</v>
      </c>
      <c r="T2138">
        <v>0.81762664065494606</v>
      </c>
      <c r="U2138">
        <v>1.7055976603571964E-2</v>
      </c>
      <c r="V2138">
        <v>1.0413970353846197E-2</v>
      </c>
      <c r="W2138">
        <v>4.1804260916663886E-2</v>
      </c>
      <c r="X2138">
        <v>9.3537605207327859E-3</v>
      </c>
      <c r="Y2138">
        <v>1.9811365078293004E-3</v>
      </c>
    </row>
    <row r="2139" spans="1:25">
      <c r="A2139" s="876"/>
      <c r="B2139" s="1202">
        <v>1889</v>
      </c>
      <c r="C2139" s="880">
        <v>0.99729744271996357</v>
      </c>
      <c r="D2139" s="880">
        <v>0.98303405477157291</v>
      </c>
      <c r="E2139" s="880">
        <v>0.98367703434922527</v>
      </c>
      <c r="F2139" s="880">
        <v>0.99414042120985702</v>
      </c>
      <c r="G2139" s="880">
        <v>1.0059565756343241</v>
      </c>
      <c r="H2139" s="880">
        <v>0.96590473021966283</v>
      </c>
      <c r="I2139" s="880">
        <v>0.95716117494115494</v>
      </c>
      <c r="K2139">
        <v>1.0675991507996001</v>
      </c>
      <c r="L2139">
        <v>0</v>
      </c>
      <c r="M2139">
        <v>6.9803795183943343E-4</v>
      </c>
      <c r="N2139">
        <v>6.607163209680314E-2</v>
      </c>
      <c r="O2139">
        <v>8.8921905847984626E-3</v>
      </c>
      <c r="P2139">
        <v>1.247195712307538E-2</v>
      </c>
      <c r="Q2139">
        <v>2.9368378124951175E-3</v>
      </c>
      <c r="R2139">
        <v>6.8584384032850513E-4</v>
      </c>
      <c r="S2139">
        <v>8.1558131774671833E-2</v>
      </c>
      <c r="T2139">
        <v>0.81715912101845978</v>
      </c>
      <c r="U2139">
        <v>1.6956454655926347E-2</v>
      </c>
      <c r="V2139">
        <v>1.0413398233607304E-2</v>
      </c>
      <c r="W2139">
        <v>3.9940121875396133E-2</v>
      </c>
      <c r="X2139">
        <v>9.3448588908642584E-3</v>
      </c>
      <c r="Y2139">
        <v>1.8666408450129894E-3</v>
      </c>
    </row>
    <row r="2140" spans="1:25">
      <c r="A2140" s="876"/>
      <c r="B2140" s="1202">
        <v>1890</v>
      </c>
      <c r="C2140" s="880">
        <v>1.0009192759063374</v>
      </c>
      <c r="D2140" s="880">
        <v>0.96296752060231217</v>
      </c>
      <c r="E2140" s="880">
        <v>0.99537627733831135</v>
      </c>
      <c r="F2140" s="880">
        <v>0.98613829843433598</v>
      </c>
      <c r="G2140" s="880">
        <v>1.0194976329806145</v>
      </c>
      <c r="H2140" s="880">
        <v>0.98853364643886776</v>
      </c>
      <c r="I2140" s="880">
        <v>0.98266977463867689</v>
      </c>
      <c r="K2140">
        <v>1.0750545439351464</v>
      </c>
      <c r="L2140">
        <v>0</v>
      </c>
      <c r="M2140">
        <v>7.0219351148544389E-4</v>
      </c>
      <c r="N2140">
        <v>6.8960539959843678E-2</v>
      </c>
      <c r="O2140">
        <v>8.9582542058122792E-3</v>
      </c>
      <c r="P2140">
        <v>1.2616927885881531E-2</v>
      </c>
      <c r="Q2140">
        <v>2.9891974010051447E-3</v>
      </c>
      <c r="R2140">
        <v>6.9022596219706989E-4</v>
      </c>
      <c r="S2140">
        <v>8.5102505857358637E-2</v>
      </c>
      <c r="T2140">
        <v>0.81621041995987453</v>
      </c>
      <c r="U2140">
        <v>1.6895097609784467E-2</v>
      </c>
      <c r="V2140">
        <v>1.041304551133119E-2</v>
      </c>
      <c r="W2140">
        <v>4.1351652031672528E-2</v>
      </c>
      <c r="X2140">
        <v>9.690303525698378E-3</v>
      </c>
      <c r="Y2140">
        <v>1.878567536173137E-3</v>
      </c>
    </row>
    <row r="2141" spans="1:25">
      <c r="A2141" s="876"/>
      <c r="B2141" s="1202">
        <v>1891</v>
      </c>
      <c r="C2141" s="880">
        <v>1.0381403866935239</v>
      </c>
      <c r="D2141" s="880">
        <v>0.96318202515365969</v>
      </c>
      <c r="E2141" s="880">
        <v>1.0172096092954366</v>
      </c>
      <c r="F2141" s="880">
        <v>0.98386814275145407</v>
      </c>
      <c r="G2141" s="880">
        <v>1.0128795781756159</v>
      </c>
      <c r="H2141" s="880">
        <v>0.99572110682022652</v>
      </c>
      <c r="I2141" s="880">
        <v>1.044405426202752</v>
      </c>
      <c r="K2141">
        <v>1.0736000917579274</v>
      </c>
      <c r="L2141">
        <v>0</v>
      </c>
      <c r="M2141">
        <v>6.5118810229636932E-4</v>
      </c>
      <c r="N2141">
        <v>6.8452708982192495E-2</v>
      </c>
      <c r="O2141">
        <v>8.6360386974261311E-3</v>
      </c>
      <c r="P2141">
        <v>1.2823063420760032E-2</v>
      </c>
      <c r="Q2141">
        <v>2.9454477121311161E-3</v>
      </c>
      <c r="R2141">
        <v>6.4016977086719658E-4</v>
      </c>
      <c r="S2141">
        <v>8.7460135131058839E-2</v>
      </c>
      <c r="T2141">
        <v>0.81445237164746354</v>
      </c>
      <c r="U2141">
        <v>1.6289346877075787E-2</v>
      </c>
      <c r="V2141">
        <v>1.0409563241720385E-2</v>
      </c>
      <c r="W2141">
        <v>4.0441117444883976E-2</v>
      </c>
      <c r="X2141">
        <v>9.9589858502498966E-3</v>
      </c>
      <c r="Y2141">
        <v>1.7423310843922583E-3</v>
      </c>
    </row>
    <row r="2142" spans="1:25">
      <c r="A2142" s="876"/>
      <c r="B2142" s="1202">
        <v>1892</v>
      </c>
      <c r="C2142" s="880">
        <v>1.0057948113932544</v>
      </c>
      <c r="D2142" s="880">
        <v>1.0243046829567153</v>
      </c>
      <c r="E2142" s="880">
        <v>0.98386509162110602</v>
      </c>
      <c r="F2142" s="880">
        <v>1.0050407571257476</v>
      </c>
      <c r="G2142" s="880">
        <v>0.99304964766616033</v>
      </c>
      <c r="H2142" s="880">
        <v>0.9851379256390258</v>
      </c>
      <c r="I2142" s="880">
        <v>1.0097467422376782</v>
      </c>
      <c r="K2142">
        <v>1.068659935420079</v>
      </c>
      <c r="L2142">
        <v>0</v>
      </c>
      <c r="M2142">
        <v>6.9037760092019289E-4</v>
      </c>
      <c r="N2142">
        <v>6.5404097812739356E-2</v>
      </c>
      <c r="O2142">
        <v>8.6258663096498885E-3</v>
      </c>
      <c r="P2142">
        <v>1.2508099255141309E-2</v>
      </c>
      <c r="Q2142">
        <v>2.8581748836516217E-3</v>
      </c>
      <c r="R2142">
        <v>6.7851705715763107E-4</v>
      </c>
      <c r="S2142">
        <v>8.426608708249976E-2</v>
      </c>
      <c r="T2142">
        <v>0.81714383461907125</v>
      </c>
      <c r="U2142">
        <v>1.6813199545668064E-2</v>
      </c>
      <c r="V2142">
        <v>1.0412574705231499E-2</v>
      </c>
      <c r="W2142">
        <v>3.9531454011403809E-2</v>
      </c>
      <c r="X2142">
        <v>9.2617079822901755E-3</v>
      </c>
      <c r="Y2142">
        <v>1.8466997564952931E-3</v>
      </c>
    </row>
    <row r="2143" spans="1:25">
      <c r="A2143" s="876"/>
      <c r="B2143" s="1202">
        <v>1893</v>
      </c>
      <c r="C2143" s="880">
        <v>0.96863719792596925</v>
      </c>
      <c r="D2143" s="880">
        <v>1.0051152033605977</v>
      </c>
      <c r="E2143" s="880">
        <v>1.0360729484665958</v>
      </c>
      <c r="F2143" s="880">
        <v>0.99675178255642927</v>
      </c>
      <c r="G2143" s="880">
        <v>0.99011584978518763</v>
      </c>
      <c r="H2143" s="880">
        <v>1.0058405164351791</v>
      </c>
      <c r="I2143" s="880">
        <v>1.0034304448453466</v>
      </c>
      <c r="K2143">
        <v>1.0838841115845206</v>
      </c>
      <c r="L2143">
        <v>0</v>
      </c>
      <c r="M2143">
        <v>6.6223087181731678E-4</v>
      </c>
      <c r="N2143">
        <v>7.3821393317279119E-2</v>
      </c>
      <c r="O2143">
        <v>9.0474209262697211E-3</v>
      </c>
      <c r="P2143">
        <v>1.3011188666477927E-2</v>
      </c>
      <c r="Q2143">
        <v>3.1540474653331558E-3</v>
      </c>
      <c r="R2143">
        <v>6.5110341414803595E-4</v>
      </c>
      <c r="S2143">
        <v>8.8537229538978343E-2</v>
      </c>
      <c r="T2143">
        <v>0.81294654863008886</v>
      </c>
      <c r="U2143">
        <v>1.7458165866602222E-2</v>
      </c>
      <c r="V2143">
        <v>1.0416282412871177E-2</v>
      </c>
      <c r="W2143">
        <v>4.3063780350586854E-2</v>
      </c>
      <c r="X2143">
        <v>1.0667093010574055E-2</v>
      </c>
      <c r="Y2143">
        <v>1.7720888571281647E-3</v>
      </c>
    </row>
    <row r="2144" spans="1:25">
      <c r="A2144" s="876"/>
      <c r="B2144" s="1202">
        <v>1894</v>
      </c>
      <c r="C2144" s="880">
        <v>1.0018358436707422</v>
      </c>
      <c r="D2144" s="880">
        <v>0.99183984781973944</v>
      </c>
      <c r="E2144" s="880">
        <v>0.98515960533089275</v>
      </c>
      <c r="F2144" s="880">
        <v>0.99805123845165444</v>
      </c>
      <c r="G2144" s="880">
        <v>0.99657140066924721</v>
      </c>
      <c r="H2144" s="880">
        <v>1.0178683822930428</v>
      </c>
      <c r="I2144" s="880">
        <v>1.0072548902406795</v>
      </c>
      <c r="K2144">
        <v>1.0778731631761083</v>
      </c>
      <c r="L2144">
        <v>0</v>
      </c>
      <c r="M2144">
        <v>7.2652227309848432E-4</v>
      </c>
      <c r="N2144">
        <v>6.914799718061175E-2</v>
      </c>
      <c r="O2144">
        <v>8.8098612318587739E-3</v>
      </c>
      <c r="P2144">
        <v>1.2555873767579455E-2</v>
      </c>
      <c r="Q2144">
        <v>2.9159760615660598E-3</v>
      </c>
      <c r="R2144">
        <v>7.1447056289405996E-4</v>
      </c>
      <c r="S2144">
        <v>8.6935009752447875E-2</v>
      </c>
      <c r="T2144">
        <v>0.8170386414410975</v>
      </c>
      <c r="U2144">
        <v>1.6879640484803966E-2</v>
      </c>
      <c r="V2144">
        <v>1.0412956653202477E-2</v>
      </c>
      <c r="W2144">
        <v>4.1756930112995007E-2</v>
      </c>
      <c r="X2144">
        <v>9.4877748531086541E-3</v>
      </c>
      <c r="Y2144">
        <v>1.9445533470398722E-3</v>
      </c>
    </row>
    <row r="2145" spans="1:25">
      <c r="A2145" s="876"/>
      <c r="B2145" s="1202">
        <v>1895</v>
      </c>
      <c r="C2145" s="880">
        <v>0.97530442338126544</v>
      </c>
      <c r="D2145" s="880">
        <v>1.0146367109992798</v>
      </c>
      <c r="E2145" s="880">
        <v>1.0069215304633867</v>
      </c>
      <c r="F2145" s="880">
        <v>0.98977744774769871</v>
      </c>
      <c r="G2145" s="880">
        <v>0.97923194537731961</v>
      </c>
      <c r="H2145" s="880">
        <v>1.0147737450584515</v>
      </c>
      <c r="I2145" s="880">
        <v>1.0075227509656504</v>
      </c>
      <c r="K2145">
        <v>1.0818992524065072</v>
      </c>
      <c r="L2145">
        <v>0</v>
      </c>
      <c r="M2145">
        <v>7.0217129270678245E-4</v>
      </c>
      <c r="N2145">
        <v>7.1507427020612302E-2</v>
      </c>
      <c r="O2145">
        <v>8.9405492723606591E-3</v>
      </c>
      <c r="P2145">
        <v>1.2761984233602079E-2</v>
      </c>
      <c r="Q2145">
        <v>3.0299549573212176E-3</v>
      </c>
      <c r="R2145">
        <v>6.9046851668932627E-4</v>
      </c>
      <c r="S2145">
        <v>8.8204723681303776E-2</v>
      </c>
      <c r="T2145">
        <v>0.81527876090081242</v>
      </c>
      <c r="U2145">
        <v>1.7338821049662851E-2</v>
      </c>
      <c r="V2145">
        <v>1.041559633721861E-2</v>
      </c>
      <c r="W2145">
        <v>4.2541743949180429E-2</v>
      </c>
      <c r="X2145">
        <v>1.0012166090907708E-2</v>
      </c>
      <c r="Y2145">
        <v>1.8792276895429922E-3</v>
      </c>
    </row>
    <row r="2146" spans="1:25">
      <c r="A2146" s="876"/>
      <c r="B2146" s="1202">
        <v>1896</v>
      </c>
      <c r="C2146" s="880">
        <v>0.98700758654241227</v>
      </c>
      <c r="D2146" s="880">
        <v>0.98428179120635317</v>
      </c>
      <c r="E2146" s="880">
        <v>1.0331279228408377</v>
      </c>
      <c r="F2146" s="880">
        <v>0.98416748622181893</v>
      </c>
      <c r="G2146" s="880">
        <v>0.99824424803920075</v>
      </c>
      <c r="H2146" s="880">
        <v>1.0035472665234737</v>
      </c>
      <c r="I2146" s="880">
        <v>0.95232223159454676</v>
      </c>
      <c r="K2146">
        <v>1.0767348459752668</v>
      </c>
      <c r="L2146">
        <v>0</v>
      </c>
      <c r="M2146">
        <v>6.5979372337554045E-4</v>
      </c>
      <c r="N2146">
        <v>7.2879691976803385E-2</v>
      </c>
      <c r="O2146">
        <v>8.9788092220886052E-3</v>
      </c>
      <c r="P2146">
        <v>1.290822646178217E-2</v>
      </c>
      <c r="Q2146">
        <v>3.1161604900549465E-3</v>
      </c>
      <c r="R2146">
        <v>6.4869899925373137E-4</v>
      </c>
      <c r="S2146">
        <v>8.3249530012666911E-2</v>
      </c>
      <c r="T2146">
        <v>0.81318084408366698</v>
      </c>
      <c r="U2146">
        <v>1.7133230885480851E-2</v>
      </c>
      <c r="V2146">
        <v>1.0414414464308901E-2</v>
      </c>
      <c r="W2146">
        <v>4.2598156232991291E-2</v>
      </c>
      <c r="X2146">
        <v>1.0521332037143578E-2</v>
      </c>
      <c r="Y2146">
        <v>1.7655448324010244E-3</v>
      </c>
    </row>
    <row r="2147" spans="1:25">
      <c r="A2147" s="876"/>
      <c r="B2147" s="1202">
        <v>1897</v>
      </c>
      <c r="C2147" s="880">
        <v>1.0153700523001197</v>
      </c>
      <c r="D2147" s="880">
        <v>0.99767778390649331</v>
      </c>
      <c r="E2147" s="880">
        <v>0.99035073079172964</v>
      </c>
      <c r="F2147" s="880">
        <v>0.999277547151183</v>
      </c>
      <c r="G2147" s="880">
        <v>1.0149228367619401</v>
      </c>
      <c r="H2147" s="880">
        <v>1.0105207554897606</v>
      </c>
      <c r="I2147" s="880">
        <v>1.0375660601973065</v>
      </c>
      <c r="K2147">
        <v>1.0757371645708396</v>
      </c>
      <c r="L2147">
        <v>0</v>
      </c>
      <c r="M2147">
        <v>7.0174516994917597E-4</v>
      </c>
      <c r="N2147">
        <v>6.7869389669747565E-2</v>
      </c>
      <c r="O2147">
        <v>8.6652567798967076E-3</v>
      </c>
      <c r="P2147">
        <v>1.2608553562683171E-2</v>
      </c>
      <c r="Q2147">
        <v>2.8844878521006342E-3</v>
      </c>
      <c r="R2147">
        <v>6.9001476125509214E-4</v>
      </c>
      <c r="S2147">
        <v>8.7830489459012104E-2</v>
      </c>
      <c r="T2147">
        <v>0.81661737698036918</v>
      </c>
      <c r="U2147">
        <v>1.6654646084592193E-2</v>
      </c>
      <c r="V2147">
        <v>1.0411663231469465E-2</v>
      </c>
      <c r="W2147">
        <v>4.083824080322207E-2</v>
      </c>
      <c r="X2147">
        <v>9.490797839609183E-3</v>
      </c>
      <c r="Y2147">
        <v>1.8779927168314451E-3</v>
      </c>
    </row>
    <row r="2148" spans="1:25">
      <c r="A2148" s="876"/>
      <c r="B2148" s="1202">
        <v>1898</v>
      </c>
      <c r="C2148" s="880">
        <v>0.99974825205812989</v>
      </c>
      <c r="D2148" s="880">
        <v>0.98817867282929328</v>
      </c>
      <c r="E2148" s="880">
        <v>1.0158796548285858</v>
      </c>
      <c r="F2148" s="880">
        <v>0.9852509254788715</v>
      </c>
      <c r="G2148" s="880">
        <v>1.0106995463577937</v>
      </c>
      <c r="H2148" s="880">
        <v>0.96167538357296756</v>
      </c>
      <c r="I2148" s="880">
        <v>1.0081960372242864</v>
      </c>
      <c r="K2148">
        <v>1.0710851747705752</v>
      </c>
      <c r="L2148">
        <v>0</v>
      </c>
      <c r="M2148">
        <v>6.4602384461716345E-4</v>
      </c>
      <c r="N2148">
        <v>6.7586277431547812E-2</v>
      </c>
      <c r="O2148">
        <v>8.8457012749439973E-3</v>
      </c>
      <c r="P2148">
        <v>1.2791125124793806E-2</v>
      </c>
      <c r="Q2148">
        <v>3.0187955865475916E-3</v>
      </c>
      <c r="R2148">
        <v>6.3468436894468551E-4</v>
      </c>
      <c r="S2148">
        <v>8.5319998968979793E-2</v>
      </c>
      <c r="T2148">
        <v>0.81455899727566328</v>
      </c>
      <c r="U2148">
        <v>1.6914887153980342E-2</v>
      </c>
      <c r="V2148">
        <v>1.0413159275169438E-2</v>
      </c>
      <c r="W2148">
        <v>3.996517483722406E-2</v>
      </c>
      <c r="X2148">
        <v>9.9549956887763011E-3</v>
      </c>
      <c r="Y2148">
        <v>1.7274016286214413E-3</v>
      </c>
    </row>
    <row r="2149" spans="1:25">
      <c r="A2149" s="876"/>
      <c r="B2149" s="1202">
        <v>1899</v>
      </c>
      <c r="C2149" s="880">
        <v>0.99876338326434244</v>
      </c>
      <c r="D2149" s="880">
        <v>0.95776197917596939</v>
      </c>
      <c r="E2149" s="880">
        <v>0.98099638895623309</v>
      </c>
      <c r="F2149" s="880">
        <v>1.019777358315737</v>
      </c>
      <c r="G2149" s="880">
        <v>0.9920170575127909</v>
      </c>
      <c r="H2149" s="880">
        <v>1.0219763589322735</v>
      </c>
      <c r="I2149" s="880">
        <v>0.98658281223917865</v>
      </c>
      <c r="K2149">
        <v>1.0812540602661163</v>
      </c>
      <c r="L2149">
        <v>0</v>
      </c>
      <c r="M2149">
        <v>7.5201646879905762E-4</v>
      </c>
      <c r="N2149">
        <v>7.0660099212888669E-2</v>
      </c>
      <c r="O2149">
        <v>9.0036794398837047E-3</v>
      </c>
      <c r="P2149">
        <v>1.2523323461025481E-2</v>
      </c>
      <c r="Q2149">
        <v>2.959740248233143E-3</v>
      </c>
      <c r="R2149">
        <v>7.3962421026517694E-4</v>
      </c>
      <c r="S2149">
        <v>8.7066934403602705E-2</v>
      </c>
      <c r="T2149">
        <v>0.81737714979177123</v>
      </c>
      <c r="U2149">
        <v>1.693156672472506E-2</v>
      </c>
      <c r="V2149">
        <v>1.0413255160752713E-2</v>
      </c>
      <c r="W2149">
        <v>4.279323216556867E-2</v>
      </c>
      <c r="X2149">
        <v>9.5244586329126628E-3</v>
      </c>
      <c r="Y2149">
        <v>2.0130132832864244E-3</v>
      </c>
    </row>
    <row r="2150" spans="1:25">
      <c r="A2150" s="876"/>
      <c r="B2150" s="1202">
        <v>1900</v>
      </c>
      <c r="C2150" s="880">
        <v>1.016217282226606</v>
      </c>
      <c r="D2150" s="880">
        <v>0.96789141621044217</v>
      </c>
      <c r="E2150" s="880">
        <v>1.0148612327124815</v>
      </c>
      <c r="F2150" s="880">
        <v>0.97882526087403809</v>
      </c>
      <c r="G2150" s="880">
        <v>1.0447155599005853</v>
      </c>
      <c r="H2150" s="880">
        <v>0.99612880267608928</v>
      </c>
      <c r="I2150" s="880">
        <v>1.0042625530338838</v>
      </c>
      <c r="K2150">
        <v>1.0745796022247898</v>
      </c>
      <c r="L2150">
        <v>0</v>
      </c>
      <c r="M2150">
        <v>6.6707727758463309E-4</v>
      </c>
      <c r="N2150">
        <v>6.9613177075550384E-2</v>
      </c>
      <c r="O2150">
        <v>8.7993520296285772E-3</v>
      </c>
      <c r="P2150">
        <v>1.2784348533271249E-2</v>
      </c>
      <c r="Q2150">
        <v>2.9952420665899956E-3</v>
      </c>
      <c r="R2150">
        <v>6.5579061198249859E-4</v>
      </c>
      <c r="S2150">
        <v>8.5718162074375534E-2</v>
      </c>
      <c r="T2150">
        <v>0.8146406873544132</v>
      </c>
      <c r="U2150">
        <v>1.6640760949174112E-2</v>
      </c>
      <c r="V2150">
        <v>1.0411583410212137E-2</v>
      </c>
      <c r="W2150">
        <v>4.1192111857759575E-2</v>
      </c>
      <c r="X2150">
        <v>1.0010617674918527E-2</v>
      </c>
      <c r="Y2150">
        <v>1.7848458644992211E-3</v>
      </c>
    </row>
    <row r="2151" spans="1:25">
      <c r="A2151" s="876"/>
      <c r="B2151" s="1202">
        <v>1901</v>
      </c>
      <c r="C2151" s="880">
        <v>1.0015177282751071</v>
      </c>
      <c r="D2151" s="880">
        <v>1.0004114068910404</v>
      </c>
      <c r="E2151" s="880">
        <v>1.0333317022069397</v>
      </c>
      <c r="F2151" s="880">
        <v>1.0374672277013126</v>
      </c>
      <c r="G2151" s="880">
        <v>1.0183929256444675</v>
      </c>
      <c r="H2151" s="880">
        <v>0.97365332385928183</v>
      </c>
      <c r="I2151" s="880">
        <v>1.0352341603040875</v>
      </c>
      <c r="K2151">
        <v>1.0739968807217111</v>
      </c>
      <c r="L2151">
        <v>0</v>
      </c>
      <c r="M2151">
        <v>6.2515968235023396E-4</v>
      </c>
      <c r="N2151">
        <v>6.9060016345842357E-2</v>
      </c>
      <c r="O2151">
        <v>8.7722982382223025E-3</v>
      </c>
      <c r="P2151">
        <v>1.2963930849289665E-2</v>
      </c>
      <c r="Q2151">
        <v>3.0488132381364611E-3</v>
      </c>
      <c r="R2151">
        <v>6.1431160297469045E-4</v>
      </c>
      <c r="S2151">
        <v>8.7361871511954042E-2</v>
      </c>
      <c r="T2151">
        <v>0.81316462260297417</v>
      </c>
      <c r="U2151">
        <v>1.6885002020959938E-2</v>
      </c>
      <c r="V2151">
        <v>1.0412987474980172E-2</v>
      </c>
      <c r="W2151">
        <v>4.0360057603646381E-2</v>
      </c>
      <c r="X2151">
        <v>1.0306175239547957E-2</v>
      </c>
      <c r="Y2151">
        <v>1.6719536755316121E-3</v>
      </c>
    </row>
    <row r="2152" spans="1:25">
      <c r="A2152" s="876"/>
      <c r="B2152" s="1202">
        <v>1902</v>
      </c>
      <c r="C2152" s="880">
        <v>1.0049775626205906</v>
      </c>
      <c r="D2152" s="880">
        <v>0.97967109202899083</v>
      </c>
      <c r="E2152" s="880">
        <v>1.0278036957700907</v>
      </c>
      <c r="F2152" s="880">
        <v>0.96489885233785289</v>
      </c>
      <c r="G2152" s="880">
        <v>1.0215499314812981</v>
      </c>
      <c r="H2152" s="880">
        <v>0.99974696432161048</v>
      </c>
      <c r="I2152" s="880">
        <v>0.9676498476604054</v>
      </c>
      <c r="K2152">
        <v>1.0735909842187235</v>
      </c>
      <c r="L2152">
        <v>0</v>
      </c>
      <c r="M2152">
        <v>6.5449042178324025E-4</v>
      </c>
      <c r="N2152">
        <v>7.1104719722844684E-2</v>
      </c>
      <c r="O2152">
        <v>8.8404052853870221E-3</v>
      </c>
      <c r="P2152">
        <v>1.2858447391475946E-2</v>
      </c>
      <c r="Q2152">
        <v>3.0509436300580031E-3</v>
      </c>
      <c r="R2152">
        <v>6.4344687833139719E-4</v>
      </c>
      <c r="S2152">
        <v>8.3139571964874731E-2</v>
      </c>
      <c r="T2152">
        <v>0.81360517187067327</v>
      </c>
      <c r="U2152">
        <v>1.6826872056582055E-2</v>
      </c>
      <c r="V2152">
        <v>1.0412653304177715E-2</v>
      </c>
      <c r="W2152">
        <v>4.1709184703578893E-2</v>
      </c>
      <c r="X2152">
        <v>1.0302807541911501E-2</v>
      </c>
      <c r="Y2152">
        <v>1.751250290611627E-3</v>
      </c>
    </row>
    <row r="2153" spans="1:25">
      <c r="A2153" s="876"/>
      <c r="B2153" s="1202">
        <v>1903</v>
      </c>
      <c r="C2153" s="880">
        <v>0.9929208365697948</v>
      </c>
      <c r="D2153" s="880">
        <v>0.98604209939159404</v>
      </c>
      <c r="E2153" s="880">
        <v>0.98074723950559228</v>
      </c>
      <c r="F2153" s="880">
        <v>1.039303137823812</v>
      </c>
      <c r="G2153" s="880">
        <v>0.98905846905117401</v>
      </c>
      <c r="H2153" s="880">
        <v>0.98331958933190344</v>
      </c>
      <c r="I2153" s="880">
        <v>1.008932282384025</v>
      </c>
      <c r="K2153">
        <v>1.0753650548266067</v>
      </c>
      <c r="L2153">
        <v>0</v>
      </c>
      <c r="M2153">
        <v>7.1699259189010026E-4</v>
      </c>
      <c r="N2153">
        <v>6.7270073876869133E-2</v>
      </c>
      <c r="O2153">
        <v>8.9168241162805636E-3</v>
      </c>
      <c r="P2153">
        <v>1.2519714616262556E-2</v>
      </c>
      <c r="Q2153">
        <v>2.9369023643527987E-3</v>
      </c>
      <c r="R2153">
        <v>7.0468640549164986E-4</v>
      </c>
      <c r="S2153">
        <v>8.6854431265731336E-2</v>
      </c>
      <c r="T2153">
        <v>0.8173974265747026</v>
      </c>
      <c r="U2153">
        <v>1.7031195482182505E-2</v>
      </c>
      <c r="V2153">
        <v>1.0413827895007456E-2</v>
      </c>
      <c r="W2153">
        <v>4.0747201559679001E-2</v>
      </c>
      <c r="X2153">
        <v>9.3718391660001874E-3</v>
      </c>
      <c r="Y2153">
        <v>1.9179240959371325E-3</v>
      </c>
    </row>
    <row r="2154" spans="1:25">
      <c r="A2154" s="876"/>
      <c r="B2154" s="1202">
        <v>1904</v>
      </c>
      <c r="C2154" s="880">
        <v>0.98779859603725217</v>
      </c>
      <c r="D2154" s="880">
        <v>0.99594095329403454</v>
      </c>
      <c r="E2154" s="880">
        <v>1.0358005739506708</v>
      </c>
      <c r="F2154" s="880">
        <v>1.0426637075871941</v>
      </c>
      <c r="G2154" s="880">
        <v>0.99502899014921842</v>
      </c>
      <c r="H2154" s="880">
        <v>0.967334789932776</v>
      </c>
      <c r="I2154" s="880">
        <v>0.97951249592958889</v>
      </c>
      <c r="K2154">
        <v>1.0719841259419536</v>
      </c>
      <c r="L2154">
        <v>0</v>
      </c>
      <c r="M2154">
        <v>6.2794091857368078E-4</v>
      </c>
      <c r="N2154">
        <v>6.9893085021656226E-2</v>
      </c>
      <c r="O2154">
        <v>8.9154041301193077E-3</v>
      </c>
      <c r="P2154">
        <v>1.2937365436828599E-2</v>
      </c>
      <c r="Q2154">
        <v>3.1050637432346504E-3</v>
      </c>
      <c r="R2154">
        <v>6.1697701304274245E-4</v>
      </c>
      <c r="S2154">
        <v>8.3770193837635815E-2</v>
      </c>
      <c r="T2154">
        <v>0.81296820531484359</v>
      </c>
      <c r="U2154">
        <v>1.7119510934509006E-2</v>
      </c>
      <c r="V2154">
        <v>1.0414335592644795E-2</v>
      </c>
      <c r="W2154">
        <v>4.0779609964346895E-2</v>
      </c>
      <c r="X2154">
        <v>1.0413107828580294E-2</v>
      </c>
      <c r="Y2154">
        <v>1.6792080430846562E-3</v>
      </c>
    </row>
    <row r="2155" spans="1:25">
      <c r="A2155" s="876"/>
      <c r="B2155" s="1202">
        <v>1905</v>
      </c>
      <c r="C2155" s="880">
        <v>0.97424397093754633</v>
      </c>
      <c r="D2155" s="880">
        <v>0.98369833882149771</v>
      </c>
      <c r="E2155" s="880">
        <v>0.98135586564897748</v>
      </c>
      <c r="F2155" s="880">
        <v>1.0259642267760043</v>
      </c>
      <c r="G2155" s="880">
        <v>0.98618748211315976</v>
      </c>
      <c r="H2155" s="880">
        <v>1.0108226835369865</v>
      </c>
      <c r="I2155" s="880">
        <v>0.98710066649023587</v>
      </c>
      <c r="K2155">
        <v>1.0824512014513237</v>
      </c>
      <c r="L2155">
        <v>0</v>
      </c>
      <c r="M2155">
        <v>7.5116871866267741E-4</v>
      </c>
      <c r="N2155">
        <v>7.0644088985215861E-2</v>
      </c>
      <c r="O2155">
        <v>9.0993221909023876E-3</v>
      </c>
      <c r="P2155">
        <v>1.2540799688501136E-2</v>
      </c>
      <c r="Q2155">
        <v>2.9983280488026409E-3</v>
      </c>
      <c r="R2155">
        <v>7.3862894685264356E-4</v>
      </c>
      <c r="S2155">
        <v>8.7712006515760638E-2</v>
      </c>
      <c r="T2155">
        <v>0.81734789783681849</v>
      </c>
      <c r="U2155">
        <v>1.7357694140697367E-2</v>
      </c>
      <c r="V2155">
        <v>1.0415704832657118E-2</v>
      </c>
      <c r="W2155">
        <v>4.2772874360151127E-2</v>
      </c>
      <c r="X2155">
        <v>9.5647201192606349E-3</v>
      </c>
      <c r="Y2155">
        <v>2.0103045043660048E-3</v>
      </c>
    </row>
    <row r="2156" spans="1:25">
      <c r="A2156" s="876"/>
      <c r="B2156" s="1202">
        <v>1906</v>
      </c>
      <c r="C2156" s="880">
        <v>0.98328565439505378</v>
      </c>
      <c r="D2156" s="880">
        <v>0.99812377535956742</v>
      </c>
      <c r="E2156" s="880">
        <v>0.9987546670363594</v>
      </c>
      <c r="F2156" s="880">
        <v>1.0188591200822954</v>
      </c>
      <c r="G2156" s="880">
        <v>1.0085296413533875</v>
      </c>
      <c r="H2156" s="880">
        <v>1.0178031960159959</v>
      </c>
      <c r="I2156" s="880">
        <v>1.0151328003609159</v>
      </c>
      <c r="K2156">
        <v>1.0827164509313114</v>
      </c>
      <c r="L2156">
        <v>0</v>
      </c>
      <c r="M2156">
        <v>7.1690181625937599E-4</v>
      </c>
      <c r="N2156">
        <v>7.118135315761201E-2</v>
      </c>
      <c r="O2156">
        <v>8.9458694543018344E-3</v>
      </c>
      <c r="P2156">
        <v>1.2702256252231186E-2</v>
      </c>
      <c r="Q2156">
        <v>3.0033373763327163E-3</v>
      </c>
      <c r="R2156">
        <v>7.0500340200476482E-4</v>
      </c>
      <c r="S2156">
        <v>8.8984746089626435E-2</v>
      </c>
      <c r="T2156">
        <v>0.815937327698248</v>
      </c>
      <c r="U2156">
        <v>1.7198083578628332E-2</v>
      </c>
      <c r="V2156">
        <v>1.0414787281955405E-2</v>
      </c>
      <c r="W2156">
        <v>4.2584589125797573E-2</v>
      </c>
      <c r="X2156">
        <v>9.8572124748837926E-3</v>
      </c>
      <c r="Y2156">
        <v>1.918786855947959E-3</v>
      </c>
    </row>
    <row r="2157" spans="1:25">
      <c r="A2157" s="876"/>
      <c r="B2157" s="1202">
        <v>1907</v>
      </c>
      <c r="C2157" s="880">
        <v>1.0043103654798777</v>
      </c>
      <c r="D2157" s="880">
        <v>1.0237920628301127</v>
      </c>
      <c r="E2157" s="880">
        <v>1.001819520836285</v>
      </c>
      <c r="F2157" s="880">
        <v>1.037355315809215</v>
      </c>
      <c r="G2157" s="880">
        <v>1.0359379087581528</v>
      </c>
      <c r="H2157" s="880">
        <v>1.0132219774497155</v>
      </c>
      <c r="I2157" s="880">
        <v>1.0254563892271835</v>
      </c>
      <c r="K2157">
        <v>1.0750940823110764</v>
      </c>
      <c r="L2157">
        <v>0</v>
      </c>
      <c r="M2157">
        <v>6.8493347574756253E-4</v>
      </c>
      <c r="N2157">
        <v>6.8651350692048571E-2</v>
      </c>
      <c r="O2157">
        <v>8.6409171087138865E-3</v>
      </c>
      <c r="P2157">
        <v>1.2692316921595993E-2</v>
      </c>
      <c r="Q2157">
        <v>2.9154052249837402E-3</v>
      </c>
      <c r="R2157">
        <v>6.7349303019520067E-4</v>
      </c>
      <c r="S2157">
        <v>8.6737428552974949E-2</v>
      </c>
      <c r="T2157">
        <v>0.81568991551870484</v>
      </c>
      <c r="U2157">
        <v>1.6838050713408853E-2</v>
      </c>
      <c r="V2157">
        <v>1.0412717566744561E-2</v>
      </c>
      <c r="W2157">
        <v>4.0984980418325663E-2</v>
      </c>
      <c r="X2157">
        <v>9.7094140278540988E-3</v>
      </c>
      <c r="Y2157">
        <v>1.8330260112736007E-3</v>
      </c>
    </row>
    <row r="2158" spans="1:25">
      <c r="A2158" s="876"/>
      <c r="B2158" s="1202">
        <v>1908</v>
      </c>
      <c r="C2158" s="880">
        <v>1.0203128829120238</v>
      </c>
      <c r="D2158" s="880">
        <v>0.99637432852582397</v>
      </c>
      <c r="E2158" s="880">
        <v>0.98497488393895949</v>
      </c>
      <c r="F2158" s="880">
        <v>0.98995023574053853</v>
      </c>
      <c r="G2158" s="880">
        <v>0.96832827429686708</v>
      </c>
      <c r="H2158" s="880">
        <v>1.0222644025893242</v>
      </c>
      <c r="I2158" s="880">
        <v>1.002353875327175</v>
      </c>
      <c r="K2158">
        <v>1.0733298149045762</v>
      </c>
      <c r="L2158">
        <v>0</v>
      </c>
      <c r="M2158">
        <v>7.1498645111161771E-4</v>
      </c>
      <c r="N2158">
        <v>6.8015465674617401E-2</v>
      </c>
      <c r="O2158">
        <v>8.6292942227180671E-3</v>
      </c>
      <c r="P2158">
        <v>1.252280445618765E-2</v>
      </c>
      <c r="Q2158">
        <v>2.8566510477428418E-3</v>
      </c>
      <c r="R2158">
        <v>7.0317313626313735E-4</v>
      </c>
      <c r="S2158">
        <v>8.4907044248213173E-2</v>
      </c>
      <c r="T2158">
        <v>0.81705364857157114</v>
      </c>
      <c r="U2158">
        <v>1.6573963878304253E-2</v>
      </c>
      <c r="V2158">
        <v>1.0411199414952331E-2</v>
      </c>
      <c r="W2158">
        <v>4.1078265889307165E-2</v>
      </c>
      <c r="X2158">
        <v>9.3794853398649434E-3</v>
      </c>
      <c r="Y2158">
        <v>1.9138054759461883E-3</v>
      </c>
    </row>
    <row r="2159" spans="1:25">
      <c r="A2159" s="876"/>
      <c r="B2159" s="1202">
        <v>1909</v>
      </c>
      <c r="C2159" s="880">
        <v>1.0033276207133737</v>
      </c>
      <c r="D2159" s="880">
        <v>1.0241729247606015</v>
      </c>
      <c r="E2159" s="880">
        <v>0.99434155721019601</v>
      </c>
      <c r="F2159" s="880">
        <v>0.99190329215236517</v>
      </c>
      <c r="G2159" s="880">
        <v>1.013605856336609</v>
      </c>
      <c r="H2159" s="880">
        <v>1.0361389583756926</v>
      </c>
      <c r="I2159" s="880">
        <v>1.0095893264443272</v>
      </c>
      <c r="K2159">
        <v>1.0771432559600054</v>
      </c>
      <c r="L2159">
        <v>0</v>
      </c>
      <c r="M2159">
        <v>7.1209591729380986E-4</v>
      </c>
      <c r="N2159">
        <v>6.9758467401039498E-2</v>
      </c>
      <c r="O2159">
        <v>8.6476692395236459E-3</v>
      </c>
      <c r="P2159">
        <v>1.2623684331501343E-2</v>
      </c>
      <c r="Q2159">
        <v>2.8958907110533706E-3</v>
      </c>
      <c r="R2159">
        <v>7.0046453368071142E-4</v>
      </c>
      <c r="S2159">
        <v>8.6277263898092899E-2</v>
      </c>
      <c r="T2159">
        <v>0.81629413911870607</v>
      </c>
      <c r="U2159">
        <v>1.6854543338424979E-2</v>
      </c>
      <c r="V2159">
        <v>1.0412812377635909E-2</v>
      </c>
      <c r="W2159">
        <v>4.1859855804895381E-2</v>
      </c>
      <c r="X2159">
        <v>9.6241275701374699E-3</v>
      </c>
      <c r="Y2159">
        <v>1.9064335526074265E-3</v>
      </c>
    </row>
    <row r="2160" spans="1:25">
      <c r="A2160" s="876"/>
      <c r="B2160" s="1202">
        <v>1910</v>
      </c>
      <c r="C2160" s="880">
        <v>0.99959112992213406</v>
      </c>
      <c r="D2160" s="880">
        <v>1.0092505087740149</v>
      </c>
      <c r="E2160" s="880">
        <v>1.0035904086274059</v>
      </c>
      <c r="F2160" s="880">
        <v>1.0043081226025363</v>
      </c>
      <c r="G2160" s="880">
        <v>1.0180397642626842</v>
      </c>
      <c r="H2160" s="880">
        <v>1.0395496976676784</v>
      </c>
      <c r="I2160" s="880">
        <v>0.99120368006285875</v>
      </c>
      <c r="K2160">
        <v>1.07888880031932</v>
      </c>
      <c r="L2160">
        <v>0</v>
      </c>
      <c r="M2160">
        <v>7.087848070854955E-4</v>
      </c>
      <c r="N2160">
        <v>7.1466352548608725E-2</v>
      </c>
      <c r="O2160">
        <v>8.7480912814048503E-3</v>
      </c>
      <c r="P2160">
        <v>1.2694926882542926E-2</v>
      </c>
      <c r="Q2160">
        <v>2.9536807215338177E-3</v>
      </c>
      <c r="R2160">
        <v>6.9725783280872775E-4</v>
      </c>
      <c r="S2160">
        <v>8.576637309107063E-2</v>
      </c>
      <c r="T2160">
        <v>0.81554710504956407</v>
      </c>
      <c r="U2160">
        <v>1.6917545944279914E-2</v>
      </c>
      <c r="V2160">
        <v>1.0413174559714985E-2</v>
      </c>
      <c r="W2160">
        <v>4.2613971885400996E-2</v>
      </c>
      <c r="X2160">
        <v>9.8813993595528327E-3</v>
      </c>
      <c r="Y2160">
        <v>1.8977059699225448E-3</v>
      </c>
    </row>
    <row r="2161" spans="1:25">
      <c r="A2161" s="876"/>
      <c r="B2161" s="1202">
        <v>1911</v>
      </c>
      <c r="C2161" s="880">
        <v>0.99866346000065376</v>
      </c>
      <c r="D2161" s="880">
        <v>0.99693436667437774</v>
      </c>
      <c r="E2161" s="880">
        <v>0.98368938158080521</v>
      </c>
      <c r="F2161" s="880">
        <v>0.99726069842069898</v>
      </c>
      <c r="G2161" s="880">
        <v>0.98953280036885327</v>
      </c>
      <c r="H2161" s="880">
        <v>0.99254601922848162</v>
      </c>
      <c r="I2161" s="880">
        <v>0.99387072158541478</v>
      </c>
      <c r="K2161">
        <v>1.0729830738279529</v>
      </c>
      <c r="L2161">
        <v>0</v>
      </c>
      <c r="M2161">
        <v>7.1095546919794936E-4</v>
      </c>
      <c r="N2161">
        <v>6.7327816430295631E-2</v>
      </c>
      <c r="O2161">
        <v>8.8137211937462188E-3</v>
      </c>
      <c r="P2161">
        <v>1.2517208124890961E-2</v>
      </c>
      <c r="Q2161">
        <v>2.9140258624334955E-3</v>
      </c>
      <c r="R2161">
        <v>6.9885654104194473E-4</v>
      </c>
      <c r="S2161">
        <v>8.4930243754054432E-2</v>
      </c>
      <c r="T2161">
        <v>0.81715811732623778</v>
      </c>
      <c r="U2161">
        <v>1.6933260846392951E-2</v>
      </c>
      <c r="V2161">
        <v>1.0413264899723031E-2</v>
      </c>
      <c r="W2161">
        <v>4.0699134091691916E-2</v>
      </c>
      <c r="X2161">
        <v>9.386323099922763E-3</v>
      </c>
      <c r="Y2161">
        <v>1.9020571267193346E-3</v>
      </c>
    </row>
    <row r="2162" spans="1:25">
      <c r="A2162" s="876"/>
      <c r="B2162" s="1202">
        <v>1912</v>
      </c>
      <c r="C2162" s="880">
        <v>0.99222947307376774</v>
      </c>
      <c r="D2162" s="880">
        <v>1.0044660189800754</v>
      </c>
      <c r="E2162" s="880">
        <v>1.0210324664996389</v>
      </c>
      <c r="F2162" s="880">
        <v>0.98151586575968475</v>
      </c>
      <c r="G2162" s="880">
        <v>0.96543285718656435</v>
      </c>
      <c r="H2162" s="880">
        <v>1.0393708908783197</v>
      </c>
      <c r="I2162" s="880">
        <v>1.0314447503734088</v>
      </c>
      <c r="K2162">
        <v>1.0853572756458554</v>
      </c>
      <c r="L2162">
        <v>0</v>
      </c>
      <c r="M2162">
        <v>6.8986585244987199E-4</v>
      </c>
      <c r="N2162">
        <v>7.3434187435150886E-2</v>
      </c>
      <c r="O2162">
        <v>8.8353422834137607E-3</v>
      </c>
      <c r="P2162">
        <v>1.290220106793314E-2</v>
      </c>
      <c r="Q2162">
        <v>3.0344681324415853E-3</v>
      </c>
      <c r="R2162">
        <v>6.7864853032605164E-4</v>
      </c>
      <c r="S2162">
        <v>9.011700354178237E-2</v>
      </c>
      <c r="T2162">
        <v>0.81414621973656787</v>
      </c>
      <c r="U2162">
        <v>1.7043062441559963E-2</v>
      </c>
      <c r="V2162">
        <v>1.041389611440824E-2</v>
      </c>
      <c r="W2162">
        <v>4.3272284028687748E-2</v>
      </c>
      <c r="X2162">
        <v>1.0322770602913962E-2</v>
      </c>
      <c r="Y2162">
        <v>1.847057583119616E-3</v>
      </c>
    </row>
    <row r="2163" spans="1:25">
      <c r="A2163" s="876"/>
      <c r="B2163" s="1202">
        <v>1913</v>
      </c>
      <c r="C2163" s="880">
        <v>0.97707593499385492</v>
      </c>
      <c r="D2163" s="880">
        <v>0.98095870478451996</v>
      </c>
      <c r="E2163" s="880">
        <v>0.99028073930557825</v>
      </c>
      <c r="F2163" s="880">
        <v>0.97858621764798637</v>
      </c>
      <c r="G2163" s="880">
        <v>1.0069307264267688</v>
      </c>
      <c r="H2163" s="880">
        <v>1.0253903502025736</v>
      </c>
      <c r="I2163" s="880">
        <v>1.0258622981971535</v>
      </c>
      <c r="K2163">
        <v>1.0881689038631197</v>
      </c>
      <c r="L2163">
        <v>0</v>
      </c>
      <c r="M2163">
        <v>7.4677893074014416E-4</v>
      </c>
      <c r="N2163">
        <v>7.2228408836271019E-2</v>
      </c>
      <c r="O2163">
        <v>9.0864753642924991E-3</v>
      </c>
      <c r="P2163">
        <v>1.2667543610746028E-2</v>
      </c>
      <c r="Q2163">
        <v>3.0206559106239848E-3</v>
      </c>
      <c r="R2163">
        <v>7.3449208737323679E-4</v>
      </c>
      <c r="S2163">
        <v>9.1571227867664723E-2</v>
      </c>
      <c r="T2163">
        <v>0.81662305077665343</v>
      </c>
      <c r="U2163">
        <v>1.730738447269067E-2</v>
      </c>
      <c r="V2163">
        <v>1.0415415618268132E-2</v>
      </c>
      <c r="W2163">
        <v>4.3463237163821812E-2</v>
      </c>
      <c r="X2163">
        <v>9.7987457488757698E-3</v>
      </c>
      <c r="Y2163">
        <v>1.9990453365784206E-3</v>
      </c>
    </row>
    <row r="2164" spans="1:25">
      <c r="A2164" s="876"/>
      <c r="B2164" s="1202">
        <v>1914</v>
      </c>
      <c r="C2164" s="880">
        <v>0.97853770658778938</v>
      </c>
      <c r="D2164" s="880">
        <v>0.98514689810170508</v>
      </c>
      <c r="E2164" s="880">
        <v>0.96889466258856172</v>
      </c>
      <c r="F2164" s="880">
        <v>0.98929361830913298</v>
      </c>
      <c r="G2164" s="880">
        <v>0.97785542558022609</v>
      </c>
      <c r="H2164" s="880">
        <v>0.97695635360814348</v>
      </c>
      <c r="I2164" s="880">
        <v>1.0246448137230442</v>
      </c>
      <c r="K2164">
        <v>1.0789634229860041</v>
      </c>
      <c r="L2164">
        <v>0</v>
      </c>
      <c r="M2164">
        <v>7.4137801097797743E-4</v>
      </c>
      <c r="N2164">
        <v>6.7027597122346072E-2</v>
      </c>
      <c r="O2164">
        <v>9.052278472933984E-3</v>
      </c>
      <c r="P2164">
        <v>1.245573428119273E-2</v>
      </c>
      <c r="Q2164">
        <v>2.9455101647860547E-3</v>
      </c>
      <c r="R2164">
        <v>7.2857126182033919E-4</v>
      </c>
      <c r="S2164">
        <v>8.9303984834554692E-2</v>
      </c>
      <c r="T2164">
        <v>0.81836446154280273</v>
      </c>
      <c r="U2164">
        <v>1.7281530136350674E-2</v>
      </c>
      <c r="V2164">
        <v>1.0415266989855676E-2</v>
      </c>
      <c r="W2164">
        <v>4.0936845610481956E-2</v>
      </c>
      <c r="X2164">
        <v>9.2100897786343647E-3</v>
      </c>
      <c r="Y2164">
        <v>1.9829308012230527E-3</v>
      </c>
    </row>
    <row r="2165" spans="1:25">
      <c r="A2165" s="876"/>
      <c r="B2165" s="1202">
        <v>1915</v>
      </c>
      <c r="C2165" s="880">
        <v>1.0022807124735562</v>
      </c>
      <c r="D2165" s="880">
        <v>1.0321828822581718</v>
      </c>
      <c r="E2165" s="880">
        <v>0.98528362991381746</v>
      </c>
      <c r="F2165" s="880">
        <v>1.0018198992962954</v>
      </c>
      <c r="G2165" s="880">
        <v>1.0333983112980643</v>
      </c>
      <c r="H2165" s="880">
        <v>0.96170392337763944</v>
      </c>
      <c r="I2165" s="880">
        <v>0.98298534796139159</v>
      </c>
      <c r="K2165">
        <v>1.0629190316430646</v>
      </c>
      <c r="L2165">
        <v>0</v>
      </c>
      <c r="M2165">
        <v>6.7156987784255245E-4</v>
      </c>
      <c r="N2165">
        <v>6.387618365586141E-2</v>
      </c>
      <c r="O2165">
        <v>8.62090763627168E-3</v>
      </c>
      <c r="P2165">
        <v>1.2479402055066128E-2</v>
      </c>
      <c r="Q2165">
        <v>2.8622607434414791E-3</v>
      </c>
      <c r="R2165">
        <v>6.5974474136246781E-4</v>
      </c>
      <c r="S2165">
        <v>8.1199919266868023E-2</v>
      </c>
      <c r="T2165">
        <v>0.81702856608772023</v>
      </c>
      <c r="U2165">
        <v>1.6872148346762209E-2</v>
      </c>
      <c r="V2165">
        <v>1.0412913583267562E-2</v>
      </c>
      <c r="W2165">
        <v>3.8570092420244229E-2</v>
      </c>
      <c r="X2165">
        <v>9.2128552828491181E-3</v>
      </c>
      <c r="Y2165">
        <v>1.7956077011930976E-3</v>
      </c>
    </row>
    <row r="2166" spans="1:25">
      <c r="A2166" s="876"/>
      <c r="B2166" s="1202">
        <v>1916</v>
      </c>
      <c r="C2166" s="880">
        <v>1.0257007537036307</v>
      </c>
      <c r="D2166" s="880">
        <v>1.0363415881395741</v>
      </c>
      <c r="E2166" s="880">
        <v>0.99828893190359547</v>
      </c>
      <c r="F2166" s="880">
        <v>0.9651355909933802</v>
      </c>
      <c r="G2166" s="880">
        <v>0.98763074863770572</v>
      </c>
      <c r="H2166" s="880">
        <v>1.0319667860661916</v>
      </c>
      <c r="I2166" s="880">
        <v>0.99282063895727124</v>
      </c>
      <c r="K2166">
        <v>1.0687923969690374</v>
      </c>
      <c r="L2166">
        <v>0</v>
      </c>
      <c r="M2166">
        <v>6.8372081375758711E-4</v>
      </c>
      <c r="N2166">
        <v>6.7801106606304964E-2</v>
      </c>
      <c r="O2166">
        <v>8.4060784461284545E-3</v>
      </c>
      <c r="P2166">
        <v>1.2598381738699146E-2</v>
      </c>
      <c r="Q2166">
        <v>2.8286647537285672E-3</v>
      </c>
      <c r="R2166">
        <v>6.7249815429831338E-4</v>
      </c>
      <c r="S2166">
        <v>8.2366198571786106E-2</v>
      </c>
      <c r="T2166">
        <v>0.81597495238153261</v>
      </c>
      <c r="U2166">
        <v>1.6486903031796542E-2</v>
      </c>
      <c r="V2166">
        <v>1.0410698929647558E-2</v>
      </c>
      <c r="W2166">
        <v>4.0575281883683353E-2</v>
      </c>
      <c r="X2166">
        <v>9.5250349981456043E-3</v>
      </c>
      <c r="Y2166">
        <v>1.8303182870430246E-3</v>
      </c>
    </row>
    <row r="2167" spans="1:25">
      <c r="A2167" s="876"/>
      <c r="B2167" s="1202">
        <v>1917</v>
      </c>
      <c r="C2167" s="880">
        <v>1.0438173776978321</v>
      </c>
      <c r="D2167" s="880">
        <v>1.0281369504840043</v>
      </c>
      <c r="E2167" s="880">
        <v>1.0288135789504804</v>
      </c>
      <c r="F2167" s="880">
        <v>1.0163472615949471</v>
      </c>
      <c r="G2167" s="880">
        <v>1.0015107148278393</v>
      </c>
      <c r="H2167" s="880">
        <v>1.0204046577576653</v>
      </c>
      <c r="I2167" s="880">
        <v>0.99018427063232772</v>
      </c>
      <c r="K2167">
        <v>1.0646239490580918</v>
      </c>
      <c r="L2167">
        <v>0</v>
      </c>
      <c r="M2167">
        <v>6.2551415399176159E-4</v>
      </c>
      <c r="N2167">
        <v>6.8189718016776049E-2</v>
      </c>
      <c r="O2167">
        <v>8.2951617825892353E-3</v>
      </c>
      <c r="P2167">
        <v>1.282336729859378E-2</v>
      </c>
      <c r="Q2167">
        <v>2.8759728845410035E-3</v>
      </c>
      <c r="R2167">
        <v>6.151365424236048E-4</v>
      </c>
      <c r="S2167">
        <v>8.06546647195968E-2</v>
      </c>
      <c r="T2167">
        <v>0.81352461229415296</v>
      </c>
      <c r="U2167">
        <v>1.620075429597586E-2</v>
      </c>
      <c r="V2167">
        <v>1.0409053950957295E-2</v>
      </c>
      <c r="W2167">
        <v>3.9972187697861934E-2</v>
      </c>
      <c r="X2167">
        <v>1.0014634839843099E-2</v>
      </c>
      <c r="Y2167">
        <v>1.6741988887703405E-3</v>
      </c>
    </row>
    <row r="2168" spans="1:25">
      <c r="A2168" s="876"/>
      <c r="B2168" s="1202">
        <v>1918</v>
      </c>
      <c r="C2168" s="880">
        <v>0.97816743884090507</v>
      </c>
      <c r="D2168" s="880">
        <v>1.0241995651396469</v>
      </c>
      <c r="E2168" s="880">
        <v>0.96294297854807331</v>
      </c>
      <c r="F2168" s="880">
        <v>1.0271718256578046</v>
      </c>
      <c r="G2168" s="880">
        <v>0.99198604166567983</v>
      </c>
      <c r="H2168" s="880">
        <v>1.0362697370509926</v>
      </c>
      <c r="I2168" s="880">
        <v>1.0115940402389709</v>
      </c>
      <c r="K2168">
        <v>1.0824037806003486</v>
      </c>
      <c r="L2168">
        <v>0</v>
      </c>
      <c r="M2168">
        <v>7.8025646058540977E-4</v>
      </c>
      <c r="N2168">
        <v>6.9311554188771982E-2</v>
      </c>
      <c r="O2168">
        <v>8.8699797007921466E-3</v>
      </c>
      <c r="P2168">
        <v>1.2396970693214486E-2</v>
      </c>
      <c r="Q2168">
        <v>2.8769743305615981E-3</v>
      </c>
      <c r="R2168">
        <v>7.675133261198522E-4</v>
      </c>
      <c r="S2168">
        <v>8.8675819120748636E-2</v>
      </c>
      <c r="T2168">
        <v>0.8188518395809643</v>
      </c>
      <c r="U2168">
        <v>1.7288071749751624E-2</v>
      </c>
      <c r="V2168">
        <v>1.0415304595524671E-2</v>
      </c>
      <c r="W2168">
        <v>4.2508695140008108E-2</v>
      </c>
      <c r="X2168">
        <v>9.132396371479265E-3</v>
      </c>
      <c r="Y2168">
        <v>2.0889182629982806E-3</v>
      </c>
    </row>
    <row r="2169" spans="1:25">
      <c r="A2169" s="876"/>
      <c r="B2169" s="1202">
        <v>1919</v>
      </c>
      <c r="C2169" s="880">
        <v>1.0091782348870952</v>
      </c>
      <c r="D2169" s="880">
        <v>0.98011765931894856</v>
      </c>
      <c r="E2169" s="880">
        <v>1.0127087414969109</v>
      </c>
      <c r="F2169" s="880">
        <v>1.0463550826159154</v>
      </c>
      <c r="G2169" s="880">
        <v>0.96642838990497815</v>
      </c>
      <c r="H2169" s="880">
        <v>1.0021042534264639</v>
      </c>
      <c r="I2169" s="880">
        <v>0.97822820754051654</v>
      </c>
      <c r="K2169">
        <v>1.0733806868910565</v>
      </c>
      <c r="L2169">
        <v>0</v>
      </c>
      <c r="M2169">
        <v>6.7430680415024342E-4</v>
      </c>
      <c r="N2169">
        <v>6.9904501097362376E-2</v>
      </c>
      <c r="O2169">
        <v>8.8014639824628566E-3</v>
      </c>
      <c r="P2169">
        <v>1.2741102953306351E-2</v>
      </c>
      <c r="Q2169">
        <v>2.9923711760050701E-3</v>
      </c>
      <c r="R2169">
        <v>6.6295527049353383E-4</v>
      </c>
      <c r="S2169">
        <v>8.3762140648796016E-2</v>
      </c>
      <c r="T2169">
        <v>0.8148134600818977</v>
      </c>
      <c r="U2169">
        <v>1.6756830737480511E-2</v>
      </c>
      <c r="V2169">
        <v>1.0412250658759675E-2</v>
      </c>
      <c r="W2169">
        <v>4.1424880759160419E-2</v>
      </c>
      <c r="X2169">
        <v>9.9786906263437045E-3</v>
      </c>
      <c r="Y2169">
        <v>1.8043457031372155E-3</v>
      </c>
    </row>
    <row r="2170" spans="1:25">
      <c r="A2170" s="876"/>
      <c r="B2170" s="1202">
        <v>1920</v>
      </c>
      <c r="C2170" s="880">
        <v>1.0424996018698494</v>
      </c>
      <c r="D2170" s="880">
        <v>1.0157971562436667</v>
      </c>
      <c r="E2170" s="880">
        <v>1.023739780365134</v>
      </c>
      <c r="F2170" s="880">
        <v>0.9875288636453915</v>
      </c>
      <c r="G2170" s="880">
        <v>1.040657782728494</v>
      </c>
      <c r="H2170" s="880">
        <v>1.0245338706535152</v>
      </c>
      <c r="I2170" s="880">
        <v>1.0023077676876184</v>
      </c>
      <c r="K2170">
        <v>1.0676967363912615</v>
      </c>
      <c r="L2170">
        <v>0</v>
      </c>
      <c r="M2170">
        <v>6.3970945685847111E-4</v>
      </c>
      <c r="N2170">
        <v>6.8652818513860139E-2</v>
      </c>
      <c r="O2170">
        <v>8.3591891506568771E-3</v>
      </c>
      <c r="P2170">
        <v>1.2805832775603923E-2</v>
      </c>
      <c r="Q2170">
        <v>2.8810646145648699E-3</v>
      </c>
      <c r="R2170">
        <v>6.2914839201777919E-4</v>
      </c>
      <c r="S2170">
        <v>8.2378351620172319E-2</v>
      </c>
      <c r="T2170">
        <v>0.81392970704090406</v>
      </c>
      <c r="U2170">
        <v>1.6221232924809852E-2</v>
      </c>
      <c r="V2170">
        <v>1.0409171676125406E-2</v>
      </c>
      <c r="W2170">
        <v>4.0381070230217898E-2</v>
      </c>
      <c r="X2170">
        <v>9.9765243848265218E-3</v>
      </c>
      <c r="Y2170">
        <v>1.7123345243607061E-3</v>
      </c>
    </row>
    <row r="2171" spans="1:25">
      <c r="A2171" s="876"/>
      <c r="B2171" s="1202">
        <v>1921</v>
      </c>
      <c r="C2171" s="880">
        <v>1.0394275316241148</v>
      </c>
      <c r="D2171" s="880">
        <v>0.97380280229958172</v>
      </c>
      <c r="E2171" s="880">
        <v>1.0271663288755544</v>
      </c>
      <c r="F2171" s="880">
        <v>1.0261839573062959</v>
      </c>
      <c r="G2171" s="880">
        <v>0.99243674257240178</v>
      </c>
      <c r="H2171" s="880">
        <v>0.99123001437205382</v>
      </c>
      <c r="I2171" s="880">
        <v>1.0041379265764334</v>
      </c>
      <c r="K2171">
        <v>1.0682686663428407</v>
      </c>
      <c r="L2171">
        <v>0</v>
      </c>
      <c r="M2171">
        <v>6.3026967857714871E-4</v>
      </c>
      <c r="N2171">
        <v>6.8328427616156678E-2</v>
      </c>
      <c r="O2171">
        <v>8.5748967177120983E-3</v>
      </c>
      <c r="P2171">
        <v>1.2848546965629893E-2</v>
      </c>
      <c r="Q2171">
        <v>2.9561057969551561E-3</v>
      </c>
      <c r="R2171">
        <v>6.1954822535850316E-4</v>
      </c>
      <c r="S2171">
        <v>8.3367489141763271E-2</v>
      </c>
      <c r="T2171">
        <v>0.81365603329937575</v>
      </c>
      <c r="U2171">
        <v>1.6269175436915126E-2</v>
      </c>
      <c r="V2171">
        <v>1.0409447282482866E-2</v>
      </c>
      <c r="W2171">
        <v>4.0097797044056159E-2</v>
      </c>
      <c r="X2171">
        <v>1.0085262459604333E-2</v>
      </c>
      <c r="Y2171">
        <v>1.6862060354082456E-3</v>
      </c>
    </row>
    <row r="2172" spans="1:25">
      <c r="A2172" s="876"/>
      <c r="B2172" s="1202">
        <v>1922</v>
      </c>
      <c r="C2172" s="880">
        <v>0.97429641491578145</v>
      </c>
      <c r="D2172" s="880">
        <v>1.0368673240809714</v>
      </c>
      <c r="E2172" s="880">
        <v>1.01044079150476</v>
      </c>
      <c r="F2172" s="880">
        <v>0.99576278478109825</v>
      </c>
      <c r="G2172" s="880">
        <v>1.0069566764049251</v>
      </c>
      <c r="H2172" s="880">
        <v>1.0057884430850945</v>
      </c>
      <c r="I2172" s="880">
        <v>0.98570839826067813</v>
      </c>
      <c r="K2172">
        <v>1.0764591889075452</v>
      </c>
      <c r="L2172">
        <v>0</v>
      </c>
      <c r="M2172">
        <v>6.8361410089936127E-4</v>
      </c>
      <c r="N2172">
        <v>7.0370977255298853E-2</v>
      </c>
      <c r="O2172">
        <v>8.8472021634321621E-3</v>
      </c>
      <c r="P2172">
        <v>1.2749517567581966E-2</v>
      </c>
      <c r="Q2172">
        <v>3.0137153490790592E-3</v>
      </c>
      <c r="R2172">
        <v>6.7210071668891321E-4</v>
      </c>
      <c r="S2172">
        <v>8.5140110070315522E-2</v>
      </c>
      <c r="T2172">
        <v>0.81499567096935621</v>
      </c>
      <c r="U2172">
        <v>1.7356759818739704E-2</v>
      </c>
      <c r="V2172">
        <v>1.0415699461535331E-2</v>
      </c>
      <c r="W2172">
        <v>4.1765553488890758E-2</v>
      </c>
      <c r="X2172">
        <v>9.9862595546392225E-3</v>
      </c>
      <c r="Y2172">
        <v>1.8292365928855104E-3</v>
      </c>
    </row>
    <row r="2173" spans="1:25">
      <c r="A2173" s="876"/>
      <c r="B2173" s="1202">
        <v>1923</v>
      </c>
      <c r="C2173" s="880">
        <v>1.0017049969667433</v>
      </c>
      <c r="D2173" s="880">
        <v>1.0138627960239506</v>
      </c>
      <c r="E2173" s="880">
        <v>0.97970564389099124</v>
      </c>
      <c r="F2173" s="880">
        <v>1.0142428193200415</v>
      </c>
      <c r="G2173" s="880">
        <v>1.0072371038775643</v>
      </c>
      <c r="H2173" s="880">
        <v>1.0055646744434972</v>
      </c>
      <c r="I2173" s="880">
        <v>1.0007275853737245</v>
      </c>
      <c r="K2173">
        <v>1.0728746581018549</v>
      </c>
      <c r="L2173">
        <v>0</v>
      </c>
      <c r="M2173">
        <v>7.1767158716949371E-4</v>
      </c>
      <c r="N2173">
        <v>6.7139200832321749E-2</v>
      </c>
      <c r="O2173">
        <v>8.7084534227236492E-3</v>
      </c>
      <c r="P2173">
        <v>1.2484087154614767E-2</v>
      </c>
      <c r="Q2173">
        <v>2.8711985211362606E-3</v>
      </c>
      <c r="R2173">
        <v>7.0560160562976545E-4</v>
      </c>
      <c r="S2173">
        <v>8.5006666182736237E-2</v>
      </c>
      <c r="T2173">
        <v>0.8174822185550219</v>
      </c>
      <c r="U2173">
        <v>1.6881845370802107E-2</v>
      </c>
      <c r="V2173">
        <v>1.041296932839556E-2</v>
      </c>
      <c r="W2173">
        <v>4.069732723389112E-2</v>
      </c>
      <c r="X2173">
        <v>9.2823465127339251E-3</v>
      </c>
      <c r="Y2173">
        <v>1.9204149690174388E-3</v>
      </c>
    </row>
    <row r="2174" spans="1:25">
      <c r="A2174" s="876"/>
      <c r="B2174" s="1202">
        <v>1924</v>
      </c>
      <c r="C2174" s="880">
        <v>1.0156911348537752</v>
      </c>
      <c r="D2174" s="880">
        <v>0.98629516413310325</v>
      </c>
      <c r="E2174" s="880">
        <v>0.9948068739186412</v>
      </c>
      <c r="F2174" s="880">
        <v>0.96323383938346241</v>
      </c>
      <c r="G2174" s="880">
        <v>1.0228795825928754</v>
      </c>
      <c r="H2174" s="880">
        <v>1.0192026985463125</v>
      </c>
      <c r="I2174" s="880">
        <v>1.0318749812666854</v>
      </c>
      <c r="K2174">
        <v>1.0779108119497594</v>
      </c>
      <c r="L2174">
        <v>0</v>
      </c>
      <c r="M2174">
        <v>7.0524466245212413E-4</v>
      </c>
      <c r="N2174">
        <v>6.9171560043789104E-2</v>
      </c>
      <c r="O2174">
        <v>8.7157276989694547E-3</v>
      </c>
      <c r="P2174">
        <v>1.2650100232761172E-2</v>
      </c>
      <c r="Q2174">
        <v>2.9118616456282899E-3</v>
      </c>
      <c r="R2174">
        <v>6.935660569747518E-4</v>
      </c>
      <c r="S2174">
        <v>8.8139953264967749E-2</v>
      </c>
      <c r="T2174">
        <v>0.81625648586822508</v>
      </c>
      <c r="U2174">
        <v>1.664938118061542E-2</v>
      </c>
      <c r="V2174">
        <v>1.0411632965199641E-2</v>
      </c>
      <c r="W2174">
        <v>4.1494407556565485E-2</v>
      </c>
      <c r="X2174">
        <v>9.6337219254190986E-3</v>
      </c>
      <c r="Y2174">
        <v>1.8876581730960401E-3</v>
      </c>
    </row>
    <row r="2175" spans="1:25">
      <c r="A2175" s="876"/>
      <c r="B2175" s="1202">
        <v>1925</v>
      </c>
      <c r="C2175" s="880">
        <v>1.0200563772179232</v>
      </c>
      <c r="D2175" s="880">
        <v>0.98091402323581722</v>
      </c>
      <c r="E2175" s="880">
        <v>0.97234656807265518</v>
      </c>
      <c r="F2175" s="880">
        <v>0.99068924194277586</v>
      </c>
      <c r="G2175" s="880">
        <v>1.0180039080479382</v>
      </c>
      <c r="H2175" s="880">
        <v>1.0280168197924273</v>
      </c>
      <c r="I2175" s="880">
        <v>0.95843026603701664</v>
      </c>
      <c r="K2175">
        <v>1.0718019911691461</v>
      </c>
      <c r="L2175">
        <v>0</v>
      </c>
      <c r="M2175">
        <v>7.4468426713050881E-4</v>
      </c>
      <c r="N2175">
        <v>6.8114820618937033E-2</v>
      </c>
      <c r="O2175">
        <v>8.7038252622984591E-3</v>
      </c>
      <c r="P2175">
        <v>1.2378419448308779E-2</v>
      </c>
      <c r="Q2175">
        <v>2.8412129260644487E-3</v>
      </c>
      <c r="R2175">
        <v>7.3246323221143556E-4</v>
      </c>
      <c r="S2175">
        <v>8.2038305163986192E-2</v>
      </c>
      <c r="T2175">
        <v>0.81808233561735222</v>
      </c>
      <c r="U2175">
        <v>1.6578131604915839E-2</v>
      </c>
      <c r="V2175">
        <v>1.0411223373896101E-2</v>
      </c>
      <c r="W2175">
        <v>4.1500680539757133E-2</v>
      </c>
      <c r="X2175">
        <v>9.1717341869076412E-3</v>
      </c>
      <c r="Y2175">
        <v>1.9935234616399221E-3</v>
      </c>
    </row>
    <row r="2176" spans="1:25">
      <c r="A2176" s="876"/>
      <c r="B2176" s="1202">
        <v>1926</v>
      </c>
      <c r="C2176" s="880">
        <v>0.97873212828177336</v>
      </c>
      <c r="D2176" s="880">
        <v>1.027223882600323</v>
      </c>
      <c r="E2176" s="880">
        <v>1.0412676438078747</v>
      </c>
      <c r="F2176" s="880">
        <v>1.0303978373221805</v>
      </c>
      <c r="G2176" s="880">
        <v>1.0164317767839004</v>
      </c>
      <c r="H2176" s="880">
        <v>0.98802905953761089</v>
      </c>
      <c r="I2176" s="880">
        <v>1.0427280173326501</v>
      </c>
      <c r="K2176">
        <v>1.0796327449131633</v>
      </c>
      <c r="L2176">
        <v>0</v>
      </c>
      <c r="M2176">
        <v>6.2943238923524644E-4</v>
      </c>
      <c r="N2176">
        <v>7.128116408097887E-2</v>
      </c>
      <c r="O2176">
        <v>8.8509680060133485E-3</v>
      </c>
      <c r="P2176">
        <v>1.3063946207404243E-2</v>
      </c>
      <c r="Q2176">
        <v>3.1063833582440185E-3</v>
      </c>
      <c r="R2176">
        <v>6.1864828511867689E-4</v>
      </c>
      <c r="S2176">
        <v>8.9406902613251737E-2</v>
      </c>
      <c r="T2176">
        <v>0.812534000084987</v>
      </c>
      <c r="U2176">
        <v>1.7278097221187633E-2</v>
      </c>
      <c r="V2176">
        <v>1.0415247255110843E-2</v>
      </c>
      <c r="W2176">
        <v>4.1438300364560941E-2</v>
      </c>
      <c r="X2176">
        <v>1.0584763130800189E-2</v>
      </c>
      <c r="Y2176">
        <v>1.6837566947406587E-3</v>
      </c>
    </row>
    <row r="2177" spans="1:25">
      <c r="A2177" s="876"/>
      <c r="B2177" s="1202">
        <v>1927</v>
      </c>
      <c r="C2177" s="880">
        <v>0.99049999052987381</v>
      </c>
      <c r="D2177" s="880">
        <v>1.0026213546881879</v>
      </c>
      <c r="E2177" s="880">
        <v>0.98869646802615219</v>
      </c>
      <c r="F2177" s="880">
        <v>0.99871281770555242</v>
      </c>
      <c r="G2177" s="880">
        <v>0.98385490631471118</v>
      </c>
      <c r="H2177" s="880">
        <v>0.96357925556951873</v>
      </c>
      <c r="I2177" s="880">
        <v>0.99349251660890803</v>
      </c>
      <c r="K2177">
        <v>1.069931682515691</v>
      </c>
      <c r="L2177">
        <v>0</v>
      </c>
      <c r="M2177">
        <v>6.8653077053178657E-4</v>
      </c>
      <c r="N2177">
        <v>6.6001682939300921E-2</v>
      </c>
      <c r="O2177">
        <v>8.8594464903483036E-3</v>
      </c>
      <c r="P2177">
        <v>1.2552811173410464E-2</v>
      </c>
      <c r="Q2177">
        <v>2.9452884020775018E-3</v>
      </c>
      <c r="R2177">
        <v>6.7449125170451654E-4</v>
      </c>
      <c r="S2177">
        <v>8.4318121388108846E-2</v>
      </c>
      <c r="T2177">
        <v>0.81675152272166729</v>
      </c>
      <c r="U2177">
        <v>1.7072820825476179E-2</v>
      </c>
      <c r="V2177">
        <v>1.0414067185956976E-2</v>
      </c>
      <c r="W2177">
        <v>3.9759717507681695E-2</v>
      </c>
      <c r="X2177">
        <v>9.4325005593308715E-3</v>
      </c>
      <c r="Y2177">
        <v>1.8357428411583266E-3</v>
      </c>
    </row>
    <row r="2178" spans="1:25">
      <c r="A2178" s="876"/>
      <c r="B2178" s="1202">
        <v>1928</v>
      </c>
      <c r="C2178" s="880">
        <v>0.973977116364933</v>
      </c>
      <c r="D2178" s="880">
        <v>1.0294757864307698</v>
      </c>
      <c r="E2178" s="880">
        <v>1.0109687024491201</v>
      </c>
      <c r="F2178" s="880">
        <v>1.0211879854353816</v>
      </c>
      <c r="G2178" s="880">
        <v>1.0257498104397351</v>
      </c>
      <c r="H2178" s="880">
        <v>0.976442208759847</v>
      </c>
      <c r="I2178" s="880">
        <v>0.97786341569759583</v>
      </c>
      <c r="K2178">
        <v>1.0721246673252174</v>
      </c>
      <c r="L2178">
        <v>0</v>
      </c>
      <c r="M2178">
        <v>6.656677674417846E-4</v>
      </c>
      <c r="N2178">
        <v>6.8601424351297083E-2</v>
      </c>
      <c r="O2178">
        <v>8.883826280435124E-3</v>
      </c>
      <c r="P2178">
        <v>1.2734913158255822E-2</v>
      </c>
      <c r="Q2178">
        <v>3.0261930153469294E-3</v>
      </c>
      <c r="R2178">
        <v>6.541256715903109E-4</v>
      </c>
      <c r="S2178">
        <v>8.3753445433074239E-2</v>
      </c>
      <c r="T2178">
        <v>0.81495324208582665</v>
      </c>
      <c r="U2178">
        <v>1.7362449878767235E-2</v>
      </c>
      <c r="V2178">
        <v>1.0415732171892999E-2</v>
      </c>
      <c r="W2178">
        <v>4.0700719181262793E-2</v>
      </c>
      <c r="X2178">
        <v>9.9239494193100412E-3</v>
      </c>
      <c r="Y2178">
        <v>1.7803144455991393E-3</v>
      </c>
    </row>
    <row r="2179" spans="1:25">
      <c r="A2179" s="876"/>
      <c r="B2179" s="1202">
        <v>1929</v>
      </c>
      <c r="C2179" s="880">
        <v>1.0064415239709787</v>
      </c>
      <c r="D2179" s="880">
        <v>0.97784030325443239</v>
      </c>
      <c r="E2179" s="880">
        <v>0.99902341554860707</v>
      </c>
      <c r="F2179" s="880">
        <v>0.99620708261818458</v>
      </c>
      <c r="G2179" s="880">
        <v>0.9912318133828335</v>
      </c>
      <c r="H2179" s="880">
        <v>1.000213604129718</v>
      </c>
      <c r="I2179" s="880">
        <v>0.99216531259286633</v>
      </c>
      <c r="K2179">
        <v>1.0747905585868534</v>
      </c>
      <c r="L2179">
        <v>0</v>
      </c>
      <c r="M2179">
        <v>6.9547753435337915E-4</v>
      </c>
      <c r="N2179">
        <v>6.9093181742934093E-2</v>
      </c>
      <c r="O2179">
        <v>8.8363739921034669E-3</v>
      </c>
      <c r="P2179">
        <v>1.2647715985560902E-2</v>
      </c>
      <c r="Q2179">
        <v>2.9628083911128226E-3</v>
      </c>
      <c r="R2179">
        <v>6.8374949582599104E-4</v>
      </c>
      <c r="S2179">
        <v>8.5218106658562068E-2</v>
      </c>
      <c r="T2179">
        <v>0.81591562004609586</v>
      </c>
      <c r="U2179">
        <v>1.6802395830440693E-2</v>
      </c>
      <c r="V2179">
        <v>1.0412512598085451E-2</v>
      </c>
      <c r="W2179">
        <v>4.1327724166422997E-2</v>
      </c>
      <c r="X2179">
        <v>9.7249064843852248E-3</v>
      </c>
      <c r="Y2179">
        <v>1.8609407296776258E-3</v>
      </c>
    </row>
    <row r="2180" spans="1:25">
      <c r="A2180" s="876"/>
      <c r="B2180" s="1202">
        <v>1930</v>
      </c>
      <c r="C2180" s="880">
        <v>0.99632155017476987</v>
      </c>
      <c r="D2180" s="880">
        <v>1.0110581699716172</v>
      </c>
      <c r="E2180" s="880">
        <v>0.98374009576941013</v>
      </c>
      <c r="F2180" s="880">
        <v>0.97869453760818548</v>
      </c>
      <c r="G2180" s="880">
        <v>0.99073315603307277</v>
      </c>
      <c r="H2180" s="880">
        <v>0.98040432088652563</v>
      </c>
      <c r="I2180" s="880">
        <v>1.0153498337891904</v>
      </c>
      <c r="K2180">
        <v>1.0719967352152162</v>
      </c>
      <c r="L2180">
        <v>0</v>
      </c>
      <c r="M2180">
        <v>6.9858816991273697E-4</v>
      </c>
      <c r="N2180">
        <v>6.6151695844221384E-2</v>
      </c>
      <c r="O2180">
        <v>8.7684360142450124E-3</v>
      </c>
      <c r="P2180">
        <v>1.2531557350059544E-2</v>
      </c>
      <c r="Q2180">
        <v>2.9022452965042555E-3</v>
      </c>
      <c r="R2180">
        <v>6.8654005759995044E-4</v>
      </c>
      <c r="S2180">
        <v>8.5922941272978587E-2</v>
      </c>
      <c r="T2180">
        <v>0.81715399488245288</v>
      </c>
      <c r="U2180">
        <v>1.6973063428153301E-2</v>
      </c>
      <c r="V2180">
        <v>1.0413493712192282E-2</v>
      </c>
      <c r="W2180">
        <v>3.9986774973048984E-2</v>
      </c>
      <c r="X2180">
        <v>9.3360448347534972E-3</v>
      </c>
      <c r="Y2180">
        <v>1.8685357189179017E-3</v>
      </c>
    </row>
    <row r="2181" spans="1:25">
      <c r="A2181" s="876"/>
      <c r="B2181" s="1202">
        <v>1931</v>
      </c>
      <c r="C2181" s="880">
        <v>1.0303030628027823</v>
      </c>
      <c r="D2181" s="880">
        <v>0.98059493235015038</v>
      </c>
      <c r="E2181" s="880">
        <v>1.0364314866541422</v>
      </c>
      <c r="F2181" s="880">
        <v>1.016460796210263</v>
      </c>
      <c r="G2181" s="880">
        <v>1.0080770531237395</v>
      </c>
      <c r="H2181" s="880">
        <v>0.99985572250130594</v>
      </c>
      <c r="I2181" s="880">
        <v>0.95876960192835003</v>
      </c>
      <c r="K2181">
        <v>1.0672467676785844</v>
      </c>
      <c r="L2181">
        <v>0</v>
      </c>
      <c r="M2181">
        <v>6.2660577302447356E-4</v>
      </c>
      <c r="N2181">
        <v>6.9922908983376011E-2</v>
      </c>
      <c r="O2181">
        <v>8.6187610037560518E-3</v>
      </c>
      <c r="P2181">
        <v>1.2884214927048405E-2</v>
      </c>
      <c r="Q2181">
        <v>3.0001158827631736E-3</v>
      </c>
      <c r="R2181">
        <v>6.1603315312706863E-4</v>
      </c>
      <c r="S2181">
        <v>8.0317574838638967E-2</v>
      </c>
      <c r="T2181">
        <v>0.81291804487696562</v>
      </c>
      <c r="U2181">
        <v>1.6413256910980716E-2</v>
      </c>
      <c r="V2181">
        <v>1.0410275561363156E-2</v>
      </c>
      <c r="W2181">
        <v>4.0779839058579861E-2</v>
      </c>
      <c r="X2181">
        <v>1.0315709087472119E-2</v>
      </c>
      <c r="Y2181">
        <v>1.6766391675375302E-3</v>
      </c>
    </row>
    <row r="2182" spans="1:25">
      <c r="A2182" s="876"/>
      <c r="B2182" s="1202">
        <v>1932</v>
      </c>
      <c r="C2182" s="880">
        <v>0.96835760837053719</v>
      </c>
      <c r="D2182" s="880">
        <v>1.0210946407602233</v>
      </c>
      <c r="E2182" s="880">
        <v>0.99715654562265976</v>
      </c>
      <c r="F2182" s="880">
        <v>1.0229681542999889</v>
      </c>
      <c r="G2182" s="880">
        <v>1.0324423631539141</v>
      </c>
      <c r="H2182" s="880">
        <v>1.0015677828417646</v>
      </c>
      <c r="I2182" s="880">
        <v>1.0305908477737069</v>
      </c>
      <c r="K2182">
        <v>1.0825629762225335</v>
      </c>
      <c r="L2182">
        <v>0</v>
      </c>
      <c r="M2182">
        <v>7.1011547983315594E-4</v>
      </c>
      <c r="N2182">
        <v>7.0136597287391161E-2</v>
      </c>
      <c r="O2182">
        <v>8.9743235393028413E-3</v>
      </c>
      <c r="P2182">
        <v>1.2707494247962386E-2</v>
      </c>
      <c r="Q2182">
        <v>3.0131439625851173E-3</v>
      </c>
      <c r="R2182">
        <v>6.9811870641242721E-4</v>
      </c>
      <c r="S2182">
        <v>9.008825423056295E-2</v>
      </c>
      <c r="T2182">
        <v>0.81606646359771895</v>
      </c>
      <c r="U2182">
        <v>1.7463206484645721E-2</v>
      </c>
      <c r="V2182">
        <v>1.0416311389792026E-2</v>
      </c>
      <c r="W2182">
        <v>4.2005532384893629E-2</v>
      </c>
      <c r="X2182">
        <v>9.8035968870138976E-3</v>
      </c>
      <c r="Y2182">
        <v>1.9000489840849081E-3</v>
      </c>
    </row>
    <row r="2183" spans="1:25">
      <c r="A2183" s="876"/>
      <c r="B2183" s="1202">
        <v>1933</v>
      </c>
      <c r="C2183" s="880">
        <v>0.97218159081255306</v>
      </c>
      <c r="D2183" s="880">
        <v>0.99197902791347348</v>
      </c>
      <c r="E2183" s="880">
        <v>1.0151555600079882</v>
      </c>
      <c r="F2183" s="880">
        <v>1.0322681571026779</v>
      </c>
      <c r="G2183" s="880">
        <v>0.98714420158606953</v>
      </c>
      <c r="H2183" s="880">
        <v>1.0017911761262981</v>
      </c>
      <c r="I2183" s="880">
        <v>0.97859764380700587</v>
      </c>
      <c r="K2183">
        <v>1.0809190309916099</v>
      </c>
      <c r="L2183">
        <v>0</v>
      </c>
      <c r="M2183">
        <v>6.9169819012078828E-4</v>
      </c>
      <c r="N2183">
        <v>7.22533324549815E-2</v>
      </c>
      <c r="O2183">
        <v>9.077906784920594E-3</v>
      </c>
      <c r="P2183">
        <v>1.2807370119882006E-2</v>
      </c>
      <c r="Q2183">
        <v>3.0966976362920944E-3</v>
      </c>
      <c r="R2183">
        <v>6.8003988818358941E-4</v>
      </c>
      <c r="S2183">
        <v>8.6450752769793027E-2</v>
      </c>
      <c r="T2183">
        <v>0.81461707502632907</v>
      </c>
      <c r="U2183">
        <v>1.739451664767527E-2</v>
      </c>
      <c r="V2183">
        <v>1.0415916513617821E-2</v>
      </c>
      <c r="W2183">
        <v>4.2745847546571188E-2</v>
      </c>
      <c r="X2183">
        <v>1.0220429392936881E-2</v>
      </c>
      <c r="Y2183">
        <v>1.8508444005468387E-3</v>
      </c>
    </row>
    <row r="2184" spans="1:25">
      <c r="A2184" s="876"/>
      <c r="B2184" s="1202">
        <v>1934</v>
      </c>
      <c r="C2184" s="880">
        <v>1.0284790969972177</v>
      </c>
      <c r="D2184" s="880">
        <v>1.0156997279562456</v>
      </c>
      <c r="E2184" s="880">
        <v>1.0203105671130501</v>
      </c>
      <c r="F2184" s="880">
        <v>0.98230523906514045</v>
      </c>
      <c r="G2184" s="880">
        <v>1.018539294794508</v>
      </c>
      <c r="H2184" s="880">
        <v>1.0165255832216964</v>
      </c>
      <c r="I2184" s="880">
        <v>1.0433726614240038</v>
      </c>
      <c r="K2184">
        <v>1.0729914076442828</v>
      </c>
      <c r="L2184">
        <v>0</v>
      </c>
      <c r="M2184">
        <v>6.4807340103993085E-4</v>
      </c>
      <c r="N2184">
        <v>6.8804464293297979E-2</v>
      </c>
      <c r="O2184">
        <v>8.4735766412995794E-3</v>
      </c>
      <c r="P2184">
        <v>1.2839612004030731E-2</v>
      </c>
      <c r="Q2184">
        <v>2.9105401800261594E-3</v>
      </c>
      <c r="R2184">
        <v>6.3729004103665638E-4</v>
      </c>
      <c r="S2184">
        <v>8.6638502531661984E-2</v>
      </c>
      <c r="T2184">
        <v>0.81420399458829695</v>
      </c>
      <c r="U2184">
        <v>1.6442365153871586E-2</v>
      </c>
      <c r="V2184">
        <v>1.0410442895456498E-2</v>
      </c>
      <c r="W2184">
        <v>4.0563890244063427E-2</v>
      </c>
      <c r="X2184">
        <v>9.9803090631848026E-3</v>
      </c>
      <c r="Y2184">
        <v>1.7344934090962113E-3</v>
      </c>
    </row>
    <row r="2185" spans="1:25">
      <c r="A2185" s="876"/>
      <c r="B2185" s="1202">
        <v>1935</v>
      </c>
      <c r="C2185" s="880">
        <v>1.0155816555062374</v>
      </c>
      <c r="D2185" s="880">
        <v>1.0037517698437679</v>
      </c>
      <c r="E2185" s="880">
        <v>1.0008108362085966</v>
      </c>
      <c r="F2185" s="880">
        <v>1.0229545588338809</v>
      </c>
      <c r="G2185" s="880">
        <v>1.0157835001027256</v>
      </c>
      <c r="H2185" s="880">
        <v>1.0195236025728069</v>
      </c>
      <c r="I2185" s="880">
        <v>1.0048649943937455</v>
      </c>
      <c r="K2185">
        <v>1.0738467325110457</v>
      </c>
      <c r="L2185">
        <v>0</v>
      </c>
      <c r="M2185">
        <v>6.9020565085412336E-4</v>
      </c>
      <c r="N2185">
        <v>6.8971970115895134E-2</v>
      </c>
      <c r="O2185">
        <v>8.6354570739514691E-3</v>
      </c>
      <c r="P2185">
        <v>1.2659030752852381E-2</v>
      </c>
      <c r="Q2185">
        <v>2.9063433840473022E-3</v>
      </c>
      <c r="R2185">
        <v>6.7876492246310188E-4</v>
      </c>
      <c r="S2185">
        <v>8.5105673326958856E-2</v>
      </c>
      <c r="T2185">
        <v>0.81577130695849875</v>
      </c>
      <c r="U2185">
        <v>1.6651175978088101E-2</v>
      </c>
      <c r="V2185">
        <v>1.0411643282923369E-2</v>
      </c>
      <c r="W2185">
        <v>4.1204793762884717E-2</v>
      </c>
      <c r="X2185">
        <v>9.6934042391868917E-3</v>
      </c>
      <c r="Y2185">
        <v>1.8473743641480086E-3</v>
      </c>
    </row>
    <row r="2186" spans="1:25">
      <c r="A2186" s="876"/>
      <c r="B2186" s="1202">
        <v>1936</v>
      </c>
      <c r="C2186" s="880">
        <v>0.99231564693390828</v>
      </c>
      <c r="D2186" s="880">
        <v>1.0338350213429799</v>
      </c>
      <c r="E2186" s="880">
        <v>1.0012523711966752</v>
      </c>
      <c r="F2186" s="880">
        <v>0.97691784436056495</v>
      </c>
      <c r="G2186" s="880">
        <v>0.99706752108480967</v>
      </c>
      <c r="H2186" s="880">
        <v>0.98346796335271225</v>
      </c>
      <c r="I2186" s="880">
        <v>1.0010492970458629</v>
      </c>
      <c r="K2186">
        <v>1.0701768695350422</v>
      </c>
      <c r="L2186">
        <v>0</v>
      </c>
      <c r="M2186">
        <v>6.7018016086958744E-4</v>
      </c>
      <c r="N2186">
        <v>6.7018918446802814E-2</v>
      </c>
      <c r="O2186">
        <v>8.7000804275641982E-3</v>
      </c>
      <c r="P2186">
        <v>1.2656084069584034E-2</v>
      </c>
      <c r="Q2186">
        <v>2.9358087321482472E-3</v>
      </c>
      <c r="R2186">
        <v>6.5863930601400313E-4</v>
      </c>
      <c r="S2186">
        <v>8.4227572192155889E-2</v>
      </c>
      <c r="T2186">
        <v>0.81573567494862897</v>
      </c>
      <c r="U2186">
        <v>1.7041582401933743E-2</v>
      </c>
      <c r="V2186">
        <v>1.0413887606127985E-2</v>
      </c>
      <c r="W2186">
        <v>4.0025928507345328E-2</v>
      </c>
      <c r="X2186">
        <v>9.6402739870245519E-3</v>
      </c>
      <c r="Y2186">
        <v>1.7925990705812418E-3</v>
      </c>
    </row>
    <row r="2187" spans="1:25">
      <c r="A2187" s="876"/>
      <c r="B2187" s="1202">
        <v>1937</v>
      </c>
      <c r="C2187" s="880">
        <v>1.0320469363881384</v>
      </c>
      <c r="D2187" s="880">
        <v>0.96832164703871759</v>
      </c>
      <c r="E2187" s="880">
        <v>0.98832170373295225</v>
      </c>
      <c r="F2187" s="880">
        <v>0.97453207229705019</v>
      </c>
      <c r="G2187" s="880">
        <v>1.0000871115548895</v>
      </c>
      <c r="H2187" s="880">
        <v>0.98328883742502116</v>
      </c>
      <c r="I2187" s="880">
        <v>0.99703516994879737</v>
      </c>
      <c r="K2187">
        <v>1.0676708178549081</v>
      </c>
      <c r="L2187">
        <v>0</v>
      </c>
      <c r="M2187">
        <v>6.8549553383825241E-4</v>
      </c>
      <c r="N2187">
        <v>6.5851809035123485E-2</v>
      </c>
      <c r="O2187">
        <v>8.6623270925478158E-3</v>
      </c>
      <c r="P2187">
        <v>1.252690074785903E-2</v>
      </c>
      <c r="Q2187">
        <v>2.8711428985272319E-3</v>
      </c>
      <c r="R2187">
        <v>6.7374539763289862E-4</v>
      </c>
      <c r="S2187">
        <v>8.3326185368047881E-2</v>
      </c>
      <c r="T2187">
        <v>0.81678192560453999</v>
      </c>
      <c r="U2187">
        <v>1.6385523051049036E-2</v>
      </c>
      <c r="V2187">
        <v>1.0410116128163305E-2</v>
      </c>
      <c r="W2187">
        <v>3.9679688578008E-2</v>
      </c>
      <c r="X2187">
        <v>9.3532366150005947E-3</v>
      </c>
      <c r="Y2187">
        <v>1.8337128722461108E-3</v>
      </c>
    </row>
    <row r="2188" spans="1:25">
      <c r="A2188" s="876"/>
      <c r="B2188" s="1202">
        <v>1938</v>
      </c>
      <c r="C2188" s="880">
        <v>1.0367648660671189</v>
      </c>
      <c r="D2188" s="880">
        <v>0.99541461481058868</v>
      </c>
      <c r="E2188" s="880">
        <v>0.9819414387039177</v>
      </c>
      <c r="F2188" s="880">
        <v>0.98543575529364735</v>
      </c>
      <c r="G2188" s="880">
        <v>0.99742388450484387</v>
      </c>
      <c r="H2188" s="880">
        <v>0.98685705935109802</v>
      </c>
      <c r="I2188" s="880">
        <v>1.0043904231194503</v>
      </c>
      <c r="K2188">
        <v>1.0646830334321558</v>
      </c>
      <c r="L2188">
        <v>0</v>
      </c>
      <c r="M2188">
        <v>6.8396181957581939E-4</v>
      </c>
      <c r="N2188">
        <v>6.4413480967210779E-2</v>
      </c>
      <c r="O2188">
        <v>8.4967266087223586E-3</v>
      </c>
      <c r="P2188">
        <v>1.2461929619130591E-2</v>
      </c>
      <c r="Q2188">
        <v>2.8039212174821859E-3</v>
      </c>
      <c r="R2188">
        <v>6.7225647976862791E-4</v>
      </c>
      <c r="S2188">
        <v>8.2540275880007119E-2</v>
      </c>
      <c r="T2188">
        <v>0.81730025694501995</v>
      </c>
      <c r="U2188">
        <v>1.6310958655554601E-2</v>
      </c>
      <c r="V2188">
        <v>1.0409687481007865E-2</v>
      </c>
      <c r="W2188">
        <v>3.8984603068792791E-2</v>
      </c>
      <c r="X2188">
        <v>9.1432378003932745E-3</v>
      </c>
      <c r="Y2188">
        <v>1.8296605286412084E-3</v>
      </c>
    </row>
    <row r="2189" spans="1:25">
      <c r="A2189" s="876"/>
      <c r="B2189" s="1202">
        <v>1939</v>
      </c>
      <c r="C2189" s="880">
        <v>0.98026972073087615</v>
      </c>
      <c r="D2189" s="880">
        <v>1.0034155721729743</v>
      </c>
      <c r="E2189" s="880">
        <v>1.0089147684032183</v>
      </c>
      <c r="F2189" s="880">
        <v>1.0255897601599506</v>
      </c>
      <c r="G2189" s="880">
        <v>0.98956023526158376</v>
      </c>
      <c r="H2189" s="880">
        <v>0.99761696419849721</v>
      </c>
      <c r="I2189" s="880">
        <v>1.0143193159407662</v>
      </c>
      <c r="K2189">
        <v>1.0799375990597007</v>
      </c>
      <c r="L2189">
        <v>0</v>
      </c>
      <c r="M2189">
        <v>6.8797762980085545E-4</v>
      </c>
      <c r="N2189">
        <v>7.0477978830612659E-2</v>
      </c>
      <c r="O2189">
        <v>8.9481271459422012E-3</v>
      </c>
      <c r="P2189">
        <v>1.2777475536942156E-2</v>
      </c>
      <c r="Q2189">
        <v>3.0360653489386693E-3</v>
      </c>
      <c r="R2189">
        <v>6.7632370331560557E-4</v>
      </c>
      <c r="S2189">
        <v>8.8206834401145157E-2</v>
      </c>
      <c r="T2189">
        <v>0.81511837275949295</v>
      </c>
      <c r="U2189">
        <v>1.7250995831375893E-2</v>
      </c>
      <c r="V2189">
        <v>1.0415091457781902E-2</v>
      </c>
      <c r="W2189">
        <v>4.1872464794632122E-2</v>
      </c>
      <c r="X2189">
        <v>1.0005116708946774E-2</v>
      </c>
      <c r="Y2189">
        <v>1.8407301703761998E-3</v>
      </c>
    </row>
    <row r="2190" spans="1:25">
      <c r="A2190" s="876"/>
      <c r="B2190" s="1202">
        <v>1940</v>
      </c>
      <c r="C2190" s="880">
        <v>1.0357289438673896</v>
      </c>
      <c r="D2190" s="880">
        <v>1.0145728058517354</v>
      </c>
      <c r="E2190" s="880">
        <v>1.0142903502867868</v>
      </c>
      <c r="F2190" s="880">
        <v>0.98559731249694782</v>
      </c>
      <c r="G2190" s="880">
        <v>0.97664407725779745</v>
      </c>
      <c r="H2190" s="880">
        <v>1.0283205969517755</v>
      </c>
      <c r="I2190" s="880">
        <v>0.96484595298069498</v>
      </c>
      <c r="K2190">
        <v>1.0664442385220545</v>
      </c>
      <c r="L2190">
        <v>0</v>
      </c>
      <c r="M2190">
        <v>6.5972133859540263E-4</v>
      </c>
      <c r="N2190">
        <v>6.8756551406458533E-2</v>
      </c>
      <c r="O2190">
        <v>8.4192392074971759E-3</v>
      </c>
      <c r="P2190">
        <v>1.2696255118676636E-2</v>
      </c>
      <c r="Q2190">
        <v>2.8743576497755104E-3</v>
      </c>
      <c r="R2190">
        <v>6.4887095614679993E-4</v>
      </c>
      <c r="S2190">
        <v>7.9990876976941405E-2</v>
      </c>
      <c r="T2190">
        <v>0.81468649465636533</v>
      </c>
      <c r="U2190">
        <v>1.6327272657659278E-2</v>
      </c>
      <c r="V2190">
        <v>1.0409781265052495E-2</v>
      </c>
      <c r="W2190">
        <v>4.0700956847299886E-2</v>
      </c>
      <c r="X2190">
        <v>9.8272902763987605E-3</v>
      </c>
      <c r="Y2190">
        <v>1.7660128423783829E-3</v>
      </c>
    </row>
    <row r="2191" spans="1:25">
      <c r="A2191" s="876"/>
      <c r="B2191" s="1202">
        <v>1941</v>
      </c>
      <c r="C2191" s="880">
        <v>0.96174532772741927</v>
      </c>
      <c r="D2191" s="880">
        <v>1.0068956819647947</v>
      </c>
      <c r="E2191" s="880">
        <v>0.99246527389539674</v>
      </c>
      <c r="F2191" s="880">
        <v>1.028510151492414</v>
      </c>
      <c r="G2191" s="880">
        <v>1.0233410054029544</v>
      </c>
      <c r="H2191" s="880">
        <v>1.0062580546408038</v>
      </c>
      <c r="I2191" s="880">
        <v>0.98608288772977271</v>
      </c>
      <c r="K2191">
        <v>1.0824200230791403</v>
      </c>
      <c r="L2191">
        <v>0</v>
      </c>
      <c r="M2191">
        <v>7.3088996344987021E-4</v>
      </c>
      <c r="N2191">
        <v>7.1149047129494991E-2</v>
      </c>
      <c r="O2191">
        <v>9.1036635566558513E-3</v>
      </c>
      <c r="P2191">
        <v>1.2635427255114648E-2</v>
      </c>
      <c r="Q2191">
        <v>3.0389881467556609E-3</v>
      </c>
      <c r="R2191">
        <v>7.1861233248423089E-4</v>
      </c>
      <c r="S2191">
        <v>8.7568135965430505E-2</v>
      </c>
      <c r="T2191">
        <v>0.81644604179772962</v>
      </c>
      <c r="U2191">
        <v>1.7583271140928534E-2</v>
      </c>
      <c r="V2191">
        <v>1.0417001603573593E-2</v>
      </c>
      <c r="W2191">
        <v>4.2749399867390757E-2</v>
      </c>
      <c r="X2191">
        <v>9.7854983685007127E-3</v>
      </c>
      <c r="Y2191">
        <v>1.9558258785303392E-3</v>
      </c>
    </row>
    <row r="2192" spans="1:25">
      <c r="A2192" s="876"/>
      <c r="B2192" s="1202">
        <v>1942</v>
      </c>
      <c r="C2192" s="880">
        <v>0.99530026684190631</v>
      </c>
      <c r="D2192" s="880">
        <v>0.99718250059538383</v>
      </c>
      <c r="E2192" s="880">
        <v>0.99433824641827528</v>
      </c>
      <c r="F2192" s="880">
        <v>1.0184701453773506</v>
      </c>
      <c r="G2192" s="880">
        <v>0.99853136802564013</v>
      </c>
      <c r="H2192" s="880">
        <v>0.96525915415748442</v>
      </c>
      <c r="I2192" s="880">
        <v>0.98157028580599515</v>
      </c>
      <c r="K2192">
        <v>1.0687944653181063</v>
      </c>
      <c r="L2192">
        <v>0</v>
      </c>
      <c r="M2192">
        <v>6.7829792919475544E-4</v>
      </c>
      <c r="N2192">
        <v>6.6368146821449425E-2</v>
      </c>
      <c r="O2192">
        <v>8.8423295173282283E-3</v>
      </c>
      <c r="P2192">
        <v>1.2583537567180393E-2</v>
      </c>
      <c r="Q2192">
        <v>2.9551938352408613E-3</v>
      </c>
      <c r="R2192">
        <v>6.664282314820584E-4</v>
      </c>
      <c r="S2192">
        <v>8.318851458683249E-2</v>
      </c>
      <c r="T2192">
        <v>0.81629440705305567</v>
      </c>
      <c r="U2192">
        <v>1.6990479586235747E-2</v>
      </c>
      <c r="V2192">
        <v>1.0413593832183482E-2</v>
      </c>
      <c r="W2192">
        <v>3.9825521947761185E-2</v>
      </c>
      <c r="X2192">
        <v>9.5308123104632068E-3</v>
      </c>
      <c r="Y2192">
        <v>1.8137979580866972E-3</v>
      </c>
    </row>
    <row r="2193" spans="1:25">
      <c r="A2193" s="876"/>
      <c r="B2193" s="1202">
        <v>1943</v>
      </c>
      <c r="C2193" s="880">
        <v>0.97236847938978643</v>
      </c>
      <c r="D2193" s="880">
        <v>1.0241069426707115</v>
      </c>
      <c r="E2193" s="880">
        <v>1.0030062997848808</v>
      </c>
      <c r="F2193" s="880">
        <v>1.0284568446546334</v>
      </c>
      <c r="G2193" s="880">
        <v>0.98527003251394074</v>
      </c>
      <c r="H2193" s="880">
        <v>0.98563959245822097</v>
      </c>
      <c r="I2193" s="880">
        <v>1.0136232053163259</v>
      </c>
      <c r="K2193">
        <v>1.0774238706762858</v>
      </c>
      <c r="L2193">
        <v>0</v>
      </c>
      <c r="M2193">
        <v>6.8634470383129606E-4</v>
      </c>
      <c r="N2193">
        <v>6.9014370525583763E-2</v>
      </c>
      <c r="O2193">
        <v>8.923307377812344E-3</v>
      </c>
      <c r="P2193">
        <v>1.2720611675798054E-2</v>
      </c>
      <c r="Q2193">
        <v>3.0143397812096564E-3</v>
      </c>
      <c r="R2193">
        <v>6.745596112170836E-4</v>
      </c>
      <c r="S2193">
        <v>8.7524307873120322E-2</v>
      </c>
      <c r="T2193">
        <v>0.81559419780847509</v>
      </c>
      <c r="U2193">
        <v>1.739117343310503E-2</v>
      </c>
      <c r="V2193">
        <v>1.0415897294533351E-2</v>
      </c>
      <c r="W2193">
        <v>4.1168316207484547E-2</v>
      </c>
      <c r="X2193">
        <v>9.8332048985596363E-3</v>
      </c>
      <c r="Y2193">
        <v>1.835928893216827E-3</v>
      </c>
    </row>
    <row r="2194" spans="1:25">
      <c r="A2194" s="876"/>
      <c r="B2194" s="1202">
        <v>1944</v>
      </c>
      <c r="C2194" s="880">
        <v>0.96696794566132338</v>
      </c>
      <c r="D2194" s="880">
        <v>1.0108734405070425</v>
      </c>
      <c r="E2194" s="880">
        <v>1.0002873235360263</v>
      </c>
      <c r="F2194" s="880">
        <v>0.96376421849888938</v>
      </c>
      <c r="G2194" s="880">
        <v>1.0257103130408962</v>
      </c>
      <c r="H2194" s="880">
        <v>0.98887294560178252</v>
      </c>
      <c r="I2194" s="880">
        <v>0.97112916143728634</v>
      </c>
      <c r="K2194">
        <v>1.0768644341809588</v>
      </c>
      <c r="L2194">
        <v>0</v>
      </c>
      <c r="M2194">
        <v>7.0124690374712172E-4</v>
      </c>
      <c r="N2194">
        <v>6.9924103802759416E-2</v>
      </c>
      <c r="O2194">
        <v>9.0354930862883796E-3</v>
      </c>
      <c r="P2194">
        <v>1.2664514622949137E-2</v>
      </c>
      <c r="Q2194">
        <v>3.0409802472974728E-3</v>
      </c>
      <c r="R2194">
        <v>6.8925666974188919E-4</v>
      </c>
      <c r="S2194">
        <v>8.4985562361222872E-2</v>
      </c>
      <c r="T2194">
        <v>0.81581356317696263</v>
      </c>
      <c r="U2194">
        <v>1.7488303456002323E-2</v>
      </c>
      <c r="V2194">
        <v>1.0416455664352434E-2</v>
      </c>
      <c r="W2194">
        <v>4.1788572005877177E-2</v>
      </c>
      <c r="X2194">
        <v>9.8429465496139099E-3</v>
      </c>
      <c r="Y2194">
        <v>1.8759294416373072E-3</v>
      </c>
    </row>
    <row r="2195" spans="1:25">
      <c r="A2195" s="876"/>
      <c r="B2195" s="1202">
        <v>1945</v>
      </c>
      <c r="C2195" s="880">
        <v>1.0124443465049515</v>
      </c>
      <c r="D2195" s="880">
        <v>0.98300633000857196</v>
      </c>
      <c r="E2195" s="880">
        <v>1.0115702577856507</v>
      </c>
      <c r="F2195" s="880">
        <v>1.0077511655328528</v>
      </c>
      <c r="G2195" s="880">
        <v>1.0149264719901399</v>
      </c>
      <c r="H2195" s="880">
        <v>1.0084612168835194</v>
      </c>
      <c r="I2195" s="880">
        <v>1.016973881030574</v>
      </c>
      <c r="K2195">
        <v>1.0766096623994696</v>
      </c>
      <c r="L2195">
        <v>0</v>
      </c>
      <c r="M2195">
        <v>6.7695934396207506E-4</v>
      </c>
      <c r="N2195">
        <v>6.9938865265245384E-2</v>
      </c>
      <c r="O2195">
        <v>8.7592889013134324E-3</v>
      </c>
      <c r="P2195">
        <v>1.2774119908046919E-2</v>
      </c>
      <c r="Q2195">
        <v>2.9753081657230046E-3</v>
      </c>
      <c r="R2195">
        <v>6.6563252655310883E-4</v>
      </c>
      <c r="S2195">
        <v>8.6901850432219499E-2</v>
      </c>
      <c r="T2195">
        <v>0.81490490587290965</v>
      </c>
      <c r="U2195">
        <v>1.6702773761668368E-2</v>
      </c>
      <c r="V2195">
        <v>1.0411939902281857E-2</v>
      </c>
      <c r="W2195">
        <v>4.1477270749886178E-2</v>
      </c>
      <c r="X2195">
        <v>9.9630339460095533E-3</v>
      </c>
      <c r="Y2195">
        <v>1.8116323115741563E-3</v>
      </c>
    </row>
    <row r="2196" spans="1:25">
      <c r="A2196" s="876"/>
      <c r="B2196" s="1202">
        <v>1946</v>
      </c>
      <c r="C2196" s="880">
        <v>0.97952589725540484</v>
      </c>
      <c r="D2196" s="880">
        <v>0.97685083138298057</v>
      </c>
      <c r="E2196" s="880">
        <v>1.0135650994226015</v>
      </c>
      <c r="F2196" s="880">
        <v>0.97796603389973102</v>
      </c>
      <c r="G2196" s="880">
        <v>0.98922409932640853</v>
      </c>
      <c r="H2196" s="880">
        <v>1.0003034679446379</v>
      </c>
      <c r="I2196" s="880">
        <v>1.0159147851585404</v>
      </c>
      <c r="K2196">
        <v>1.0839514889050661</v>
      </c>
      <c r="L2196">
        <v>0</v>
      </c>
      <c r="M2196">
        <v>6.9345222673724693E-4</v>
      </c>
      <c r="N2196">
        <v>7.2078963858189862E-2</v>
      </c>
      <c r="O2196">
        <v>9.0840955802545323E-3</v>
      </c>
      <c r="P2196">
        <v>1.2837163332472559E-2</v>
      </c>
      <c r="Q2196">
        <v>3.0903242905879098E-3</v>
      </c>
      <c r="R2196">
        <v>6.8176026997272094E-4</v>
      </c>
      <c r="S2196">
        <v>8.9704383898746715E-2</v>
      </c>
      <c r="T2196">
        <v>0.81474470440929891</v>
      </c>
      <c r="U2196">
        <v>1.7264095735840475E-2</v>
      </c>
      <c r="V2196">
        <v>1.0415166764994521E-2</v>
      </c>
      <c r="W2196">
        <v>4.2688658156963273E-2</v>
      </c>
      <c r="X2196">
        <v>1.0200098121829568E-2</v>
      </c>
      <c r="Y2196">
        <v>1.8555267126531506E-3</v>
      </c>
    </row>
    <row r="2197" spans="1:25">
      <c r="A2197" s="876"/>
      <c r="B2197" s="1202">
        <v>1947</v>
      </c>
      <c r="C2197" s="880">
        <v>0.97315862144406573</v>
      </c>
      <c r="D2197" s="880">
        <v>0.95669861709493798</v>
      </c>
      <c r="E2197" s="880">
        <v>0.96475243595991733</v>
      </c>
      <c r="F2197" s="880">
        <v>1.0217231686393531</v>
      </c>
      <c r="G2197" s="880">
        <v>0.99638581006878935</v>
      </c>
      <c r="H2197" s="880">
        <v>0.99969315264381353</v>
      </c>
      <c r="I2197" s="880">
        <v>1.0016527596881777</v>
      </c>
      <c r="K2197">
        <v>1.0849950788974752</v>
      </c>
      <c r="L2197">
        <v>0</v>
      </c>
      <c r="M2197">
        <v>7.8159731585528711E-4</v>
      </c>
      <c r="N2197">
        <v>6.9787288583597756E-2</v>
      </c>
      <c r="O2197">
        <v>9.2460737342375376E-3</v>
      </c>
      <c r="P2197">
        <v>1.2430229616688307E-2</v>
      </c>
      <c r="Q2197">
        <v>2.9892023632479233E-3</v>
      </c>
      <c r="R2197">
        <v>7.6843160831068121E-4</v>
      </c>
      <c r="S2197">
        <v>8.9933547136349601E-2</v>
      </c>
      <c r="T2197">
        <v>0.818703538409709</v>
      </c>
      <c r="U2197">
        <v>1.7377052921607739E-2</v>
      </c>
      <c r="V2197">
        <v>1.0415816120173288E-2</v>
      </c>
      <c r="W2197">
        <v>4.2746143966225995E-2</v>
      </c>
      <c r="X2197">
        <v>9.2879342287726929E-3</v>
      </c>
      <c r="Y2197">
        <v>2.0914175244100739E-3</v>
      </c>
    </row>
    <row r="2198" spans="1:25">
      <c r="A2198" s="876"/>
      <c r="B2198" s="1202">
        <v>1948</v>
      </c>
      <c r="C2198" s="880">
        <v>0.95952469690827247</v>
      </c>
      <c r="D2198" s="880">
        <v>1.0093530365494812</v>
      </c>
      <c r="E2198" s="880">
        <v>1.0075575206382679</v>
      </c>
      <c r="F2198" s="880">
        <v>1.0132073239786574</v>
      </c>
      <c r="G2198" s="880">
        <v>1.0269590611694843</v>
      </c>
      <c r="H2198" s="880">
        <v>0.99451280453345881</v>
      </c>
      <c r="I2198" s="880">
        <v>0.99959898677355341</v>
      </c>
      <c r="K2198">
        <v>1.0825527046048578</v>
      </c>
      <c r="L2198">
        <v>0</v>
      </c>
      <c r="M2198">
        <v>7.0047218073428913E-4</v>
      </c>
      <c r="N2198">
        <v>7.1451393271112398E-2</v>
      </c>
      <c r="O2198">
        <v>9.1128880890435169E-3</v>
      </c>
      <c r="P2198">
        <v>1.2774342982353845E-2</v>
      </c>
      <c r="Q2198">
        <v>3.0891290351761184E-3</v>
      </c>
      <c r="R2198">
        <v>6.8856442492851925E-4</v>
      </c>
      <c r="S2198">
        <v>8.8430651830567905E-2</v>
      </c>
      <c r="T2198">
        <v>0.81522757054797967</v>
      </c>
      <c r="U2198">
        <v>1.7623964156879852E-2</v>
      </c>
      <c r="V2198">
        <v>1.0417235534867727E-2</v>
      </c>
      <c r="W2198">
        <v>4.2490006681621902E-2</v>
      </c>
      <c r="X2198">
        <v>1.00733848516054E-2</v>
      </c>
      <c r="Y2198">
        <v>1.8740453794537559E-3</v>
      </c>
    </row>
    <row r="2199" spans="1:25">
      <c r="A2199" s="876"/>
      <c r="B2199" s="1202">
        <v>1949</v>
      </c>
      <c r="C2199" s="880">
        <v>0.99158690256417359</v>
      </c>
      <c r="D2199" s="880">
        <v>0.97740354487878489</v>
      </c>
      <c r="E2199" s="880">
        <v>1.0125714931164993</v>
      </c>
      <c r="F2199" s="880">
        <v>0.99877073422077089</v>
      </c>
      <c r="G2199" s="880">
        <v>0.95380392864782304</v>
      </c>
      <c r="H2199" s="880">
        <v>0.97152465436823143</v>
      </c>
      <c r="I2199" s="880">
        <v>0.9802922428030475</v>
      </c>
      <c r="K2199">
        <v>1.0732213356548761</v>
      </c>
      <c r="L2199">
        <v>0</v>
      </c>
      <c r="M2199">
        <v>6.6650487348957998E-4</v>
      </c>
      <c r="N2199">
        <v>6.9029243016492547E-2</v>
      </c>
      <c r="O2199">
        <v>8.9708902602433152E-3</v>
      </c>
      <c r="P2199">
        <v>1.275358871352965E-2</v>
      </c>
      <c r="Q2199">
        <v>3.0489184255805533E-3</v>
      </c>
      <c r="R2199">
        <v>6.549338932646644E-4</v>
      </c>
      <c r="S2199">
        <v>8.4452245029696407E-2</v>
      </c>
      <c r="T2199">
        <v>0.81482448186723011</v>
      </c>
      <c r="U2199">
        <v>1.7054106727532069E-2</v>
      </c>
      <c r="V2199">
        <v>1.0413959604519501E-2</v>
      </c>
      <c r="W2199">
        <v>4.0910017435306763E-2</v>
      </c>
      <c r="X2199">
        <v>9.9929413964035783E-3</v>
      </c>
      <c r="Y2199">
        <v>1.7825141585665254E-3</v>
      </c>
    </row>
    <row r="2200" spans="1:25">
      <c r="A2200" s="876"/>
      <c r="B2200" s="1202">
        <v>1950</v>
      </c>
      <c r="C2200" s="880">
        <v>0.98364061543264103</v>
      </c>
      <c r="D2200" s="880">
        <v>1.0261910825076186</v>
      </c>
      <c r="E2200" s="880">
        <v>1.0175305865571516</v>
      </c>
      <c r="F2200" s="880">
        <v>0.99452385594831427</v>
      </c>
      <c r="G2200" s="880">
        <v>0.96910645549397723</v>
      </c>
      <c r="H2200" s="880">
        <v>1.0058866769086379</v>
      </c>
      <c r="I2200" s="880">
        <v>0.99087832733756021</v>
      </c>
      <c r="K2200">
        <v>1.0760649928549102</v>
      </c>
      <c r="L2200">
        <v>0</v>
      </c>
      <c r="M2200">
        <v>6.708018075582212E-4</v>
      </c>
      <c r="N2200">
        <v>7.0591510847292996E-2</v>
      </c>
      <c r="O2200">
        <v>8.8115142656636034E-3</v>
      </c>
      <c r="P2200">
        <v>1.2807227573902707E-2</v>
      </c>
      <c r="Q2200">
        <v>3.0205551607148232E-3</v>
      </c>
      <c r="R2200">
        <v>6.5951377748082757E-4</v>
      </c>
      <c r="S2200">
        <v>8.5213810327121609E-2</v>
      </c>
      <c r="T2200">
        <v>0.81442664716202573</v>
      </c>
      <c r="U2200">
        <v>1.7191877399770124E-2</v>
      </c>
      <c r="V2200">
        <v>1.0414751604593635E-2</v>
      </c>
      <c r="W2200">
        <v>4.1695650081283675E-2</v>
      </c>
      <c r="X2200">
        <v>1.0107757368973562E-2</v>
      </c>
      <c r="Y2200">
        <v>1.7949790936444957E-3</v>
      </c>
    </row>
    <row r="2201" spans="1:25">
      <c r="A2201" s="876"/>
      <c r="B2201" s="1202">
        <v>1951</v>
      </c>
      <c r="C2201" s="880">
        <v>1.0406434816274408</v>
      </c>
      <c r="D2201" s="880">
        <v>1.0255591775568249</v>
      </c>
      <c r="E2201" s="880">
        <v>1.0051919334663981</v>
      </c>
      <c r="F2201" s="880">
        <v>1.006722409073743</v>
      </c>
      <c r="G2201" s="880">
        <v>1.003943558739854</v>
      </c>
      <c r="H2201" s="880">
        <v>0.96741387579009408</v>
      </c>
      <c r="I2201" s="880">
        <v>1.015327830928646</v>
      </c>
      <c r="K2201">
        <v>1.0593002802006986</v>
      </c>
      <c r="L2201">
        <v>0</v>
      </c>
      <c r="M2201">
        <v>6.2609247431465913E-4</v>
      </c>
      <c r="N2201">
        <v>6.3364229799925689E-2</v>
      </c>
      <c r="O2201">
        <v>8.3315794810631047E-3</v>
      </c>
      <c r="P2201">
        <v>1.2637008716152543E-2</v>
      </c>
      <c r="Q2201">
        <v>2.820922386080759E-3</v>
      </c>
      <c r="R2201">
        <v>6.1513829780037159E-4</v>
      </c>
      <c r="S2201">
        <v>8.123456635960663E-2</v>
      </c>
      <c r="T2201">
        <v>0.81541804440596022</v>
      </c>
      <c r="U2201">
        <v>1.6250165560549302E-2</v>
      </c>
      <c r="V2201">
        <v>1.0409338000708698E-2</v>
      </c>
      <c r="W2201">
        <v>3.7741582101613574E-2</v>
      </c>
      <c r="X2201">
        <v>9.4295938992255118E-3</v>
      </c>
      <c r="Y2201">
        <v>1.6742036663272403E-3</v>
      </c>
    </row>
    <row r="2202" spans="1:25">
      <c r="A2202" s="876"/>
      <c r="B2202" s="1202">
        <v>1952</v>
      </c>
      <c r="C2202" s="880">
        <v>0.97757198932463629</v>
      </c>
      <c r="D2202" s="880">
        <v>0.99785428658085307</v>
      </c>
      <c r="E2202" s="880">
        <v>0.97809381479598501</v>
      </c>
      <c r="F2202" s="880">
        <v>1.0116913399466765</v>
      </c>
      <c r="G2202" s="880">
        <v>1.0106190269517592</v>
      </c>
      <c r="H2202" s="880">
        <v>0.97497286005920236</v>
      </c>
      <c r="I2202" s="880">
        <v>0.99097721017364226</v>
      </c>
      <c r="K2202">
        <v>1.0747251952445105</v>
      </c>
      <c r="L2202">
        <v>0</v>
      </c>
      <c r="M2202">
        <v>7.2151254149347495E-4</v>
      </c>
      <c r="N2202">
        <v>6.7125704029526959E-2</v>
      </c>
      <c r="O2202">
        <v>8.9994519044093845E-3</v>
      </c>
      <c r="P2202">
        <v>1.248725531874036E-2</v>
      </c>
      <c r="Q2202">
        <v>2.9587710207763769E-3</v>
      </c>
      <c r="R2202">
        <v>7.0901179482865109E-4</v>
      </c>
      <c r="S2202">
        <v>8.5832649905033614E-2</v>
      </c>
      <c r="T2202">
        <v>0.81761350322085091</v>
      </c>
      <c r="U2202">
        <v>1.729860209848608E-2</v>
      </c>
      <c r="V2202">
        <v>1.0415365131173115E-2</v>
      </c>
      <c r="W2202">
        <v>4.0734714705635826E-2</v>
      </c>
      <c r="X2202">
        <v>9.3419822766940205E-3</v>
      </c>
      <c r="Y2202">
        <v>1.9296963798482382E-3</v>
      </c>
    </row>
    <row r="2203" spans="1:25">
      <c r="A2203" s="876"/>
      <c r="B2203" s="1202">
        <v>1953</v>
      </c>
      <c r="C2203" s="880">
        <v>0.96080233871355225</v>
      </c>
      <c r="D2203" s="880">
        <v>0.98449281921679999</v>
      </c>
      <c r="E2203" s="880">
        <v>1.0018685489028332</v>
      </c>
      <c r="F2203" s="880">
        <v>1.0124020523458612</v>
      </c>
      <c r="G2203" s="880">
        <v>1.0184108859702727</v>
      </c>
      <c r="H2203" s="880">
        <v>1.00447018664405</v>
      </c>
      <c r="I2203" s="880">
        <v>1.0069714631988669</v>
      </c>
      <c r="K2203">
        <v>1.0872161457298006</v>
      </c>
      <c r="L2203">
        <v>0</v>
      </c>
      <c r="M2203">
        <v>7.2461978796586272E-4</v>
      </c>
      <c r="N2203">
        <v>7.2633029704999783E-2</v>
      </c>
      <c r="O2203">
        <v>9.222644330076071E-3</v>
      </c>
      <c r="P2203">
        <v>1.2753986456155064E-2</v>
      </c>
      <c r="Q2203">
        <v>3.1027615839821139E-3</v>
      </c>
      <c r="R2203">
        <v>7.1244598742675194E-4</v>
      </c>
      <c r="S2203">
        <v>9.0452895889397533E-2</v>
      </c>
      <c r="T2203">
        <v>0.81568596029233653</v>
      </c>
      <c r="U2203">
        <v>1.7600528417316862E-2</v>
      </c>
      <c r="V2203">
        <v>1.0417100810204114E-2</v>
      </c>
      <c r="W2203">
        <v>4.3360597212612706E-2</v>
      </c>
      <c r="X2203">
        <v>1.0059771713239411E-2</v>
      </c>
      <c r="Y2203">
        <v>1.9390431200189831E-3</v>
      </c>
    </row>
    <row r="2204" spans="1:25">
      <c r="A2204" s="876"/>
      <c r="B2204" s="1202">
        <v>1954</v>
      </c>
      <c r="C2204" s="880">
        <v>0.97988220922424096</v>
      </c>
      <c r="D2204" s="880">
        <v>1.0215540881822167</v>
      </c>
      <c r="E2204" s="880">
        <v>1.029053356497432</v>
      </c>
      <c r="F2204" s="880">
        <v>1.0024875607219772</v>
      </c>
      <c r="G2204" s="880">
        <v>1.0124831165006514</v>
      </c>
      <c r="H2204" s="880">
        <v>1.024576495604314</v>
      </c>
      <c r="I2204" s="880">
        <v>1.0086622229009004</v>
      </c>
      <c r="K2204">
        <v>1.0823696286193343</v>
      </c>
      <c r="L2204">
        <v>0</v>
      </c>
      <c r="M2204">
        <v>6.7099630573706575E-4</v>
      </c>
      <c r="N2204">
        <v>7.3207975660651056E-2</v>
      </c>
      <c r="O2204">
        <v>8.8666516008585345E-3</v>
      </c>
      <c r="P2204">
        <v>1.2941909234740962E-2</v>
      </c>
      <c r="Q2204">
        <v>3.0733812248191035E-3</v>
      </c>
      <c r="R2204">
        <v>6.5991462132301176E-4</v>
      </c>
      <c r="S2204">
        <v>8.795217985763161E-2</v>
      </c>
      <c r="T2204">
        <v>0.81350549006941308</v>
      </c>
      <c r="U2204">
        <v>1.7257818038496957E-2</v>
      </c>
      <c r="V2204">
        <v>1.0415130676495566E-2</v>
      </c>
      <c r="W2204">
        <v>4.2906944453280242E-2</v>
      </c>
      <c r="X2204">
        <v>1.0457159428917139E-2</v>
      </c>
      <c r="Y2204">
        <v>1.7960700584447836E-3</v>
      </c>
    </row>
    <row r="2205" spans="1:25">
      <c r="A2205" s="876"/>
      <c r="B2205" s="1202">
        <v>1955</v>
      </c>
      <c r="C2205" s="880">
        <v>1.0071262695191681</v>
      </c>
      <c r="D2205" s="880">
        <v>1.0051595244213074</v>
      </c>
      <c r="E2205" s="880">
        <v>0.99885747128205427</v>
      </c>
      <c r="F2205" s="880">
        <v>1.0381679679179998</v>
      </c>
      <c r="G2205" s="880">
        <v>1.0009633363996766</v>
      </c>
      <c r="H2205" s="880">
        <v>1.0061575716546107</v>
      </c>
      <c r="I2205" s="880">
        <v>1.0003800568027739</v>
      </c>
      <c r="K2205">
        <v>1.0731714578778948</v>
      </c>
      <c r="L2205">
        <v>0</v>
      </c>
      <c r="M2205">
        <v>6.8919316560802474E-4</v>
      </c>
      <c r="N2205">
        <v>6.8438072397345701E-2</v>
      </c>
      <c r="O2205">
        <v>8.7014535836672704E-3</v>
      </c>
      <c r="P2205">
        <v>1.2641891549378212E-2</v>
      </c>
      <c r="Q2205">
        <v>2.9231154587059847E-3</v>
      </c>
      <c r="R2205">
        <v>6.7761627261747528E-4</v>
      </c>
      <c r="S2205">
        <v>8.4904128161968906E-2</v>
      </c>
      <c r="T2205">
        <v>0.81592902359022268</v>
      </c>
      <c r="U2205">
        <v>1.6790971874883202E-2</v>
      </c>
      <c r="V2205">
        <v>1.0412446925373702E-2</v>
      </c>
      <c r="W2205">
        <v>4.0940525752367528E-2</v>
      </c>
      <c r="X2205">
        <v>9.6571573590506343E-3</v>
      </c>
      <c r="Y2205">
        <v>1.8442481179205329E-3</v>
      </c>
    </row>
    <row r="2206" spans="1:25">
      <c r="A2206" s="876"/>
      <c r="B2206" s="1202">
        <v>1956</v>
      </c>
      <c r="C2206" s="880">
        <v>1.0246198526638932</v>
      </c>
      <c r="D2206" s="880">
        <v>0.95908149774135332</v>
      </c>
      <c r="E2206" s="880">
        <v>1.0223182574553542</v>
      </c>
      <c r="F2206" s="880">
        <v>1.040518597588602</v>
      </c>
      <c r="G2206" s="880">
        <v>1.021082524783878</v>
      </c>
      <c r="H2206" s="880">
        <v>0.98510123747613987</v>
      </c>
      <c r="I2206" s="880">
        <v>1.001085961479983</v>
      </c>
      <c r="K2206">
        <v>1.0719277315632327</v>
      </c>
      <c r="L2206">
        <v>0</v>
      </c>
      <c r="M2206">
        <v>6.4721106082245056E-4</v>
      </c>
      <c r="N2206">
        <v>6.9110547141087567E-2</v>
      </c>
      <c r="O2206">
        <v>8.7700025728935389E-3</v>
      </c>
      <c r="P2206">
        <v>1.2830824449835748E-2</v>
      </c>
      <c r="Q2206">
        <v>3.0053955140356588E-3</v>
      </c>
      <c r="R2206">
        <v>6.3614549189439443E-4</v>
      </c>
      <c r="S2206">
        <v>8.474087468330456E-2</v>
      </c>
      <c r="T2206">
        <v>0.81404335968372821</v>
      </c>
      <c r="U2206">
        <v>1.6504295541401696E-2</v>
      </c>
      <c r="V2206">
        <v>1.0410798913691118E-2</v>
      </c>
      <c r="W2206">
        <v>4.0689231783715196E-2</v>
      </c>
      <c r="X2206">
        <v>1.0102088524835833E-2</v>
      </c>
      <c r="Y2206">
        <v>1.7313783236314988E-3</v>
      </c>
    </row>
    <row r="2207" spans="1:25">
      <c r="A2207" s="876"/>
      <c r="B2207" s="1202">
        <v>1957</v>
      </c>
      <c r="C2207" s="880">
        <v>1.0009629095896406</v>
      </c>
      <c r="D2207" s="880">
        <v>1.0127436697796108</v>
      </c>
      <c r="E2207" s="880">
        <v>1.0399977412177972</v>
      </c>
      <c r="F2207" s="880">
        <v>1.018277240244458</v>
      </c>
      <c r="G2207" s="880">
        <v>1.0180436327126574</v>
      </c>
      <c r="H2207" s="880">
        <v>0.96214961515268549</v>
      </c>
      <c r="I2207" s="880">
        <v>0.99815147938831272</v>
      </c>
      <c r="K2207">
        <v>1.0679857349820867</v>
      </c>
      <c r="L2207">
        <v>0</v>
      </c>
      <c r="M2207">
        <v>6.0549475931028515E-4</v>
      </c>
      <c r="N2207">
        <v>6.8269980476046238E-2</v>
      </c>
      <c r="O2207">
        <v>8.7200374096236075E-3</v>
      </c>
      <c r="P2207">
        <v>1.2963008199092022E-2</v>
      </c>
      <c r="Q2207">
        <v>3.0534016386756639E-3</v>
      </c>
      <c r="R2207">
        <v>5.948527503337219E-4</v>
      </c>
      <c r="S2207">
        <v>8.3359803219929446E-2</v>
      </c>
      <c r="T2207">
        <v>0.8126347671137486</v>
      </c>
      <c r="U2207">
        <v>1.6894361123615604E-2</v>
      </c>
      <c r="V2207">
        <v>1.0413041277504878E-2</v>
      </c>
      <c r="W2207">
        <v>3.9721331599289977E-2</v>
      </c>
      <c r="X2207">
        <v>1.0347651840284942E-2</v>
      </c>
      <c r="Y2207">
        <v>1.6189930932519446E-3</v>
      </c>
    </row>
    <row r="2208" spans="1:25">
      <c r="A2208" s="876"/>
      <c r="B2208" s="1202">
        <v>1958</v>
      </c>
      <c r="C2208" s="880">
        <v>0.96227592971208342</v>
      </c>
      <c r="D2208" s="880">
        <v>0.99137614919844119</v>
      </c>
      <c r="E2208" s="880">
        <v>0.99876765068792506</v>
      </c>
      <c r="F2208" s="880">
        <v>0.97736968757136966</v>
      </c>
      <c r="G2208" s="880">
        <v>0.99311952428120043</v>
      </c>
      <c r="H2208" s="880">
        <v>1.0193165148193648</v>
      </c>
      <c r="I2208" s="880">
        <v>0.98139282820119778</v>
      </c>
      <c r="K2208">
        <v>1.0859423515053459</v>
      </c>
      <c r="L2208">
        <v>0</v>
      </c>
      <c r="M2208">
        <v>7.3627689990603598E-4</v>
      </c>
      <c r="N2208">
        <v>7.3110509893156372E-2</v>
      </c>
      <c r="O2208">
        <v>9.1743308372623806E-3</v>
      </c>
      <c r="P2208">
        <v>1.2697614897014656E-2</v>
      </c>
      <c r="Q2208">
        <v>3.078513757505496E-3</v>
      </c>
      <c r="R2208">
        <v>7.2408114975020194E-4</v>
      </c>
      <c r="S2208">
        <v>8.825870945990727E-2</v>
      </c>
      <c r="T2208">
        <v>0.81593627891197651</v>
      </c>
      <c r="U2208">
        <v>1.7573575669727184E-2</v>
      </c>
      <c r="V2208">
        <v>1.0416945867372372E-2</v>
      </c>
      <c r="W2208">
        <v>4.3738327575167699E-2</v>
      </c>
      <c r="X2208">
        <v>9.999030190077831E-3</v>
      </c>
      <c r="Y2208">
        <v>1.970710196333185E-3</v>
      </c>
    </row>
    <row r="2209" spans="1:25">
      <c r="A2209" s="876"/>
      <c r="B2209" s="1202">
        <v>1959</v>
      </c>
      <c r="C2209" s="880">
        <v>1.0189824902358264</v>
      </c>
      <c r="D2209" s="880">
        <v>1.0242004088574026</v>
      </c>
      <c r="E2209" s="880">
        <v>0.9849108930906898</v>
      </c>
      <c r="F2209" s="880">
        <v>0.99950951409619426</v>
      </c>
      <c r="G2209" s="880">
        <v>0.96595372157537518</v>
      </c>
      <c r="H2209" s="880">
        <v>0.97052549236098562</v>
      </c>
      <c r="I2209" s="880">
        <v>1.0082493373252694</v>
      </c>
      <c r="K2209">
        <v>1.0634936817348657</v>
      </c>
      <c r="L2209">
        <v>0</v>
      </c>
      <c r="M2209">
        <v>6.6989785764783125E-4</v>
      </c>
      <c r="N2209">
        <v>6.3654228238008717E-2</v>
      </c>
      <c r="O2209">
        <v>8.5146914758824632E-3</v>
      </c>
      <c r="P2209">
        <v>1.2490700169556368E-2</v>
      </c>
      <c r="Q2209">
        <v>2.8243091439721338E-3</v>
      </c>
      <c r="R2209">
        <v>6.5821596057596922E-4</v>
      </c>
      <c r="S2209">
        <v>8.2545942403523337E-2</v>
      </c>
      <c r="T2209">
        <v>0.81705884758392999</v>
      </c>
      <c r="U2209">
        <v>1.6595602994158118E-2</v>
      </c>
      <c r="V2209">
        <v>1.0411323811393772E-2</v>
      </c>
      <c r="W2209">
        <v>3.8445976829296451E-2</v>
      </c>
      <c r="X2209">
        <v>9.1722941183614761E-3</v>
      </c>
      <c r="Y2209">
        <v>1.7914468638546991E-3</v>
      </c>
    </row>
    <row r="2210" spans="1:25">
      <c r="A2210" s="876"/>
      <c r="B2210" s="1202">
        <v>1960</v>
      </c>
      <c r="C2210" s="880">
        <v>0.98683854614089106</v>
      </c>
      <c r="D2210" s="880">
        <v>1.0046789009541519</v>
      </c>
      <c r="E2210" s="880">
        <v>1.0258130555087068</v>
      </c>
      <c r="F2210" s="880">
        <v>0.97498466280463092</v>
      </c>
      <c r="G2210" s="880">
        <v>0.99587294231353929</v>
      </c>
      <c r="H2210" s="880">
        <v>1.0193134120899343</v>
      </c>
      <c r="I2210" s="880">
        <v>0.99409998865241478</v>
      </c>
      <c r="K2210">
        <v>1.0803589981719801</v>
      </c>
      <c r="L2210">
        <v>0</v>
      </c>
      <c r="M2210">
        <v>6.7333471862577915E-4</v>
      </c>
      <c r="N2210">
        <v>7.2722920893460219E-2</v>
      </c>
      <c r="O2210">
        <v>8.8826048075433105E-3</v>
      </c>
      <c r="P2210">
        <v>1.2894447807520592E-2</v>
      </c>
      <c r="Q2210">
        <v>3.0652545520122366E-3</v>
      </c>
      <c r="R2210">
        <v>6.6217058292505221E-4</v>
      </c>
      <c r="S2210">
        <v>8.6598824803920588E-2</v>
      </c>
      <c r="T2210">
        <v>0.81376406952609448</v>
      </c>
      <c r="U2210">
        <v>1.713616572040352E-2</v>
      </c>
      <c r="V2210">
        <v>1.0414431335747798E-2</v>
      </c>
      <c r="W2210">
        <v>4.2715470963460178E-2</v>
      </c>
      <c r="X2210">
        <v>1.0373761855269514E-2</v>
      </c>
      <c r="Y2210">
        <v>1.8022100422479957E-3</v>
      </c>
    </row>
    <row r="2211" spans="1:25">
      <c r="A2211" s="876"/>
      <c r="B2211" s="1202">
        <v>1961</v>
      </c>
      <c r="C2211" s="880">
        <v>1.0052991189116216</v>
      </c>
      <c r="D2211" s="880">
        <v>1.0005805388466296</v>
      </c>
      <c r="E2211" s="880">
        <v>1.0058006458081998</v>
      </c>
      <c r="F2211" s="880">
        <v>0.97686506344688295</v>
      </c>
      <c r="G2211" s="880">
        <v>1.0079892537875934</v>
      </c>
      <c r="H2211" s="880">
        <v>0.99881101527301486</v>
      </c>
      <c r="I2211" s="880">
        <v>0.99635919183032651</v>
      </c>
      <c r="K2211">
        <v>1.0728360350122237</v>
      </c>
      <c r="L2211">
        <v>0</v>
      </c>
      <c r="M2211">
        <v>6.7709418552492056E-4</v>
      </c>
      <c r="N2211">
        <v>6.8696306426264703E-2</v>
      </c>
      <c r="O2211">
        <v>8.7385138485352939E-3</v>
      </c>
      <c r="P2211">
        <v>1.2696734948974244E-2</v>
      </c>
      <c r="Q2211">
        <v>2.9550913889977177E-3</v>
      </c>
      <c r="R2211">
        <v>6.6564070731233945E-4</v>
      </c>
      <c r="S2211">
        <v>8.4649174480769016E-2</v>
      </c>
      <c r="T2211">
        <v>0.81536901352825863</v>
      </c>
      <c r="U2211">
        <v>1.6821489791277754E-2</v>
      </c>
      <c r="V2211">
        <v>1.0412622363234689E-2</v>
      </c>
      <c r="W2211">
        <v>4.0900548712322418E-2</v>
      </c>
      <c r="X2211">
        <v>9.7963384248979692E-3</v>
      </c>
      <c r="Y2211">
        <v>1.8116545769039951E-3</v>
      </c>
    </row>
    <row r="2212" spans="1:25">
      <c r="A2212" s="876"/>
      <c r="B2212" s="1202">
        <v>1962</v>
      </c>
      <c r="C2212" s="880">
        <v>0.9773171989905749</v>
      </c>
      <c r="D2212" s="880">
        <v>1.0213190457295633</v>
      </c>
      <c r="E2212" s="880">
        <v>0.99459379875200926</v>
      </c>
      <c r="F2212" s="880">
        <v>1.0169924682624767</v>
      </c>
      <c r="G2212" s="880">
        <v>0.99893512508038329</v>
      </c>
      <c r="H2212" s="880">
        <v>0.97053312771271205</v>
      </c>
      <c r="I2212" s="880">
        <v>0.96440539455688945</v>
      </c>
      <c r="K2212">
        <v>1.0696708073935091</v>
      </c>
      <c r="L2212">
        <v>0</v>
      </c>
      <c r="M2212">
        <v>6.854107769455705E-4</v>
      </c>
      <c r="N2212">
        <v>6.712188137858538E-2</v>
      </c>
      <c r="O2212">
        <v>8.8910112504722739E-3</v>
      </c>
      <c r="P2212">
        <v>1.25797427268839E-2</v>
      </c>
      <c r="Q2212">
        <v>2.9775226443409862E-3</v>
      </c>
      <c r="R2212">
        <v>6.734609027944648E-4</v>
      </c>
      <c r="S2212">
        <v>8.2437985289680465E-2</v>
      </c>
      <c r="T2212">
        <v>0.81627372691729527</v>
      </c>
      <c r="U2212">
        <v>1.7303111910256522E-2</v>
      </c>
      <c r="V2212">
        <v>1.0415391056656365E-2</v>
      </c>
      <c r="W2212">
        <v>4.0270745686725069E-2</v>
      </c>
      <c r="X2212">
        <v>9.5786998356849288E-3</v>
      </c>
      <c r="Y2212">
        <v>1.8329385710795926E-3</v>
      </c>
    </row>
    <row r="2213" spans="1:25">
      <c r="A2213" s="876"/>
      <c r="B2213" s="1202">
        <v>1963</v>
      </c>
      <c r="C2213" s="880">
        <v>0.98256503787535887</v>
      </c>
      <c r="D2213" s="880">
        <v>0.96470507343061374</v>
      </c>
      <c r="E2213" s="880">
        <v>1.0103115650573766</v>
      </c>
      <c r="F2213" s="880">
        <v>0.9877664666236059</v>
      </c>
      <c r="G2213" s="880">
        <v>0.9906189613495302</v>
      </c>
      <c r="H2213" s="880">
        <v>1.0058925882087506</v>
      </c>
      <c r="I2213" s="880">
        <v>1.0200547799293882</v>
      </c>
      <c r="K2213">
        <v>1.0858252757409113</v>
      </c>
      <c r="L2213">
        <v>0</v>
      </c>
      <c r="M2213">
        <v>7.0464605236256347E-4</v>
      </c>
      <c r="N2213">
        <v>7.2513553900673558E-2</v>
      </c>
      <c r="O2213">
        <v>9.1167941356828618E-3</v>
      </c>
      <c r="P2213">
        <v>1.2821042438093963E-2</v>
      </c>
      <c r="Q2213">
        <v>3.0884634052865661E-3</v>
      </c>
      <c r="R2213">
        <v>6.9284236505177108E-4</v>
      </c>
      <c r="S2213">
        <v>9.0566069377276098E-2</v>
      </c>
      <c r="T2213">
        <v>0.81500605851102004</v>
      </c>
      <c r="U2213">
        <v>1.7210696711251746E-2</v>
      </c>
      <c r="V2213">
        <v>1.0414859790870477E-2</v>
      </c>
      <c r="W2213">
        <v>4.3040962420577387E-2</v>
      </c>
      <c r="X2213">
        <v>1.0172890215241752E-2</v>
      </c>
      <c r="Y2213">
        <v>1.8856885222466643E-3</v>
      </c>
    </row>
    <row r="2214" spans="1:25">
      <c r="A2214" s="876"/>
      <c r="B2214" s="1202">
        <v>1964</v>
      </c>
      <c r="C2214" s="880">
        <v>1.017851197554001</v>
      </c>
      <c r="D2214" s="880">
        <v>1.0125780711947063</v>
      </c>
      <c r="E2214" s="880">
        <v>0.98646691867359992</v>
      </c>
      <c r="F2214" s="880">
        <v>0.99980547965647559</v>
      </c>
      <c r="G2214" s="880">
        <v>0.99650543809428704</v>
      </c>
      <c r="H2214" s="880">
        <v>0.95538898430786889</v>
      </c>
      <c r="I2214" s="880">
        <v>0.99628880764335814</v>
      </c>
      <c r="K2214">
        <v>1.0617412212507411</v>
      </c>
      <c r="L2214">
        <v>0</v>
      </c>
      <c r="M2214">
        <v>6.6202845738617434E-4</v>
      </c>
      <c r="N2214">
        <v>6.3195235744721245E-2</v>
      </c>
      <c r="O2214">
        <v>8.5761006284627173E-3</v>
      </c>
      <c r="P2214">
        <v>1.249111486705458E-2</v>
      </c>
      <c r="Q2214">
        <v>2.846758188777462E-3</v>
      </c>
      <c r="R2214">
        <v>6.503106303047321E-4</v>
      </c>
      <c r="S2214">
        <v>8.1595325910992972E-2</v>
      </c>
      <c r="T2214">
        <v>0.81693246576335909</v>
      </c>
      <c r="U2214">
        <v>1.6614048209198259E-2</v>
      </c>
      <c r="V2214">
        <v>1.0411429847108347E-2</v>
      </c>
      <c r="W2214">
        <v>3.8127728838771316E-2</v>
      </c>
      <c r="X2214">
        <v>9.1927999185292958E-3</v>
      </c>
      <c r="Y2214">
        <v>1.7699311608478153E-3</v>
      </c>
    </row>
    <row r="2215" spans="1:25">
      <c r="A2215" s="876"/>
      <c r="B2215" s="1202">
        <v>1965</v>
      </c>
      <c r="C2215" s="880">
        <v>1.0298243500059996</v>
      </c>
      <c r="D2215" s="880">
        <v>1.0030081722940967</v>
      </c>
      <c r="E2215" s="880">
        <v>1.0064523262139575</v>
      </c>
      <c r="F2215" s="880">
        <v>1.0248290304741619</v>
      </c>
      <c r="G2215" s="880">
        <v>0.97992603079999585</v>
      </c>
      <c r="H2215" s="880">
        <v>0.99957693051543339</v>
      </c>
      <c r="I2215" s="880">
        <v>0.98565242850810975</v>
      </c>
      <c r="K2215">
        <v>1.0662774789021618</v>
      </c>
      <c r="L2215">
        <v>0</v>
      </c>
      <c r="M2215">
        <v>6.5971710828584133E-4</v>
      </c>
      <c r="N2215">
        <v>6.7069730087814E-2</v>
      </c>
      <c r="O2215">
        <v>8.5193919470527169E-3</v>
      </c>
      <c r="P2215">
        <v>1.2655822304050416E-2</v>
      </c>
      <c r="Q2215">
        <v>2.8833941049510392E-3</v>
      </c>
      <c r="R2215">
        <v>6.4856414242477826E-4</v>
      </c>
      <c r="S2215">
        <v>8.1672868218767403E-2</v>
      </c>
      <c r="T2215">
        <v>0.81531653560556383</v>
      </c>
      <c r="U2215">
        <v>1.6420886596684038E-2</v>
      </c>
      <c r="V2215">
        <v>1.0410319422016116E-2</v>
      </c>
      <c r="W2215">
        <v>3.9914388227785112E-2</v>
      </c>
      <c r="X2215">
        <v>9.6601175567709464E-3</v>
      </c>
      <c r="Y2215">
        <v>1.7651777965681558E-3</v>
      </c>
    </row>
    <row r="2216" spans="1:25">
      <c r="A2216" s="876"/>
      <c r="B2216" s="1202">
        <v>1966</v>
      </c>
      <c r="C2216" s="880">
        <v>1.013690389954641</v>
      </c>
      <c r="D2216" s="880">
        <v>0.99333154334466611</v>
      </c>
      <c r="E2216" s="880">
        <v>0.98684706761375096</v>
      </c>
      <c r="F2216" s="880">
        <v>1.0033805400301403</v>
      </c>
      <c r="G2216" s="880">
        <v>0.99886153542474532</v>
      </c>
      <c r="H2216" s="880">
        <v>1.0231489142215373</v>
      </c>
      <c r="I2216" s="880">
        <v>1.0031922531863453</v>
      </c>
      <c r="K2216">
        <v>1.075440027931998</v>
      </c>
      <c r="L2216">
        <v>0</v>
      </c>
      <c r="M2216">
        <v>7.1862107755836686E-4</v>
      </c>
      <c r="N2216">
        <v>6.8762235116730824E-2</v>
      </c>
      <c r="O2216">
        <v>8.6998548553984881E-3</v>
      </c>
      <c r="P2216">
        <v>1.25506207558614E-2</v>
      </c>
      <c r="Q2216">
        <v>2.8848164786717916E-3</v>
      </c>
      <c r="R2216">
        <v>7.0676064428622329E-4</v>
      </c>
      <c r="S2216">
        <v>8.5695204216637358E-2</v>
      </c>
      <c r="T2216">
        <v>0.81690160218730679</v>
      </c>
      <c r="U2216">
        <v>1.668224246133878E-2</v>
      </c>
      <c r="V2216">
        <v>1.0411821874321931E-2</v>
      </c>
      <c r="W2216">
        <v>4.1475588582730295E-2</v>
      </c>
      <c r="X2216">
        <v>9.4643323461086112E-3</v>
      </c>
      <c r="Y2216">
        <v>1.9235694901633261E-3</v>
      </c>
    </row>
    <row r="2217" spans="1:25">
      <c r="A2217" s="876"/>
      <c r="B2217" s="1202">
        <v>1967</v>
      </c>
      <c r="C2217" s="880">
        <v>0.96926297872542477</v>
      </c>
      <c r="D2217" s="880">
        <v>1.0237081306109364</v>
      </c>
      <c r="E2217" s="880">
        <v>0.98191360144906559</v>
      </c>
      <c r="F2217" s="880">
        <v>1.0071424354369605</v>
      </c>
      <c r="G2217" s="880">
        <v>0.99669548693792753</v>
      </c>
      <c r="H2217" s="880">
        <v>1.0141133889039071</v>
      </c>
      <c r="I2217" s="880">
        <v>1.0007358870434802</v>
      </c>
      <c r="K2217">
        <v>1.0808644919079091</v>
      </c>
      <c r="L2217">
        <v>0</v>
      </c>
      <c r="M2217">
        <v>7.4072717605845476E-4</v>
      </c>
      <c r="N2217">
        <v>6.9783641782775463E-2</v>
      </c>
      <c r="O2217">
        <v>8.953752882761087E-3</v>
      </c>
      <c r="P2217">
        <v>1.2547130123350604E-2</v>
      </c>
      <c r="Q2217">
        <v>2.9608229608105163E-3</v>
      </c>
      <c r="R2217">
        <v>7.2836575723425341E-4</v>
      </c>
      <c r="S2217">
        <v>8.7743251834384486E-2</v>
      </c>
      <c r="T2217">
        <v>0.81730252145800397</v>
      </c>
      <c r="U2217">
        <v>1.7446894431261323E-2</v>
      </c>
      <c r="V2217">
        <v>1.041621761694995E-2</v>
      </c>
      <c r="W2217">
        <v>4.2235569528945992E-2</v>
      </c>
      <c r="X2217">
        <v>9.5046792220058376E-3</v>
      </c>
      <c r="Y2217">
        <v>1.9823714854842948E-3</v>
      </c>
    </row>
    <row r="2218" spans="1:25">
      <c r="A2218" s="876"/>
      <c r="B2218" s="1202">
        <v>1968</v>
      </c>
      <c r="C2218" s="880">
        <v>1.0148280964715786</v>
      </c>
      <c r="D2218" s="880">
        <v>0.9910449522567395</v>
      </c>
      <c r="E2218" s="880">
        <v>0.98276234471013757</v>
      </c>
      <c r="F2218" s="880">
        <v>1.0106753842035212</v>
      </c>
      <c r="G2218" s="880">
        <v>0.95473037617051049</v>
      </c>
      <c r="H2218" s="880">
        <v>0.99297077641242337</v>
      </c>
      <c r="I2218" s="880">
        <v>1.0057325412963423</v>
      </c>
      <c r="K2218">
        <v>1.0710144968081703</v>
      </c>
      <c r="L2218">
        <v>0</v>
      </c>
      <c r="M2218">
        <v>7.0351000241549529E-4</v>
      </c>
      <c r="N2218">
        <v>6.6431611419966535E-2</v>
      </c>
      <c r="O2218">
        <v>8.7007959980693137E-3</v>
      </c>
      <c r="P2218">
        <v>1.2504558718443965E-2</v>
      </c>
      <c r="Q2218">
        <v>2.8727108063608233E-3</v>
      </c>
      <c r="R2218">
        <v>6.915481203181458E-4</v>
      </c>
      <c r="S2218">
        <v>8.484015190320579E-2</v>
      </c>
      <c r="T2218">
        <v>0.81723348944051299</v>
      </c>
      <c r="U2218">
        <v>1.6663540283076882E-2</v>
      </c>
      <c r="V2218">
        <v>1.0411714361406955E-2</v>
      </c>
      <c r="W2218">
        <v>4.0183166803437156E-2</v>
      </c>
      <c r="X2218">
        <v>9.3025529410568804E-3</v>
      </c>
      <c r="Y2218">
        <v>1.8821660147293976E-3</v>
      </c>
    </row>
    <row r="2219" spans="1:25">
      <c r="A2219" s="876"/>
      <c r="B2219" s="1202">
        <v>1969</v>
      </c>
      <c r="C2219" s="880">
        <v>0.99300440053400907</v>
      </c>
      <c r="D2219" s="880">
        <v>1.006913307486168</v>
      </c>
      <c r="E2219" s="880">
        <v>0.9848287155643427</v>
      </c>
      <c r="F2219" s="880">
        <v>0.99384468788081015</v>
      </c>
      <c r="G2219" s="880">
        <v>0.96905511932862942</v>
      </c>
      <c r="H2219" s="880">
        <v>1.0083225670124996</v>
      </c>
      <c r="I2219" s="880">
        <v>1.0282250374926569</v>
      </c>
      <c r="K2219">
        <v>1.0786301542026915</v>
      </c>
      <c r="L2219">
        <v>0</v>
      </c>
      <c r="M2219">
        <v>7.2080696824884476E-4</v>
      </c>
      <c r="N2219">
        <v>6.8521130102188355E-2</v>
      </c>
      <c r="O2219">
        <v>8.8170044476127175E-3</v>
      </c>
      <c r="P2219">
        <v>1.2576401343717823E-2</v>
      </c>
      <c r="Q2219">
        <v>2.9206511830056447E-3</v>
      </c>
      <c r="R2219">
        <v>7.0872348921622382E-4</v>
      </c>
      <c r="S2219">
        <v>8.8511521190705711E-2</v>
      </c>
      <c r="T2219">
        <v>0.81706552439794355</v>
      </c>
      <c r="U2219">
        <v>1.7029762261736529E-2</v>
      </c>
      <c r="V2219">
        <v>1.0413819655875857E-2</v>
      </c>
      <c r="W2219">
        <v>4.1387847470263903E-2</v>
      </c>
      <c r="X2219">
        <v>9.4696639216630876E-3</v>
      </c>
      <c r="Y2219">
        <v>1.9289117070111308E-3</v>
      </c>
    </row>
    <row r="2220" spans="1:25">
      <c r="A2220" s="876"/>
      <c r="B2220" s="1202">
        <v>1970</v>
      </c>
      <c r="C2220" s="880">
        <v>0.98781404536945128</v>
      </c>
      <c r="D2220" s="880">
        <v>1.0463716506224063</v>
      </c>
      <c r="E2220" s="880">
        <v>0.99130731709238495</v>
      </c>
      <c r="F2220" s="880">
        <v>0.99048810410001686</v>
      </c>
      <c r="G2220" s="880">
        <v>0.96625102179312627</v>
      </c>
      <c r="H2220" s="880">
        <v>0.98268469226571664</v>
      </c>
      <c r="I2220" s="880">
        <v>0.99631874522360997</v>
      </c>
      <c r="K2220">
        <v>1.0691231117082876</v>
      </c>
      <c r="L2220">
        <v>0</v>
      </c>
      <c r="M2220">
        <v>6.8255245979428729E-4</v>
      </c>
      <c r="N2220">
        <v>6.6174145160934741E-2</v>
      </c>
      <c r="O2220">
        <v>8.6839399871148238E-3</v>
      </c>
      <c r="P2220">
        <v>1.2566678911167632E-2</v>
      </c>
      <c r="Q2220">
        <v>2.9037235665337713E-3</v>
      </c>
      <c r="R2220">
        <v>6.7077893942849411E-4</v>
      </c>
      <c r="S2220">
        <v>8.3682392180520898E-2</v>
      </c>
      <c r="T2220">
        <v>0.81653984883200781</v>
      </c>
      <c r="U2220">
        <v>1.7119243186735252E-2</v>
      </c>
      <c r="V2220">
        <v>1.041433405344741E-2</v>
      </c>
      <c r="W2220">
        <v>3.9791960061940843E-2</v>
      </c>
      <c r="X2220">
        <v>9.4329801373439891E-3</v>
      </c>
      <c r="Y2220">
        <v>1.8256391509064061E-3</v>
      </c>
    </row>
    <row r="2221" spans="1:25">
      <c r="A2221" s="876"/>
      <c r="B2221" s="1202">
        <v>1971</v>
      </c>
      <c r="C2221" s="880">
        <v>0.99118777023239879</v>
      </c>
      <c r="D2221" s="880">
        <v>0.97655964172500775</v>
      </c>
      <c r="E2221" s="880">
        <v>0.99949351181680712</v>
      </c>
      <c r="F2221" s="880">
        <v>1.0021232172700298</v>
      </c>
      <c r="G2221" s="880">
        <v>0.98319995256082315</v>
      </c>
      <c r="H2221" s="880">
        <v>1.0171686811426335</v>
      </c>
      <c r="I2221" s="880">
        <v>0.99123085073718709</v>
      </c>
      <c r="K2221">
        <v>1.0811053525443102</v>
      </c>
      <c r="L2221">
        <v>0</v>
      </c>
      <c r="M2221">
        <v>7.1794223412510315E-4</v>
      </c>
      <c r="N2221">
        <v>7.144990465787697E-2</v>
      </c>
      <c r="O2221">
        <v>8.9786467430617283E-3</v>
      </c>
      <c r="P2221">
        <v>1.2681118800527651E-2</v>
      </c>
      <c r="Q2221">
        <v>3.0116377180740184E-3</v>
      </c>
      <c r="R2221">
        <v>7.0603833204779354E-4</v>
      </c>
      <c r="S2221">
        <v>8.7118611901621346E-2</v>
      </c>
      <c r="T2221">
        <v>0.81587765480982666</v>
      </c>
      <c r="U2221">
        <v>1.7060974089689797E-2</v>
      </c>
      <c r="V2221">
        <v>1.0413999082815205E-2</v>
      </c>
      <c r="W2221">
        <v>4.2723633836354545E-2</v>
      </c>
      <c r="X2221">
        <v>9.879471212178954E-3</v>
      </c>
      <c r="Y2221">
        <v>1.9216035943604862E-3</v>
      </c>
    </row>
    <row r="2222" spans="1:25">
      <c r="A2222" s="876"/>
      <c r="B2222" s="1202">
        <v>1972</v>
      </c>
      <c r="C2222" s="880">
        <v>1.0153362813228721</v>
      </c>
      <c r="D2222" s="880">
        <v>0.97516045374082738</v>
      </c>
      <c r="E2222" s="880">
        <v>1.0415116210415472</v>
      </c>
      <c r="F2222" s="880">
        <v>1.0029881202383228</v>
      </c>
      <c r="G2222" s="880">
        <v>0.99285893360311217</v>
      </c>
      <c r="H2222" s="880">
        <v>1.004085768776932</v>
      </c>
      <c r="I2222" s="880">
        <v>1.027750353172298</v>
      </c>
      <c r="K2222">
        <v>1.0780582690355682</v>
      </c>
      <c r="L2222">
        <v>0</v>
      </c>
      <c r="M2222">
        <v>6.3357223087510928E-4</v>
      </c>
      <c r="N2222">
        <v>7.1829012183820984E-2</v>
      </c>
      <c r="O2222">
        <v>8.7718208141336559E-3</v>
      </c>
      <c r="P2222">
        <v>1.3034031678174053E-2</v>
      </c>
      <c r="Q2222">
        <v>3.0674080571022849E-3</v>
      </c>
      <c r="R2222">
        <v>6.2293148832161043E-4</v>
      </c>
      <c r="S2222">
        <v>8.7763271642822521E-2</v>
      </c>
      <c r="T2222">
        <v>0.81251464675503382</v>
      </c>
      <c r="U2222">
        <v>1.6655200032761216E-2</v>
      </c>
      <c r="V2222">
        <v>1.0411666415942499E-2</v>
      </c>
      <c r="W2222">
        <v>4.1750011287628536E-2</v>
      </c>
      <c r="X2222">
        <v>1.0576426748801066E-2</v>
      </c>
      <c r="Y2222">
        <v>1.6954141619014878E-3</v>
      </c>
    </row>
    <row r="2223" spans="1:25">
      <c r="A2223" s="876"/>
      <c r="B2223" s="1202">
        <v>1973</v>
      </c>
      <c r="C2223" s="880">
        <v>0.99862252340274604</v>
      </c>
      <c r="D2223" s="880">
        <v>1.0045481168624268</v>
      </c>
      <c r="E2223" s="880">
        <v>1.0094421355133341</v>
      </c>
      <c r="F2223" s="880">
        <v>1.0260049378235383</v>
      </c>
      <c r="G2223" s="880">
        <v>1.005435114586817</v>
      </c>
      <c r="H2223" s="880">
        <v>0.98427307645632389</v>
      </c>
      <c r="I2223" s="880">
        <v>1.034196634772691</v>
      </c>
      <c r="K2223">
        <v>1.0750900364223084</v>
      </c>
      <c r="L2223">
        <v>0</v>
      </c>
      <c r="M2223">
        <v>6.6516101095654367E-4</v>
      </c>
      <c r="N2223">
        <v>6.8236364010927947E-2</v>
      </c>
      <c r="O2223">
        <v>8.778397142480264E-3</v>
      </c>
      <c r="P2223">
        <v>1.2771088035251354E-2</v>
      </c>
      <c r="Q2223">
        <v>2.9802985795852094E-3</v>
      </c>
      <c r="R2223">
        <v>6.5373988626622238E-4</v>
      </c>
      <c r="S2223">
        <v>8.7740083334779603E-2</v>
      </c>
      <c r="T2223">
        <v>0.81507596018678841</v>
      </c>
      <c r="U2223">
        <v>1.69339549926537E-2</v>
      </c>
      <c r="V2223">
        <v>1.0413268890150595E-2</v>
      </c>
      <c r="W2223">
        <v>4.0526140793741533E-2</v>
      </c>
      <c r="X2223">
        <v>9.866637115519418E-3</v>
      </c>
      <c r="Y2223">
        <v>1.7792644651210682E-3</v>
      </c>
    </row>
    <row r="2224" spans="1:25">
      <c r="A2224" s="876"/>
      <c r="B2224" s="1202">
        <v>1974</v>
      </c>
      <c r="C2224" s="880">
        <v>1.0324318208017322</v>
      </c>
      <c r="D2224" s="880">
        <v>0.99552933706556468</v>
      </c>
      <c r="E2224" s="880">
        <v>0.97257271131563794</v>
      </c>
      <c r="F2224" s="880">
        <v>1.0362061567059084</v>
      </c>
      <c r="G2224" s="880">
        <v>0.96601245596641183</v>
      </c>
      <c r="H2224" s="880">
        <v>0.97865319223432978</v>
      </c>
      <c r="I2224" s="880">
        <v>0.96854065222806507</v>
      </c>
      <c r="K2224">
        <v>1.0611884275116106</v>
      </c>
      <c r="L2224">
        <v>0</v>
      </c>
      <c r="M2224">
        <v>6.9460299629572778E-4</v>
      </c>
      <c r="N2224">
        <v>6.3524066878649643E-2</v>
      </c>
      <c r="O2224">
        <v>8.5318622088311237E-3</v>
      </c>
      <c r="P2224">
        <v>1.2345687324633682E-2</v>
      </c>
      <c r="Q2224">
        <v>2.7888163046241674E-3</v>
      </c>
      <c r="R2224">
        <v>6.8261579118255103E-4</v>
      </c>
      <c r="S2224">
        <v>7.9647795350006545E-2</v>
      </c>
      <c r="T2224">
        <v>0.81806386686021482</v>
      </c>
      <c r="U2224">
        <v>1.6379414625965795E-2</v>
      </c>
      <c r="V2224">
        <v>1.0410081012757109E-2</v>
      </c>
      <c r="W2224">
        <v>3.8697542378475697E-2</v>
      </c>
      <c r="X2224">
        <v>8.9534266132005567E-3</v>
      </c>
      <c r="Y2224">
        <v>1.8578551593638171E-3</v>
      </c>
    </row>
    <row r="2225" spans="1:25">
      <c r="A2225" s="876"/>
      <c r="B2225" s="1202">
        <v>1975</v>
      </c>
      <c r="C2225" s="880">
        <v>0.98631841673000054</v>
      </c>
      <c r="D2225" s="880">
        <v>1.0195638415181014</v>
      </c>
      <c r="E2225" s="880">
        <v>1.0309265329492463</v>
      </c>
      <c r="F2225" s="880">
        <v>0.97559437737585053</v>
      </c>
      <c r="G2225" s="880">
        <v>0.97306964973568688</v>
      </c>
      <c r="H2225" s="880">
        <v>0.9986869701113672</v>
      </c>
      <c r="I2225" s="880">
        <v>0.98635388009163449</v>
      </c>
      <c r="K2225">
        <v>1.0750666575406842</v>
      </c>
      <c r="L2225">
        <v>0</v>
      </c>
      <c r="M2225">
        <v>6.4787403071550566E-4</v>
      </c>
      <c r="N2225">
        <v>7.1066694212669174E-2</v>
      </c>
      <c r="O2225">
        <v>8.8179401345426806E-3</v>
      </c>
      <c r="P2225">
        <v>1.2909257586613402E-2</v>
      </c>
      <c r="Q2225">
        <v>3.0617205569585279E-3</v>
      </c>
      <c r="R2225">
        <v>6.3689839754134489E-4</v>
      </c>
      <c r="S2225">
        <v>8.4612423750796389E-2</v>
      </c>
      <c r="T2225">
        <v>0.81335617207726651</v>
      </c>
      <c r="U2225">
        <v>1.7145202379995252E-2</v>
      </c>
      <c r="V2225">
        <v>1.0414483284649169E-2</v>
      </c>
      <c r="W2225">
        <v>4.1599695752290507E-2</v>
      </c>
      <c r="X2225">
        <v>1.0360615953469489E-2</v>
      </c>
      <c r="Y2225">
        <v>1.7334274846072179E-3</v>
      </c>
    </row>
    <row r="2226" spans="1:25">
      <c r="A2226" s="876"/>
      <c r="B2226" s="1202">
        <v>1976</v>
      </c>
      <c r="C2226" s="880">
        <v>0.99948087295976196</v>
      </c>
      <c r="D2226" s="880">
        <v>1.0310926269033587</v>
      </c>
      <c r="E2226" s="880">
        <v>0.99596721017659895</v>
      </c>
      <c r="F2226" s="880">
        <v>0.98161071845687586</v>
      </c>
      <c r="G2226" s="880">
        <v>1.0038862766935941</v>
      </c>
      <c r="H2226" s="880">
        <v>1.0047665776867549</v>
      </c>
      <c r="I2226" s="880">
        <v>1.0203550253414184</v>
      </c>
      <c r="K2226">
        <v>1.073543853507537</v>
      </c>
      <c r="L2226">
        <v>0</v>
      </c>
      <c r="M2226">
        <v>6.8836133740885028E-4</v>
      </c>
      <c r="N2226">
        <v>6.7739706345964878E-2</v>
      </c>
      <c r="O2226">
        <v>8.6499163544770455E-3</v>
      </c>
      <c r="P2226">
        <v>1.2635961745017467E-2</v>
      </c>
      <c r="Q2226">
        <v>2.9028356063452191E-3</v>
      </c>
      <c r="R2226">
        <v>6.7676089954368291E-4</v>
      </c>
      <c r="S2226">
        <v>8.6113735401222982E-2</v>
      </c>
      <c r="T2226">
        <v>0.81616262391547734</v>
      </c>
      <c r="U2226">
        <v>1.6919412190325323E-2</v>
      </c>
      <c r="V2226">
        <v>1.0413185288173987E-2</v>
      </c>
      <c r="W2226">
        <v>4.06031180948224E-2</v>
      </c>
      <c r="X2226">
        <v>9.573038929186822E-3</v>
      </c>
      <c r="Y2226">
        <v>1.8419200743873283E-3</v>
      </c>
    </row>
    <row r="2227" spans="1:25">
      <c r="A2227" s="876"/>
      <c r="B2227" s="1202">
        <v>1977</v>
      </c>
      <c r="C2227" s="880">
        <v>0.99377532845512195</v>
      </c>
      <c r="D2227" s="880">
        <v>1.0408469896598662</v>
      </c>
      <c r="E2227" s="880">
        <v>1.0200889409179013</v>
      </c>
      <c r="F2227" s="880">
        <v>0.9917823978025605</v>
      </c>
      <c r="G2227" s="880">
        <v>0.98579198971604654</v>
      </c>
      <c r="H2227" s="880">
        <v>0.96112837116845751</v>
      </c>
      <c r="I2227" s="880">
        <v>0.99769160889505071</v>
      </c>
      <c r="K2227">
        <v>1.0659227163768585</v>
      </c>
      <c r="L2227">
        <v>0</v>
      </c>
      <c r="M2227">
        <v>6.2627052021738887E-4</v>
      </c>
      <c r="N2227">
        <v>6.6377029666756168E-2</v>
      </c>
      <c r="O2227">
        <v>8.6561516614406635E-3</v>
      </c>
      <c r="P2227">
        <v>1.2791993823618822E-2</v>
      </c>
      <c r="Q2227">
        <v>2.9779667733026882E-3</v>
      </c>
      <c r="R2227">
        <v>6.1522975045708657E-4</v>
      </c>
      <c r="S2227">
        <v>8.2756292473772711E-2</v>
      </c>
      <c r="T2227">
        <v>0.8142217352793798</v>
      </c>
      <c r="U2227">
        <v>1.7016551308675461E-2</v>
      </c>
      <c r="V2227">
        <v>1.0413743710279944E-2</v>
      </c>
      <c r="W2227">
        <v>3.9138640333920387E-2</v>
      </c>
      <c r="X2227">
        <v>9.9091995451592394E-3</v>
      </c>
      <c r="Y2227">
        <v>1.6744525703114579E-3</v>
      </c>
    </row>
    <row r="2228" spans="1:25">
      <c r="A2228" s="876"/>
      <c r="B2228" s="1202">
        <v>1978</v>
      </c>
      <c r="C2228" s="880">
        <v>0.997001821901913</v>
      </c>
      <c r="D2228" s="880">
        <v>1.011634444174992</v>
      </c>
      <c r="E2228" s="880">
        <v>1.0266014152653113</v>
      </c>
      <c r="F2228" s="880">
        <v>0.96351470467454359</v>
      </c>
      <c r="G2228" s="880">
        <v>1.0003848043901293</v>
      </c>
      <c r="H2228" s="880">
        <v>1.0139550638805734</v>
      </c>
      <c r="I2228" s="880">
        <v>1.0047363997290879</v>
      </c>
      <c r="K2228">
        <v>1.0772415899517771</v>
      </c>
      <c r="L2228">
        <v>0</v>
      </c>
      <c r="M2228">
        <v>6.5944015619370138E-4</v>
      </c>
      <c r="N2228">
        <v>7.1389838747439496E-2</v>
      </c>
      <c r="O2228">
        <v>8.7597938580298729E-3</v>
      </c>
      <c r="P2228">
        <v>1.2892218788833723E-2</v>
      </c>
      <c r="Q2228">
        <v>3.0267902000078199E-3</v>
      </c>
      <c r="R2228">
        <v>6.4844306667005919E-4</v>
      </c>
      <c r="S2228">
        <v>8.6144182494569385E-2</v>
      </c>
      <c r="T2228">
        <v>0.8137011245966087</v>
      </c>
      <c r="U2228">
        <v>1.6961482411028222E-2</v>
      </c>
      <c r="V2228">
        <v>1.041342713658317E-2</v>
      </c>
      <c r="W2228">
        <v>4.1910249684067799E-2</v>
      </c>
      <c r="X2228">
        <v>1.0288630855855062E-2</v>
      </c>
      <c r="Y2228">
        <v>1.7648482682764224E-3</v>
      </c>
    </row>
    <row r="2229" spans="1:25">
      <c r="A2229" s="876"/>
      <c r="B2229" s="1202">
        <v>1979</v>
      </c>
      <c r="C2229" s="880">
        <v>0.98707581564578828</v>
      </c>
      <c r="D2229" s="880">
        <v>0.98977224915420203</v>
      </c>
      <c r="E2229" s="880">
        <v>1.0146714771883025</v>
      </c>
      <c r="F2229" s="880">
        <v>1.002010857798141</v>
      </c>
      <c r="G2229" s="880">
        <v>1.004574604699596</v>
      </c>
      <c r="H2229" s="880">
        <v>0.97117353916634042</v>
      </c>
      <c r="I2229" s="880">
        <v>0.99444697837496054</v>
      </c>
      <c r="K2229">
        <v>1.0741258655446757</v>
      </c>
      <c r="L2229">
        <v>0</v>
      </c>
      <c r="M2229">
        <v>6.6189930266755245E-4</v>
      </c>
      <c r="N2229">
        <v>6.8999556315639574E-2</v>
      </c>
      <c r="O2229">
        <v>8.9515622758329656E-3</v>
      </c>
      <c r="P2229">
        <v>1.2786750375212676E-2</v>
      </c>
      <c r="Q2229">
        <v>3.0516154333152376E-3</v>
      </c>
      <c r="R2229">
        <v>6.5039342797208559E-4</v>
      </c>
      <c r="S2229">
        <v>8.5512512126808174E-2</v>
      </c>
      <c r="T2229">
        <v>0.81465591200488541</v>
      </c>
      <c r="U2229">
        <v>1.7132046594504725E-2</v>
      </c>
      <c r="V2229">
        <v>1.0414407656194211E-2</v>
      </c>
      <c r="W2229">
        <v>4.0834262117502691E-2</v>
      </c>
      <c r="X2229">
        <v>1.0028590010670087E-2</v>
      </c>
      <c r="Y2229">
        <v>1.7701565088041075E-3</v>
      </c>
    </row>
    <row r="2230" spans="1:25">
      <c r="A2230" s="876"/>
      <c r="B2230" s="1202">
        <v>1980</v>
      </c>
      <c r="C2230" s="880">
        <v>0.97393772340894047</v>
      </c>
      <c r="D2230" s="880">
        <v>0.98482919950017145</v>
      </c>
      <c r="E2230" s="880">
        <v>1.0100297637353353</v>
      </c>
      <c r="F2230" s="880">
        <v>1.0081493800922268</v>
      </c>
      <c r="G2230" s="880">
        <v>1.0135122493582753</v>
      </c>
      <c r="H2230" s="880">
        <v>1.0053359141138587</v>
      </c>
      <c r="I2230" s="880">
        <v>1.0294310848025885</v>
      </c>
      <c r="K2230">
        <v>1.0862978874095313</v>
      </c>
      <c r="L2230">
        <v>0</v>
      </c>
      <c r="M2230">
        <v>7.0313239883135583E-4</v>
      </c>
      <c r="N2230">
        <v>7.2291853049978053E-2</v>
      </c>
      <c r="O2230">
        <v>9.0965998281631044E-3</v>
      </c>
      <c r="P2230">
        <v>1.2830063951938584E-2</v>
      </c>
      <c r="Q2230">
        <v>3.0855615979357284E-3</v>
      </c>
      <c r="R2230">
        <v>6.9132946634108616E-4</v>
      </c>
      <c r="S2230">
        <v>9.1240665249404426E-2</v>
      </c>
      <c r="T2230">
        <v>0.81502871237010477</v>
      </c>
      <c r="U2230">
        <v>1.7363152139504803E-2</v>
      </c>
      <c r="V2230">
        <v>1.0415736208968126E-2</v>
      </c>
      <c r="W2230">
        <v>4.2917586326160842E-2</v>
      </c>
      <c r="X2230">
        <v>1.0158188709179485E-2</v>
      </c>
      <c r="Y2230">
        <v>1.8815709106831059E-3</v>
      </c>
    </row>
    <row r="2231" spans="1:25">
      <c r="A2231" s="876"/>
      <c r="B2231" s="1202">
        <v>1981</v>
      </c>
      <c r="C2231" s="880">
        <v>0.98330249089110688</v>
      </c>
      <c r="D2231" s="880">
        <v>0.97456667918582363</v>
      </c>
      <c r="E2231" s="880">
        <v>1.0034368322130163</v>
      </c>
      <c r="F2231" s="880">
        <v>0.96328129679638719</v>
      </c>
      <c r="G2231" s="880">
        <v>0.98525058423366907</v>
      </c>
      <c r="H2231" s="880">
        <v>0.96825284769256847</v>
      </c>
      <c r="I2231" s="880">
        <v>1.0028046865835825</v>
      </c>
      <c r="K2231">
        <v>1.0767133872344576</v>
      </c>
      <c r="L2231">
        <v>0</v>
      </c>
      <c r="M2231">
        <v>6.8394291798046865E-4</v>
      </c>
      <c r="N2231">
        <v>6.884786748864706E-2</v>
      </c>
      <c r="O2231">
        <v>9.0605366614466935E-3</v>
      </c>
      <c r="P2231">
        <v>1.2716092231135906E-2</v>
      </c>
      <c r="Q2231">
        <v>3.0506952372781819E-3</v>
      </c>
      <c r="R2231">
        <v>6.7203164854368904E-4</v>
      </c>
      <c r="S2231">
        <v>8.7125076148320393E-2</v>
      </c>
      <c r="T2231">
        <v>0.81555948575672788</v>
      </c>
      <c r="U2231">
        <v>1.7197789106206098E-2</v>
      </c>
      <c r="V2231">
        <v>1.041478558912648E-2</v>
      </c>
      <c r="W2231">
        <v>4.1056924660953169E-2</v>
      </c>
      <c r="X2231">
        <v>9.8669970118883156E-3</v>
      </c>
      <c r="Y2231">
        <v>1.8290486121625182E-3</v>
      </c>
    </row>
    <row r="2232" spans="1:25">
      <c r="A2232" s="876"/>
      <c r="B2232" s="1202">
        <v>1982</v>
      </c>
      <c r="C2232" s="880">
        <v>0.99865565147048097</v>
      </c>
      <c r="D2232" s="880">
        <v>0.97765173913045778</v>
      </c>
      <c r="E2232" s="880">
        <v>0.99249705317724146</v>
      </c>
      <c r="F2232" s="880">
        <v>1.0024512758056765</v>
      </c>
      <c r="G2232" s="880">
        <v>1.017040868705186</v>
      </c>
      <c r="H2232" s="880">
        <v>0.99638993972732515</v>
      </c>
      <c r="I2232" s="880">
        <v>1.0142066531772529</v>
      </c>
      <c r="K2232">
        <v>1.0777872916853093</v>
      </c>
      <c r="L2232">
        <v>0</v>
      </c>
      <c r="M2232">
        <v>7.0794931510365165E-4</v>
      </c>
      <c r="N2232">
        <v>6.8913607149213532E-2</v>
      </c>
      <c r="O2232">
        <v>8.9061833565405989E-3</v>
      </c>
      <c r="P2232">
        <v>1.2628047976698921E-2</v>
      </c>
      <c r="Q2232">
        <v>2.9666003929809648E-3</v>
      </c>
      <c r="R2232">
        <v>6.959653190574339E-4</v>
      </c>
      <c r="S2232">
        <v>8.7658343655443532E-2</v>
      </c>
      <c r="T2232">
        <v>0.81644346797324407</v>
      </c>
      <c r="U2232">
        <v>1.6933393248265455E-2</v>
      </c>
      <c r="V2232">
        <v>1.0413265660859575E-2</v>
      </c>
      <c r="W2232">
        <v>4.140534652464057E-2</v>
      </c>
      <c r="X2232">
        <v>9.6368315698990847E-3</v>
      </c>
      <c r="Y2232">
        <v>1.8941881735685675E-3</v>
      </c>
    </row>
    <row r="2233" spans="1:25">
      <c r="A2233" s="876"/>
      <c r="B2233" s="1202">
        <v>1983</v>
      </c>
      <c r="C2233" s="880">
        <v>0.99119848795961163</v>
      </c>
      <c r="D2233" s="880">
        <v>1.0388048154004275</v>
      </c>
      <c r="E2233" s="880">
        <v>0.99884360044979359</v>
      </c>
      <c r="F2233" s="880">
        <v>0.98180298916044717</v>
      </c>
      <c r="G2233" s="880">
        <v>0.98552702099660561</v>
      </c>
      <c r="H2233" s="880">
        <v>0.96473483689852479</v>
      </c>
      <c r="I2233" s="880">
        <v>0.99640980841549875</v>
      </c>
      <c r="K2233">
        <v>1.0666244085896048</v>
      </c>
      <c r="L2233">
        <v>0</v>
      </c>
      <c r="M2233">
        <v>6.5982276849552851E-4</v>
      </c>
      <c r="N2233">
        <v>6.5467851861829365E-2</v>
      </c>
      <c r="O2233">
        <v>8.6877155730932763E-3</v>
      </c>
      <c r="P2233">
        <v>1.2620500048333478E-2</v>
      </c>
      <c r="Q2233">
        <v>2.9255784631009051E-3</v>
      </c>
      <c r="R2233">
        <v>6.4823562080511808E-4</v>
      </c>
      <c r="S2233">
        <v>8.3072518923912472E-2</v>
      </c>
      <c r="T2233">
        <v>0.81593014399857555</v>
      </c>
      <c r="U2233">
        <v>1.7060789611133324E-2</v>
      </c>
      <c r="V2233">
        <v>1.0413998022306286E-2</v>
      </c>
      <c r="W2233">
        <v>3.9164074035904432E-2</v>
      </c>
      <c r="X2233">
        <v>9.5285415300889291E-3</v>
      </c>
      <c r="Y2233">
        <v>1.7642836690165635E-3</v>
      </c>
    </row>
    <row r="2234" spans="1:25">
      <c r="A2234" s="876"/>
      <c r="B2234" s="1202">
        <v>1984</v>
      </c>
      <c r="C2234" s="880">
        <v>1.0340208664720514</v>
      </c>
      <c r="D2234" s="880">
        <v>1.002092138603035</v>
      </c>
      <c r="E2234" s="880">
        <v>0.99560320140861791</v>
      </c>
      <c r="F2234" s="880">
        <v>0.97520838213818561</v>
      </c>
      <c r="G2234" s="880">
        <v>0.97129372528937274</v>
      </c>
      <c r="H2234" s="880">
        <v>1.0415671274986504</v>
      </c>
      <c r="I2234" s="880">
        <v>1.0095016317287213</v>
      </c>
      <c r="K2234">
        <v>1.0733850473485569</v>
      </c>
      <c r="L2234">
        <v>0</v>
      </c>
      <c r="M2234">
        <v>7.0080600826244476E-4</v>
      </c>
      <c r="N2234">
        <v>6.8930357441313914E-2</v>
      </c>
      <c r="O2234">
        <v>8.4889506819311646E-3</v>
      </c>
      <c r="P2234">
        <v>1.2607468411130432E-2</v>
      </c>
      <c r="Q2234">
        <v>2.8417533212259588E-3</v>
      </c>
      <c r="R2234">
        <v>6.8943679804308764E-4</v>
      </c>
      <c r="S2234">
        <v>8.4811581087081839E-2</v>
      </c>
      <c r="T2234">
        <v>0.81619206440271852</v>
      </c>
      <c r="U2234">
        <v>1.6354243337128475E-2</v>
      </c>
      <c r="V2234">
        <v>1.040993631096896E-2</v>
      </c>
      <c r="W2234">
        <v>4.1327115672379726E-2</v>
      </c>
      <c r="X2234">
        <v>9.5565262014036412E-3</v>
      </c>
      <c r="Y2234">
        <v>1.8764196914938904E-3</v>
      </c>
    </row>
    <row r="2235" spans="1:25">
      <c r="A2235" s="876"/>
      <c r="B2235" s="1202">
        <v>1985</v>
      </c>
      <c r="C2235" s="880">
        <v>0.99958718677024216</v>
      </c>
      <c r="D2235" s="880">
        <v>1.0261308539483949</v>
      </c>
      <c r="E2235" s="880">
        <v>1.002135851546039</v>
      </c>
      <c r="F2235" s="880">
        <v>0.97996202007822253</v>
      </c>
      <c r="G2235" s="880">
        <v>1.0114310693187223</v>
      </c>
      <c r="H2235" s="880">
        <v>0.99351410791984329</v>
      </c>
      <c r="I2235" s="880">
        <v>0.98981974784676374</v>
      </c>
      <c r="K2235">
        <v>1.0699016319795516</v>
      </c>
      <c r="L2235">
        <v>0</v>
      </c>
      <c r="M2235">
        <v>6.7351877734116183E-4</v>
      </c>
      <c r="N2235">
        <v>6.7550743655080223E-2</v>
      </c>
      <c r="O2235">
        <v>8.6712135258647117E-3</v>
      </c>
      <c r="P2235">
        <v>1.2649547985353301E-2</v>
      </c>
      <c r="Q2235">
        <v>2.9270500036981564E-3</v>
      </c>
      <c r="R2235">
        <v>6.6204393285386497E-4</v>
      </c>
      <c r="S2235">
        <v>8.333515378427056E-2</v>
      </c>
      <c r="T2235">
        <v>0.8156643977041389</v>
      </c>
      <c r="U2235">
        <v>1.6917612680282707E-2</v>
      </c>
      <c r="V2235">
        <v>1.0413174943359183E-2</v>
      </c>
      <c r="W2235">
        <v>4.0319200179420193E-2</v>
      </c>
      <c r="X2235">
        <v>9.6631470200660343E-3</v>
      </c>
      <c r="Y2235">
        <v>1.8018653425044093E-3</v>
      </c>
    </row>
    <row r="2236" spans="1:25">
      <c r="A2236" s="876"/>
      <c r="B2236" s="1202">
        <v>1986</v>
      </c>
      <c r="C2236" s="880">
        <v>1.0073113180889066</v>
      </c>
      <c r="D2236" s="880">
        <v>0.9848856507675734</v>
      </c>
      <c r="E2236" s="880">
        <v>0.97781447299502289</v>
      </c>
      <c r="F2236" s="880">
        <v>0.96374302157998915</v>
      </c>
      <c r="G2236" s="880">
        <v>1.0111118916165669</v>
      </c>
      <c r="H2236" s="880">
        <v>0.99215398726248871</v>
      </c>
      <c r="I2236" s="880">
        <v>1.018127177098159</v>
      </c>
      <c r="K2236">
        <v>1.0742282818132567</v>
      </c>
      <c r="L2236">
        <v>0</v>
      </c>
      <c r="M2236">
        <v>7.1795141897101715E-4</v>
      </c>
      <c r="N2236">
        <v>6.6757768086557173E-2</v>
      </c>
      <c r="O2236">
        <v>8.7949478710662009E-3</v>
      </c>
      <c r="P2236">
        <v>1.249054036851628E-2</v>
      </c>
      <c r="Q2236">
        <v>2.8878802618064266E-3</v>
      </c>
      <c r="R2236">
        <v>7.057395586890998E-4</v>
      </c>
      <c r="S2236">
        <v>8.676629838999883E-2</v>
      </c>
      <c r="T2236">
        <v>0.81763626474981188</v>
      </c>
      <c r="U2236">
        <v>1.6787887281993017E-2</v>
      </c>
      <c r="V2236">
        <v>1.041242919302357E-2</v>
      </c>
      <c r="W2236">
        <v>4.0519300111355114E-2</v>
      </c>
      <c r="X2236">
        <v>9.2663869276401658E-3</v>
      </c>
      <c r="Y2236">
        <v>1.9207904317687327E-3</v>
      </c>
    </row>
    <row r="2237" spans="1:25">
      <c r="A2237" s="876"/>
      <c r="B2237" s="1202">
        <v>1987</v>
      </c>
      <c r="C2237" s="880">
        <v>0.9997590205642789</v>
      </c>
      <c r="D2237" s="880">
        <v>1.0290252588166211</v>
      </c>
      <c r="E2237" s="880">
        <v>1.0041318772514058</v>
      </c>
      <c r="F2237" s="880">
        <v>1.0141722312690176</v>
      </c>
      <c r="G2237" s="880">
        <v>0.97707026638723393</v>
      </c>
      <c r="H2237" s="880">
        <v>0.98355603927311508</v>
      </c>
      <c r="I2237" s="880">
        <v>0.9918345565279697</v>
      </c>
      <c r="K2237">
        <v>1.0682813560131117</v>
      </c>
      <c r="L2237">
        <v>0</v>
      </c>
      <c r="M2237">
        <v>6.6286420194383773E-4</v>
      </c>
      <c r="N2237">
        <v>6.6884194350297743E-2</v>
      </c>
      <c r="O2237">
        <v>8.656744035230729E-3</v>
      </c>
      <c r="P2237">
        <v>1.2661890462300193E-2</v>
      </c>
      <c r="Q2237">
        <v>2.9286331774716489E-3</v>
      </c>
      <c r="R2237">
        <v>6.5145420931678188E-4</v>
      </c>
      <c r="S2237">
        <v>8.3025865026104456E-2</v>
      </c>
      <c r="T2237">
        <v>0.81550346044491706</v>
      </c>
      <c r="U2237">
        <v>1.6914704962009506E-2</v>
      </c>
      <c r="V2237">
        <v>1.0413158227805353E-2</v>
      </c>
      <c r="W2237">
        <v>3.98669881264977E-2</v>
      </c>
      <c r="X2237">
        <v>9.6640835871660904E-3</v>
      </c>
      <c r="Y2237">
        <v>1.7730436059378944E-3</v>
      </c>
    </row>
    <row r="2238" spans="1:25">
      <c r="A2238" s="876"/>
      <c r="B2238" s="1202">
        <v>1988</v>
      </c>
      <c r="C2238" s="880">
        <v>1.0220415184636742</v>
      </c>
      <c r="D2238" s="880">
        <v>0.9978517244390257</v>
      </c>
      <c r="E2238" s="880">
        <v>0.97887893622299682</v>
      </c>
      <c r="F2238" s="880">
        <v>1.0128992232683931</v>
      </c>
      <c r="G2238" s="880">
        <v>1.003306673822669</v>
      </c>
      <c r="H2238" s="880">
        <v>0.97234758826327083</v>
      </c>
      <c r="I2238" s="880">
        <v>1.0201525257380188</v>
      </c>
      <c r="K2238">
        <v>1.066726536634852</v>
      </c>
      <c r="L2238">
        <v>0</v>
      </c>
      <c r="M2238">
        <v>6.8712865411725489E-4</v>
      </c>
      <c r="N2238">
        <v>6.4080347298617418E-2</v>
      </c>
      <c r="O2238">
        <v>8.6078931145815302E-3</v>
      </c>
      <c r="P2238">
        <v>1.246473929935369E-2</v>
      </c>
      <c r="Q2238">
        <v>2.8322979345071263E-3</v>
      </c>
      <c r="R2238">
        <v>6.7519149364013008E-4</v>
      </c>
      <c r="S2238">
        <v>8.4421383202763989E-2</v>
      </c>
      <c r="T2238">
        <v>0.81754954352571807</v>
      </c>
      <c r="U2238">
        <v>1.6545931413209453E-2</v>
      </c>
      <c r="V2238">
        <v>1.0411038265165744E-2</v>
      </c>
      <c r="W2238">
        <v>3.8865461768350637E-2</v>
      </c>
      <c r="X2238">
        <v>9.1221893041876414E-3</v>
      </c>
      <c r="Y2238">
        <v>1.8376486688723738E-3</v>
      </c>
    </row>
    <row r="2239" spans="1:25">
      <c r="A2239" s="876"/>
      <c r="B2239" s="1202">
        <v>1989</v>
      </c>
      <c r="C2239" s="880">
        <v>0.97961119583276624</v>
      </c>
      <c r="D2239" s="880">
        <v>1.0184065517897367</v>
      </c>
      <c r="E2239" s="880">
        <v>0.96805103519075386</v>
      </c>
      <c r="F2239" s="880">
        <v>1.0414102735987909</v>
      </c>
      <c r="G2239" s="880">
        <v>0.96750289270392775</v>
      </c>
      <c r="H2239" s="880">
        <v>1.0121595290731902</v>
      </c>
      <c r="I2239" s="880">
        <v>1.0009295016588238</v>
      </c>
      <c r="K2239">
        <v>1.0782489927484462</v>
      </c>
      <c r="L2239">
        <v>0</v>
      </c>
      <c r="M2239">
        <v>7.5515243928695765E-4</v>
      </c>
      <c r="N2239">
        <v>6.8132373869846025E-2</v>
      </c>
      <c r="O2239">
        <v>8.8836841004760261E-3</v>
      </c>
      <c r="P2239">
        <v>1.2417457220611031E-2</v>
      </c>
      <c r="Q2239">
        <v>2.8953244005438246E-3</v>
      </c>
      <c r="R2239">
        <v>7.4253073115061166E-4</v>
      </c>
      <c r="S2239">
        <v>8.6986900886396393E-2</v>
      </c>
      <c r="T2239">
        <v>0.8184334727726128</v>
      </c>
      <c r="U2239">
        <v>1.7262592483517594E-2</v>
      </c>
      <c r="V2239">
        <v>1.0415158123271798E-2</v>
      </c>
      <c r="W2239">
        <v>4.1636148028320587E-2</v>
      </c>
      <c r="X2239">
        <v>9.1775786959832316E-3</v>
      </c>
      <c r="Y2239">
        <v>2.0209238750022256E-3</v>
      </c>
    </row>
    <row r="2240" spans="1:25">
      <c r="A2240" s="876"/>
      <c r="B2240" s="1202">
        <v>1990</v>
      </c>
      <c r="C2240" s="880">
        <v>1.043873734393796</v>
      </c>
      <c r="D2240" s="880">
        <v>1.0094025380322178</v>
      </c>
      <c r="E2240" s="880">
        <v>0.98326883629155815</v>
      </c>
      <c r="F2240" s="880">
        <v>1.0232691873549329</v>
      </c>
      <c r="G2240" s="880">
        <v>0.95753592095323692</v>
      </c>
      <c r="H2240" s="880">
        <v>1.0014497979173012</v>
      </c>
      <c r="I2240" s="880">
        <v>0.98723181714045205</v>
      </c>
      <c r="K2240">
        <v>1.0624140225896264</v>
      </c>
      <c r="L2240">
        <v>0</v>
      </c>
      <c r="M2240">
        <v>6.8234645142771239E-4</v>
      </c>
      <c r="N2240">
        <v>6.4542859968487812E-2</v>
      </c>
      <c r="O2240">
        <v>8.37631259724189E-3</v>
      </c>
      <c r="P2240">
        <v>1.2444175469286363E-2</v>
      </c>
      <c r="Q2240">
        <v>2.7707944666054795E-3</v>
      </c>
      <c r="R2240">
        <v>6.7082713472039828E-4</v>
      </c>
      <c r="S2240">
        <v>8.0510888260710747E-2</v>
      </c>
      <c r="T2240">
        <v>0.81719230587441749</v>
      </c>
      <c r="U2240">
        <v>1.6199879649019821E-2</v>
      </c>
      <c r="V2240">
        <v>1.0409048922888213E-2</v>
      </c>
      <c r="W2240">
        <v>3.902700900784959E-2</v>
      </c>
      <c r="X2240">
        <v>9.1264973672224685E-3</v>
      </c>
      <c r="Y2240">
        <v>1.8257703226033958E-3</v>
      </c>
    </row>
    <row r="2241" spans="1:25">
      <c r="A2241" s="876"/>
      <c r="B2241" s="1202">
        <v>1991</v>
      </c>
      <c r="C2241" s="880">
        <v>1.0068807719854007</v>
      </c>
      <c r="D2241" s="880">
        <v>0.96680674788231502</v>
      </c>
      <c r="E2241" s="880">
        <v>0.98348013754436969</v>
      </c>
      <c r="F2241" s="880">
        <v>1.0165554125957257</v>
      </c>
      <c r="G2241" s="880">
        <v>1.027650298567288</v>
      </c>
      <c r="H2241" s="880">
        <v>0.98185776735522801</v>
      </c>
      <c r="I2241" s="880">
        <v>0.9901563722251987</v>
      </c>
      <c r="K2241">
        <v>1.0725305801261835</v>
      </c>
      <c r="L2241">
        <v>0</v>
      </c>
      <c r="M2241">
        <v>7.0937307918884961E-4</v>
      </c>
      <c r="N2241">
        <v>6.7124206282519541E-2</v>
      </c>
      <c r="O2241">
        <v>8.8862746017627104E-3</v>
      </c>
      <c r="P2241">
        <v>1.2512291433745135E-2</v>
      </c>
      <c r="Q2241">
        <v>2.930611830725341E-3</v>
      </c>
      <c r="R2241">
        <v>6.9719735346735867E-4</v>
      </c>
      <c r="S2241">
        <v>8.4834760677195489E-2</v>
      </c>
      <c r="T2241">
        <v>0.81717512723030006</v>
      </c>
      <c r="U2241">
        <v>1.6795065847376788E-2</v>
      </c>
      <c r="V2241">
        <v>1.0412470460328309E-2</v>
      </c>
      <c r="W2241">
        <v>4.0581930321216798E-2</v>
      </c>
      <c r="X2241">
        <v>9.39247580164187E-3</v>
      </c>
      <c r="Y2241">
        <v>1.897541365092348E-3</v>
      </c>
    </row>
    <row r="2242" spans="1:25">
      <c r="A2242" s="876"/>
      <c r="B2242" s="1202">
        <v>1992</v>
      </c>
      <c r="C2242" s="880">
        <v>0.99284770912756604</v>
      </c>
      <c r="D2242" s="880">
        <v>1.0154333934707631</v>
      </c>
      <c r="E2242" s="880">
        <v>0.99322979238683506</v>
      </c>
      <c r="F2242" s="880">
        <v>1.0360261538338584</v>
      </c>
      <c r="G2242" s="880">
        <v>1.0122264824058453</v>
      </c>
      <c r="H2242" s="880">
        <v>0.96515013253016135</v>
      </c>
      <c r="I2242" s="880">
        <v>0.99717624672176852</v>
      </c>
      <c r="K2242">
        <v>1.0686867569291751</v>
      </c>
      <c r="L2242">
        <v>0</v>
      </c>
      <c r="M2242">
        <v>6.7494394581897208E-4</v>
      </c>
      <c r="N2242">
        <v>6.5810832685342796E-2</v>
      </c>
      <c r="O2242">
        <v>8.7789027944441198E-3</v>
      </c>
      <c r="P2242">
        <v>1.2585269943039519E-2</v>
      </c>
      <c r="Q2242">
        <v>2.9346796014550836E-3</v>
      </c>
      <c r="R2242">
        <v>6.6311590690209382E-4</v>
      </c>
      <c r="S2242">
        <v>8.3955367858651209E-2</v>
      </c>
      <c r="T2242">
        <v>0.81638413245631847</v>
      </c>
      <c r="U2242">
        <v>1.7032449901921064E-2</v>
      </c>
      <c r="V2242">
        <v>1.0413835106270279E-2</v>
      </c>
      <c r="W2242">
        <v>3.9521188418946668E-2</v>
      </c>
      <c r="X2242">
        <v>9.4771432992151183E-3</v>
      </c>
      <c r="Y2242">
        <v>1.804782902487538E-3</v>
      </c>
    </row>
    <row r="2243" spans="1:25">
      <c r="A2243" s="876"/>
      <c r="B2243" s="1202">
        <v>1993</v>
      </c>
      <c r="C2243" s="880">
        <v>0.98145284859334814</v>
      </c>
      <c r="D2243" s="880">
        <v>0.96917995804826218</v>
      </c>
      <c r="E2243" s="880">
        <v>0.9779238908170661</v>
      </c>
      <c r="F2243" s="880">
        <v>1.0256895390402458</v>
      </c>
      <c r="G2243" s="880">
        <v>1.0209991680883446</v>
      </c>
      <c r="H2243" s="880">
        <v>1.0306980069496745</v>
      </c>
      <c r="I2243" s="880">
        <v>0.9688233480937043</v>
      </c>
      <c r="K2243">
        <v>1.0837159473761007</v>
      </c>
      <c r="L2243">
        <v>0</v>
      </c>
      <c r="M2243">
        <v>7.7190580284788347E-4</v>
      </c>
      <c r="N2243">
        <v>7.1847008057593947E-2</v>
      </c>
      <c r="O2243">
        <v>9.1045560044940733E-3</v>
      </c>
      <c r="P2243">
        <v>1.2497967384245646E-2</v>
      </c>
      <c r="Q2243">
        <v>2.986251162420924E-3</v>
      </c>
      <c r="R2243">
        <v>7.5928227057063373E-4</v>
      </c>
      <c r="S2243">
        <v>8.6806071740322691E-2</v>
      </c>
      <c r="T2243">
        <v>0.81762734877399068</v>
      </c>
      <c r="U2243">
        <v>1.7230199994008148E-2</v>
      </c>
      <c r="V2243">
        <v>1.0414971909082121E-2</v>
      </c>
      <c r="W2243">
        <v>4.3604949855354791E-2</v>
      </c>
      <c r="X2243">
        <v>9.5427299837038924E-3</v>
      </c>
      <c r="Y2243">
        <v>2.0665160431600398E-3</v>
      </c>
    </row>
    <row r="2244" spans="1:25">
      <c r="A2244" s="876"/>
      <c r="B2244" s="1202">
        <v>1994</v>
      </c>
      <c r="C2244" s="880">
        <v>1.0336921068420408</v>
      </c>
      <c r="D2244" s="880">
        <v>1.0194474383270611</v>
      </c>
      <c r="E2244" s="880">
        <v>1.0417389169430757</v>
      </c>
      <c r="F2244" s="880">
        <v>1.0125904605671381</v>
      </c>
      <c r="G2244" s="880">
        <v>0.96154275424914903</v>
      </c>
      <c r="H2244" s="880">
        <v>1.0004645889238897</v>
      </c>
      <c r="I2244" s="880">
        <v>1.0151031991259249</v>
      </c>
      <c r="K2244">
        <v>1.0672339062706169</v>
      </c>
      <c r="L2244">
        <v>0</v>
      </c>
      <c r="M2244">
        <v>6.0530178429303366E-4</v>
      </c>
      <c r="N2244">
        <v>6.8664248560916741E-2</v>
      </c>
      <c r="O2244">
        <v>8.4143288747846323E-3</v>
      </c>
      <c r="P2244">
        <v>1.2966873255753391E-2</v>
      </c>
      <c r="Q2244">
        <v>2.952846012373095E-3</v>
      </c>
      <c r="R2244">
        <v>5.9506567257441422E-4</v>
      </c>
      <c r="S2244">
        <v>8.3154342959569041E-2</v>
      </c>
      <c r="T2244">
        <v>0.81249661849157173</v>
      </c>
      <c r="U2244">
        <v>1.6359444707007446E-2</v>
      </c>
      <c r="V2244">
        <v>1.0409966212001357E-2</v>
      </c>
      <c r="W2244">
        <v>3.9904489114482113E-2</v>
      </c>
      <c r="X2244">
        <v>1.0301411596473124E-2</v>
      </c>
      <c r="Y2244">
        <v>1.6195725974013115E-3</v>
      </c>
    </row>
    <row r="2245" spans="1:25">
      <c r="A2245" s="876"/>
      <c r="B2245" s="1202">
        <v>1995</v>
      </c>
      <c r="C2245" s="880">
        <v>0.99075124558509209</v>
      </c>
      <c r="D2245" s="880">
        <v>0.99642212916806661</v>
      </c>
      <c r="E2245" s="880">
        <v>0.98723643665532446</v>
      </c>
      <c r="F2245" s="880">
        <v>1.0126219162628376</v>
      </c>
      <c r="G2245" s="880">
        <v>1.0297549771019883</v>
      </c>
      <c r="H2245" s="880">
        <v>0.99453148662224311</v>
      </c>
      <c r="I2245" s="880">
        <v>0.9724262367831833</v>
      </c>
      <c r="K2245">
        <v>1.0734021890297645</v>
      </c>
      <c r="L2245">
        <v>0</v>
      </c>
      <c r="M2245">
        <v>7.129299348610144E-4</v>
      </c>
      <c r="N2245">
        <v>6.8267186219481954E-2</v>
      </c>
      <c r="O2245">
        <v>8.8865442116369767E-3</v>
      </c>
      <c r="P2245">
        <v>1.2534230141064646E-2</v>
      </c>
      <c r="Q2245">
        <v>2.9485689160512743E-3</v>
      </c>
      <c r="R2245">
        <v>7.0082208435164723E-4</v>
      </c>
      <c r="S2245">
        <v>8.38526094874079E-2</v>
      </c>
      <c r="T2245">
        <v>0.81686999512513903</v>
      </c>
      <c r="U2245">
        <v>1.7068491148820863E-2</v>
      </c>
      <c r="V2245">
        <v>1.0414042296013584E-2</v>
      </c>
      <c r="W2245">
        <v>4.1165919116513905E-2</v>
      </c>
      <c r="X2245">
        <v>9.4993035304762954E-3</v>
      </c>
      <c r="Y2245">
        <v>1.9074066876671669E-3</v>
      </c>
    </row>
    <row r="2246" spans="1:25">
      <c r="A2246" s="876"/>
      <c r="B2246" s="1202">
        <v>1996</v>
      </c>
      <c r="C2246" s="880">
        <v>0.99276423469845232</v>
      </c>
      <c r="D2246" s="880">
        <v>0.9965191510242154</v>
      </c>
      <c r="E2246" s="880">
        <v>0.97844489514821631</v>
      </c>
      <c r="F2246" s="880">
        <v>1.0081131730074535</v>
      </c>
      <c r="G2246" s="880">
        <v>0.99483949228554958</v>
      </c>
      <c r="H2246" s="880">
        <v>1.0098045265989497</v>
      </c>
      <c r="I2246" s="880">
        <v>1.0182340269110139</v>
      </c>
      <c r="K2246">
        <v>1.0790254867318649</v>
      </c>
      <c r="L2246">
        <v>0</v>
      </c>
      <c r="M2246">
        <v>7.3583548625412844E-4</v>
      </c>
      <c r="N2246">
        <v>6.857496408188439E-2</v>
      </c>
      <c r="O2246">
        <v>8.8680647009199403E-3</v>
      </c>
      <c r="P2246">
        <v>1.2518176833541833E-2</v>
      </c>
      <c r="Q2246">
        <v>2.9163241027749943E-3</v>
      </c>
      <c r="R2246">
        <v>7.2352754933058901E-4</v>
      </c>
      <c r="S2246">
        <v>8.8181470053815589E-2</v>
      </c>
      <c r="T2246">
        <v>0.81758489998229766</v>
      </c>
      <c r="U2246">
        <v>1.703388203855763E-2</v>
      </c>
      <c r="V2246">
        <v>1.0413843339171404E-2</v>
      </c>
      <c r="W2246">
        <v>4.1604038192970379E-2</v>
      </c>
      <c r="X2246">
        <v>9.3729278643692408E-3</v>
      </c>
      <c r="Y2246">
        <v>1.9692034784853274E-3</v>
      </c>
    </row>
    <row r="2247" spans="1:25">
      <c r="A2247" s="876"/>
      <c r="B2247" s="1202">
        <v>1997</v>
      </c>
      <c r="C2247" s="880">
        <v>0.98997526898619803</v>
      </c>
      <c r="D2247" s="880">
        <v>1.0230130574782808</v>
      </c>
      <c r="E2247" s="880">
        <v>0.98466175283180324</v>
      </c>
      <c r="F2247" s="880">
        <v>1.0375232988185554</v>
      </c>
      <c r="G2247" s="880">
        <v>1.0197917099486824</v>
      </c>
      <c r="H2247" s="880">
        <v>1.0055618217590632</v>
      </c>
      <c r="I2247" s="880">
        <v>0.97842236532604021</v>
      </c>
      <c r="K2247">
        <v>1.0727978464724224</v>
      </c>
      <c r="L2247">
        <v>0</v>
      </c>
      <c r="M2247">
        <v>7.1523297810027156E-4</v>
      </c>
      <c r="N2247">
        <v>6.7951382736553365E-2</v>
      </c>
      <c r="O2247">
        <v>8.7695910014153576E-3</v>
      </c>
      <c r="P2247">
        <v>1.2511079668720995E-2</v>
      </c>
      <c r="Q2247">
        <v>2.9078749385281571E-3</v>
      </c>
      <c r="R2247">
        <v>7.0319609977313746E-4</v>
      </c>
      <c r="S2247">
        <v>8.3721799384461795E-2</v>
      </c>
      <c r="T2247">
        <v>0.81707909060092521</v>
      </c>
      <c r="U2247">
        <v>1.7081870018096506E-2</v>
      </c>
      <c r="V2247">
        <v>1.0414119206906772E-2</v>
      </c>
      <c r="W2247">
        <v>4.1048450579079625E-2</v>
      </c>
      <c r="X2247">
        <v>9.4107572410120615E-3</v>
      </c>
      <c r="Y2247">
        <v>1.9138679750504894E-3</v>
      </c>
    </row>
    <row r="2248" spans="1:25">
      <c r="A2248" s="876"/>
      <c r="B2248" s="1202">
        <v>1998</v>
      </c>
      <c r="C2248" s="880">
        <v>1.0147308452587758</v>
      </c>
      <c r="D2248" s="880">
        <v>1.0247719633544532</v>
      </c>
      <c r="E2248" s="880">
        <v>1.0076902996301862</v>
      </c>
      <c r="F2248" s="880">
        <v>1.0271094887429859</v>
      </c>
      <c r="G2248" s="880">
        <v>0.97742281009540644</v>
      </c>
      <c r="H2248" s="880">
        <v>1.0243009151120976</v>
      </c>
      <c r="I2248" s="880">
        <v>0.99160397188017746</v>
      </c>
      <c r="K2248">
        <v>1.071518073295062</v>
      </c>
      <c r="L2248">
        <v>0</v>
      </c>
      <c r="M2248">
        <v>6.7654171561956557E-4</v>
      </c>
      <c r="N2248">
        <v>6.9072312199882469E-2</v>
      </c>
      <c r="O2248">
        <v>8.5478298217837936E-3</v>
      </c>
      <c r="P2248">
        <v>1.269255431610848E-2</v>
      </c>
      <c r="Q2248">
        <v>2.9012275280256329E-3</v>
      </c>
      <c r="R2248">
        <v>6.6536288544635574E-4</v>
      </c>
      <c r="S2248">
        <v>8.3355362625402107E-2</v>
      </c>
      <c r="T2248">
        <v>0.81521688500702083</v>
      </c>
      <c r="U2248">
        <v>1.6665137307065772E-2</v>
      </c>
      <c r="V2248">
        <v>1.0411723542193397E-2</v>
      </c>
      <c r="W2248">
        <v>4.1071526478325585E-2</v>
      </c>
      <c r="X2248">
        <v>9.7837948620572487E-3</v>
      </c>
      <c r="Y2248">
        <v>1.8108984373687409E-3</v>
      </c>
    </row>
    <row r="2249" spans="1:25">
      <c r="A2249" s="876"/>
      <c r="B2249" s="1202">
        <v>1999</v>
      </c>
      <c r="C2249" s="880">
        <v>1.0287198420333463</v>
      </c>
      <c r="D2249" s="880">
        <v>1.017313711185897</v>
      </c>
      <c r="E2249" s="880">
        <v>0.9982023753520699</v>
      </c>
      <c r="F2249" s="880">
        <v>1.023833152260621</v>
      </c>
      <c r="G2249" s="880">
        <v>0.99852859705369812</v>
      </c>
      <c r="H2249" s="880">
        <v>0.99531604699295506</v>
      </c>
      <c r="I2249" s="880">
        <v>1.0132905777238526</v>
      </c>
      <c r="K2249">
        <v>1.0664738759602406</v>
      </c>
      <c r="L2249">
        <v>0</v>
      </c>
      <c r="M2249">
        <v>6.6412174247225018E-4</v>
      </c>
      <c r="N2249">
        <v>6.5800904545924382E-2</v>
      </c>
      <c r="O2249">
        <v>8.4644348547546124E-3</v>
      </c>
      <c r="P2249">
        <v>1.2609920339128182E-2</v>
      </c>
      <c r="Q2249">
        <v>2.8441592982253725E-3</v>
      </c>
      <c r="R2249">
        <v>6.5283456930462398E-4</v>
      </c>
      <c r="S2249">
        <v>8.3314303126574243E-2</v>
      </c>
      <c r="T2249">
        <v>0.81598194571471749</v>
      </c>
      <c r="U2249">
        <v>1.6438517247346168E-2</v>
      </c>
      <c r="V2249">
        <v>1.0410420775057411E-2</v>
      </c>
      <c r="W2249">
        <v>3.9380604654438371E-2</v>
      </c>
      <c r="X2249">
        <v>9.4631520864516382E-3</v>
      </c>
      <c r="Y2249">
        <v>1.7768004907892539E-3</v>
      </c>
    </row>
    <row r="2250" spans="1:25">
      <c r="A2250" s="876"/>
      <c r="B2250" s="1202">
        <v>2000</v>
      </c>
      <c r="C2250" s="880">
        <v>0.99861939827851554</v>
      </c>
      <c r="D2250" s="880">
        <v>1.0178276816264629</v>
      </c>
      <c r="E2250" s="880">
        <v>0.95988870309007279</v>
      </c>
      <c r="F2250" s="880">
        <v>1.0085225081536384</v>
      </c>
      <c r="G2250" s="880">
        <v>0.98827991805230331</v>
      </c>
      <c r="H2250" s="880">
        <v>1.0087522047901292</v>
      </c>
      <c r="I2250" s="880">
        <v>0.96804241703609628</v>
      </c>
      <c r="K2250">
        <v>1.0702770345388055</v>
      </c>
      <c r="L2250">
        <v>0</v>
      </c>
      <c r="M2250">
        <v>7.512381923439074E-4</v>
      </c>
      <c r="N2250">
        <v>6.6071469773146235E-2</v>
      </c>
      <c r="O2250">
        <v>8.7172259235814998E-3</v>
      </c>
      <c r="P2250">
        <v>1.2283679087401486E-2</v>
      </c>
      <c r="Q2250">
        <v>2.8172720538663233E-3</v>
      </c>
      <c r="R2250">
        <v>7.3864001715368206E-4</v>
      </c>
      <c r="S2250">
        <v>8.2433808149011675E-2</v>
      </c>
      <c r="T2250">
        <v>0.81910241488255242</v>
      </c>
      <c r="U2250">
        <v>1.6934007986530244E-2</v>
      </c>
      <c r="V2250">
        <v>1.0413269194795681E-2</v>
      </c>
      <c r="W2250">
        <v>4.0608658053643679E-2</v>
      </c>
      <c r="X2250">
        <v>8.8974929753883897E-3</v>
      </c>
      <c r="Y2250">
        <v>2.0103346340761079E-3</v>
      </c>
    </row>
  </sheetData>
  <mergeCells count="3">
    <mergeCell ref="P12:Q12"/>
    <mergeCell ref="R12:U12"/>
    <mergeCell ref="B11:C11"/>
  </mergeCells>
  <dataValidations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tabSelected="1" topLeftCell="A44" zoomScale="137" zoomScaleNormal="85" workbookViewId="0">
      <selection activeCell="B51" sqref="B51"/>
    </sheetView>
  </sheetViews>
  <sheetFormatPr baseColWidth="10" defaultColWidth="11" defaultRowHeight="13"/>
  <cols>
    <col min="1" max="1" width="27.33203125" style="48" customWidth="1"/>
    <col min="2" max="2" width="28.6640625" style="48" customWidth="1"/>
    <col min="3" max="3" width="25.33203125" style="48" customWidth="1"/>
    <col min="4" max="4" width="18.6640625" style="48" customWidth="1"/>
    <col min="5" max="5" width="49.6640625" style="48" customWidth="1"/>
    <col min="6" max="6" width="24.6640625" style="48" customWidth="1"/>
    <col min="7" max="7" width="25.6640625" style="48" customWidth="1"/>
    <col min="8" max="8" width="21.33203125" style="48" customWidth="1"/>
    <col min="9" max="9" width="29.6640625" style="48" customWidth="1"/>
    <col min="10" max="10" width="27.33203125" style="48" customWidth="1"/>
    <col min="11" max="11" width="25" style="48" customWidth="1"/>
    <col min="12" max="12" width="25.6640625" style="48" customWidth="1"/>
    <col min="13" max="13" width="21" style="48" customWidth="1"/>
    <col min="14" max="14" width="22.6640625" style="48" customWidth="1"/>
    <col min="15" max="15" width="28.33203125" style="48" customWidth="1"/>
    <col min="16" max="16" width="28.6640625" style="48" customWidth="1"/>
    <col min="17" max="17" width="26.6640625" style="48" customWidth="1"/>
    <col min="18" max="18" width="23.5" style="48" customWidth="1"/>
    <col min="19" max="19" width="22.33203125" style="48" customWidth="1"/>
    <col min="20" max="20" width="20.6640625" style="48" customWidth="1"/>
    <col min="21" max="21" width="21.5" style="48" customWidth="1"/>
    <col min="22" max="22" width="18.6640625" style="48" customWidth="1"/>
    <col min="23" max="23" width="20.5" style="48" customWidth="1"/>
    <col min="24" max="24" width="19.33203125" style="48" customWidth="1"/>
    <col min="25" max="25" width="14.6640625" style="48" customWidth="1"/>
    <col min="26" max="26" width="15.6640625" style="48" customWidth="1"/>
    <col min="27" max="27" width="15.5" style="48" customWidth="1"/>
    <col min="28" max="28" width="15.6640625" style="48" customWidth="1"/>
    <col min="29" max="29" width="16.6640625" style="48" customWidth="1"/>
    <col min="30" max="30" width="14.6640625" style="48" customWidth="1"/>
    <col min="31" max="31" width="15.5" style="48" customWidth="1"/>
    <col min="32" max="32" width="11" style="48"/>
    <col min="33" max="33" width="14.6640625" style="48" customWidth="1"/>
    <col min="34" max="16384" width="11" style="48"/>
  </cols>
  <sheetData>
    <row r="1" spans="1:20" ht="15" customHeight="1" thickBot="1">
      <c r="D1" s="37"/>
    </row>
    <row r="2" spans="1:20" ht="15" customHeight="1" thickTop="1">
      <c r="A2" s="513" t="s">
        <v>491</v>
      </c>
      <c r="B2" s="507"/>
      <c r="C2" s="508"/>
      <c r="D2" s="37"/>
    </row>
    <row r="3" spans="1:20" ht="15" customHeight="1">
      <c r="A3" s="514" t="s">
        <v>492</v>
      </c>
      <c r="B3" s="509"/>
      <c r="C3" s="510"/>
      <c r="F3" s="36"/>
      <c r="G3" s="37"/>
    </row>
    <row r="4" spans="1:20" ht="30.75" customHeight="1">
      <c r="A4" s="514" t="s">
        <v>493</v>
      </c>
      <c r="B4" s="509"/>
      <c r="C4" s="510"/>
      <c r="T4" s="141"/>
    </row>
    <row r="5" spans="1:20" ht="26.25" customHeight="1">
      <c r="A5" s="514" t="s">
        <v>79</v>
      </c>
      <c r="B5" s="509"/>
      <c r="C5" s="510"/>
      <c r="T5" s="141"/>
    </row>
    <row r="6" spans="1:20" ht="15" customHeight="1" thickBot="1">
      <c r="A6" s="515" t="s">
        <v>494</v>
      </c>
      <c r="B6" s="511"/>
      <c r="C6" s="512"/>
      <c r="T6" s="141"/>
    </row>
    <row r="7" spans="1:20" ht="15" customHeight="1" thickTop="1">
      <c r="T7" s="141"/>
    </row>
    <row r="8" spans="1:20" ht="15" customHeight="1">
      <c r="T8" s="141"/>
    </row>
    <row r="9" spans="1:20" ht="15" customHeight="1">
      <c r="T9" s="141"/>
    </row>
    <row r="10" spans="1:20" ht="15" customHeight="1">
      <c r="T10" s="141"/>
    </row>
    <row r="11" spans="1:20" ht="15" customHeight="1">
      <c r="T11" s="141"/>
    </row>
    <row r="12" spans="1:20" ht="29.25" customHeight="1">
      <c r="T12" s="141"/>
    </row>
    <row r="13" spans="1:20" ht="15" customHeight="1">
      <c r="A13" s="129"/>
      <c r="G13" s="36"/>
      <c r="H13" s="37"/>
    </row>
    <row r="14" spans="1:20" ht="15" customHeight="1" thickBot="1">
      <c r="A14" s="126"/>
    </row>
    <row r="15" spans="1:20" ht="29.25" customHeight="1" thickTop="1" thickBot="1">
      <c r="A15" s="145" t="s">
        <v>89</v>
      </c>
      <c r="B15" s="140"/>
      <c r="D15" s="1557" t="s">
        <v>65</v>
      </c>
      <c r="E15" s="1558"/>
    </row>
    <row r="16" spans="1:20" ht="29" thickTop="1">
      <c r="A16" s="146" t="s">
        <v>90</v>
      </c>
      <c r="B16" s="147"/>
      <c r="D16" s="294" t="str">
        <f>"Hydrogen Cost (Year "&amp;TEXT(ref_year,"0")&amp;" Real $/kg)"</f>
        <v>Hydrogen Cost (Year 2016 Real $/kg)</v>
      </c>
      <c r="E16" s="988">
        <f ca="1">H2_price_nominal/INFLATION_FACTOR</f>
        <v>1.083038149663631</v>
      </c>
    </row>
    <row r="17" spans="1:10" ht="28">
      <c r="A17" s="148" t="s">
        <v>91</v>
      </c>
      <c r="B17" s="149">
        <f ca="1">output_kgyear</f>
        <v>158673384</v>
      </c>
      <c r="D17" s="130" t="s">
        <v>932</v>
      </c>
      <c r="E17" s="865">
        <f ca="1">+SUM(X57:AB57)/AC57*(1+inflation_rate)^construct</f>
        <v>1.0628441115442897</v>
      </c>
    </row>
    <row r="18" spans="1:10" ht="28">
      <c r="A18" s="148" t="s">
        <v>92</v>
      </c>
      <c r="B18" s="149">
        <f ca="1">B17*H2_LHV_MJ_p_kg/1000/mmBTU_to_GJ</f>
        <v>18079988.099030502</v>
      </c>
      <c r="D18" s="131" t="s">
        <v>980</v>
      </c>
      <c r="E18" s="132">
        <f ca="1">((E20+1)/(1+B30))-1</f>
        <v>8.0000000000001847E-2</v>
      </c>
    </row>
    <row r="19" spans="1:10" ht="28.5" customHeight="1">
      <c r="A19" s="148" t="s">
        <v>93</v>
      </c>
      <c r="B19" s="149">
        <f ca="1">B17*H2_LHV_MJ_p_kg</f>
        <v>19074387444.477177</v>
      </c>
      <c r="C19" s="128"/>
      <c r="D19" s="131" t="s">
        <v>988</v>
      </c>
      <c r="E19" s="132">
        <f ca="1">((E21+1)/(1+B30))-1</f>
        <v>0.11345174935439273</v>
      </c>
    </row>
    <row r="20" spans="1:10" ht="15" customHeight="1">
      <c r="A20" s="150" t="s">
        <v>94</v>
      </c>
      <c r="B20" s="149">
        <f ca="1">design_cap</f>
        <v>483024</v>
      </c>
      <c r="D20" s="133" t="s">
        <v>979</v>
      </c>
      <c r="E20" s="134">
        <f ca="1">IRR(AA65:AA113)</f>
        <v>0.10052000000000172</v>
      </c>
    </row>
    <row r="21" spans="1:10" ht="15" customHeight="1">
      <c r="A21" s="150" t="s">
        <v>95</v>
      </c>
      <c r="B21" s="149">
        <f ca="1">B20*365</f>
        <v>176303760</v>
      </c>
      <c r="D21" s="133" t="s">
        <v>987</v>
      </c>
      <c r="E21" s="134">
        <f ca="1">IRR(AC65:AC113)</f>
        <v>0.13460733259212598</v>
      </c>
    </row>
    <row r="22" spans="1:10" ht="15" customHeight="1">
      <c r="A22" s="151" t="s">
        <v>96</v>
      </c>
      <c r="B22" s="152">
        <f ca="1">cap_factor</f>
        <v>0.9</v>
      </c>
      <c r="D22" s="136" t="s">
        <v>66</v>
      </c>
      <c r="E22" s="137">
        <f ca="1">(real_irr*(1+real_irr)^anal_period)/(((1+real_irr)^anal_period)-1)</f>
        <v>8.3860161500585326E-2</v>
      </c>
    </row>
    <row r="23" spans="1:10" ht="15" customHeight="1">
      <c r="A23" s="150"/>
      <c r="B23" s="147"/>
      <c r="D23" s="136" t="s">
        <v>76</v>
      </c>
      <c r="E23" s="137">
        <f ca="1">(nominal_irr*(1+nominal_irr)^anal_period)/(((1+nominal_irr)^anal_period)-1)</f>
        <v>0.10274768859314053</v>
      </c>
    </row>
    <row r="24" spans="1:10" ht="24.75" customHeight="1">
      <c r="A24" s="146" t="s">
        <v>97</v>
      </c>
      <c r="B24" s="147"/>
      <c r="D24" s="133" t="s">
        <v>77</v>
      </c>
      <c r="E24" s="137">
        <f ca="1">(E22*(1-total_tax_rate*INDEX(Depreciation!B12:H37,MATCH("NPV - Real IRR",Depreciation!B12:B37,0),MATCH(depr_length,recovery_period,0))))/(1-total_tax_rate)</f>
        <v>9.8212531813322054E-2</v>
      </c>
    </row>
    <row r="25" spans="1:10" ht="15" customHeight="1">
      <c r="A25" s="131" t="s">
        <v>98</v>
      </c>
      <c r="B25" s="153">
        <f>startup_year</f>
        <v>2015</v>
      </c>
      <c r="D25" s="136" t="s">
        <v>78</v>
      </c>
      <c r="E25" s="137">
        <f ca="1">(E23*(1-total_tax_rate*INDEX(Depreciation!B12:H37,MATCH("NPV - Nominal IRR",Depreciation!B12:B37,0),MATCH(depr_length,recovery_period,0))))/(1-total_tax_rate)</f>
        <v>0.12265813940348715</v>
      </c>
    </row>
    <row r="26" spans="1:10" ht="15" customHeight="1" thickBot="1">
      <c r="A26" s="150" t="s">
        <v>99</v>
      </c>
      <c r="B26" s="144">
        <f ca="1">real_irr</f>
        <v>0.08</v>
      </c>
      <c r="C26" s="154"/>
      <c r="D26" s="138" t="s">
        <v>249</v>
      </c>
      <c r="E26" s="864">
        <f ca="1">NPV(nominal_irr,AA65:AA113)</f>
        <v>6.9223809293375993E-7</v>
      </c>
    </row>
    <row r="27" spans="1:10" ht="15" customHeight="1" thickTop="1">
      <c r="A27" s="131" t="s">
        <v>985</v>
      </c>
      <c r="B27" s="144">
        <f ca="1">((1+B26)*(1+B30))-1</f>
        <v>0.10051999999999994</v>
      </c>
      <c r="C27" s="154"/>
      <c r="D27"/>
    </row>
    <row r="28" spans="1:10" ht="15" customHeight="1">
      <c r="A28" s="150" t="s">
        <v>100</v>
      </c>
      <c r="B28" s="153">
        <f>anal_period</f>
        <v>40</v>
      </c>
      <c r="C28" s="154"/>
      <c r="D28"/>
      <c r="F28"/>
    </row>
    <row r="29" spans="1:10" ht="15" customHeight="1">
      <c r="A29" s="150" t="s">
        <v>101</v>
      </c>
      <c r="B29" s="153">
        <f>plant_life</f>
        <v>40</v>
      </c>
      <c r="C29" s="154"/>
      <c r="D29"/>
    </row>
    <row r="30" spans="1:10" ht="15" customHeight="1">
      <c r="A30" s="150" t="s">
        <v>102</v>
      </c>
      <c r="B30" s="144">
        <f>inflation_rate</f>
        <v>1.9E-2</v>
      </c>
      <c r="F30" s="28"/>
      <c r="G30" s="863"/>
      <c r="H30" s="863"/>
      <c r="I30" s="863"/>
      <c r="J30" s="863"/>
    </row>
    <row r="31" spans="1:10" ht="15" customHeight="1">
      <c r="A31" s="150" t="s">
        <v>103</v>
      </c>
      <c r="B31" s="155">
        <f>100%-equity</f>
        <v>0.6</v>
      </c>
    </row>
    <row r="32" spans="1:10" ht="15" customHeight="1">
      <c r="A32" s="131" t="s">
        <v>104</v>
      </c>
      <c r="B32" s="156">
        <f>equity</f>
        <v>0.4</v>
      </c>
    </row>
    <row r="33" spans="1:12" ht="15" customHeight="1">
      <c r="A33" s="131" t="s">
        <v>105</v>
      </c>
      <c r="B33" s="144">
        <f>total_tax_rate</f>
        <v>0.25739999999999996</v>
      </c>
    </row>
    <row r="34" spans="1:12" ht="15" customHeight="1">
      <c r="A34" s="131"/>
      <c r="B34" s="157"/>
    </row>
    <row r="35" spans="1:12" ht="28.5" customHeight="1">
      <c r="A35" s="158" t="s">
        <v>106</v>
      </c>
      <c r="B35" s="159"/>
    </row>
    <row r="36" spans="1:12" ht="15" customHeight="1">
      <c r="A36" s="150" t="s">
        <v>107</v>
      </c>
      <c r="B36" s="153">
        <f>debt_period</f>
        <v>0</v>
      </c>
    </row>
    <row r="37" spans="1:12" ht="15" customHeight="1">
      <c r="A37" s="150" t="s">
        <v>108</v>
      </c>
      <c r="B37" s="160">
        <f>debt_interest</f>
        <v>3.6999999999999998E-2</v>
      </c>
      <c r="K37" s="863"/>
    </row>
    <row r="38" spans="1:12" ht="15" customHeight="1">
      <c r="A38" s="131"/>
      <c r="B38" s="147"/>
      <c r="K38" s="863"/>
    </row>
    <row r="39" spans="1:12" ht="28.5" customHeight="1">
      <c r="A39" s="158" t="s">
        <v>109</v>
      </c>
      <c r="B39" s="147"/>
      <c r="F39" s="863"/>
      <c r="G39" s="863"/>
      <c r="H39" s="863"/>
      <c r="I39" s="863"/>
      <c r="J39" s="863"/>
      <c r="K39" s="863"/>
      <c r="L39" s="863"/>
    </row>
    <row r="40" spans="1:12" ht="15" customHeight="1">
      <c r="A40" s="131" t="s">
        <v>110</v>
      </c>
      <c r="B40" s="153">
        <f>construct</f>
        <v>3</v>
      </c>
      <c r="G40" s="863"/>
      <c r="H40" s="863"/>
    </row>
    <row r="41" spans="1:12" ht="15" customHeight="1">
      <c r="A41" s="131" t="s">
        <v>111</v>
      </c>
      <c r="B41" s="152">
        <f>start_time</f>
        <v>1</v>
      </c>
    </row>
    <row r="42" spans="1:12" ht="15" customHeight="1">
      <c r="A42" s="148" t="s">
        <v>112</v>
      </c>
      <c r="B42" s="155">
        <f>percnt_revs</f>
        <v>1</v>
      </c>
    </row>
    <row r="43" spans="1:12" ht="15" customHeight="1">
      <c r="A43" s="148" t="s">
        <v>113</v>
      </c>
      <c r="B43" s="155">
        <f>percnt_var</f>
        <v>1</v>
      </c>
    </row>
    <row r="44" spans="1:12" ht="15" customHeight="1">
      <c r="A44" s="148" t="s">
        <v>114</v>
      </c>
      <c r="B44" s="155">
        <f>percnt_fixed</f>
        <v>1</v>
      </c>
    </row>
    <row r="45" spans="1:12" ht="15" customHeight="1">
      <c r="A45" s="131"/>
      <c r="B45" s="147"/>
    </row>
    <row r="46" spans="1:12" ht="28.5" customHeight="1">
      <c r="A46" s="158" t="s">
        <v>115</v>
      </c>
      <c r="B46" s="147"/>
      <c r="F46" s="161"/>
    </row>
    <row r="47" spans="1:12" ht="15" customHeight="1">
      <c r="A47" s="131" t="s">
        <v>387</v>
      </c>
      <c r="B47" s="162" t="str">
        <f>depr_type</f>
        <v>MACRS</v>
      </c>
      <c r="F47" s="161"/>
    </row>
    <row r="48" spans="1:12" ht="15" customHeight="1">
      <c r="A48" s="131" t="s">
        <v>53</v>
      </c>
      <c r="B48" s="153">
        <f>depr_length</f>
        <v>20</v>
      </c>
      <c r="F48" s="161"/>
    </row>
    <row r="49" spans="1:32" ht="15" customHeight="1">
      <c r="A49" s="131"/>
      <c r="B49" s="147"/>
      <c r="F49" s="161"/>
    </row>
    <row r="50" spans="1:32" ht="28.5" customHeight="1">
      <c r="A50" s="158" t="s">
        <v>116</v>
      </c>
      <c r="B50" s="147"/>
    </row>
    <row r="51" spans="1:32" ht="30.75" customHeight="1">
      <c r="A51" s="130" t="s">
        <v>976</v>
      </c>
      <c r="B51" s="163">
        <f ca="1">(total_cap-non_dep_cap)*INFLATION_FACTOR</f>
        <v>273669994.56265068</v>
      </c>
      <c r="F51" s="161"/>
    </row>
    <row r="52" spans="1:32" ht="30" customHeight="1" thickBot="1">
      <c r="A52" s="130" t="s">
        <v>978</v>
      </c>
      <c r="B52" s="163">
        <f ca="1">non_dep_cap*INFLATION_FACTOR</f>
        <v>4703057.8307993943</v>
      </c>
      <c r="F52" s="161"/>
    </row>
    <row r="53" spans="1:32" ht="15" customHeight="1" thickBot="1">
      <c r="A53" s="130" t="s">
        <v>117</v>
      </c>
      <c r="B53" s="163">
        <f ca="1">SUM(B51:B52)</f>
        <v>278373052.39345008</v>
      </c>
      <c r="F53" s="161"/>
      <c r="W53" s="1559" t="s">
        <v>1169</v>
      </c>
      <c r="X53" s="1560"/>
      <c r="Y53" s="910"/>
      <c r="Z53" s="910"/>
      <c r="AA53" s="910"/>
      <c r="AB53" s="910"/>
      <c r="AC53" s="911"/>
    </row>
    <row r="54" spans="1:32" ht="15" customHeight="1" thickTop="1">
      <c r="A54" s="130" t="s">
        <v>981</v>
      </c>
      <c r="B54" s="163">
        <f ca="1">decom_percent*depr_cap_infl</f>
        <v>27366999.45626507</v>
      </c>
      <c r="F54" s="161"/>
      <c r="W54" s="912"/>
      <c r="X54" s="905" t="s">
        <v>83</v>
      </c>
      <c r="Y54" s="906" t="s">
        <v>1119</v>
      </c>
      <c r="Z54" s="906" t="s">
        <v>1120</v>
      </c>
      <c r="AA54" s="905" t="s">
        <v>1121</v>
      </c>
      <c r="AB54" s="906" t="s">
        <v>1126</v>
      </c>
      <c r="AC54" s="913" t="s">
        <v>1122</v>
      </c>
    </row>
    <row r="55" spans="1:32" ht="15" customHeight="1">
      <c r="A55" s="130" t="s">
        <v>990</v>
      </c>
      <c r="B55" s="163">
        <f ca="1">salvage_perct*B53</f>
        <v>27837305.23934501</v>
      </c>
      <c r="F55" s="161"/>
      <c r="W55" s="914" t="s">
        <v>1117</v>
      </c>
      <c r="X55" s="907">
        <f ca="1">-SUM(H116:K116)</f>
        <v>140345945.33040524</v>
      </c>
      <c r="Y55" s="907">
        <f ca="1">-U116</f>
        <v>100769882.41491413</v>
      </c>
      <c r="Z55" s="907">
        <f ca="1">-Z116</f>
        <v>2778065.1294951662</v>
      </c>
      <c r="AA55" s="907">
        <f ca="1">-SUM(L116:S116)</f>
        <v>1471670936.0385556</v>
      </c>
      <c r="AB55" s="907">
        <f ca="1">+AF116</f>
        <v>0</v>
      </c>
      <c r="AC55" s="915">
        <f ca="1">+AE116</f>
        <v>1622186857.4734645</v>
      </c>
    </row>
    <row r="56" spans="1:32" ht="15" customHeight="1">
      <c r="A56" s="150" t="s">
        <v>982</v>
      </c>
      <c r="B56" s="55">
        <f ca="1">fixed*INFLATION_FACTOR</f>
        <v>13309863.100554148</v>
      </c>
      <c r="F56" s="161"/>
      <c r="W56" s="914" t="s">
        <v>1127</v>
      </c>
      <c r="X56" s="908">
        <v>1</v>
      </c>
      <c r="Y56" s="908">
        <f>-total_tax_rate</f>
        <v>-0.25739999999999996</v>
      </c>
      <c r="Z56" s="908">
        <v>1</v>
      </c>
      <c r="AA56" s="908">
        <f>1-total_tax_rate</f>
        <v>0.74260000000000004</v>
      </c>
      <c r="AB56" s="908">
        <v>-1</v>
      </c>
      <c r="AC56" s="916">
        <f>1-total_tax_rate</f>
        <v>0.74260000000000004</v>
      </c>
    </row>
    <row r="57" spans="1:32" ht="15" customHeight="1">
      <c r="A57" s="150" t="s">
        <v>983</v>
      </c>
      <c r="B57" s="55">
        <f ca="1">total_other_raw*INFLATION_FACTOR</f>
        <v>2633235.2382028904</v>
      </c>
      <c r="F57" s="161"/>
      <c r="W57" s="914" t="s">
        <v>1118</v>
      </c>
      <c r="X57" s="909">
        <f t="shared" ref="X57:AC57" ca="1" si="0">+X55*X56</f>
        <v>140345945.33040524</v>
      </c>
      <c r="Y57" s="909">
        <f t="shared" ca="1" si="0"/>
        <v>-25938167.733598895</v>
      </c>
      <c r="Z57" s="909">
        <f t="shared" ca="1" si="0"/>
        <v>2778065.1294951662</v>
      </c>
      <c r="AA57" s="909">
        <f t="shared" ca="1" si="0"/>
        <v>1092862837.1022315</v>
      </c>
      <c r="AB57" s="909">
        <f t="shared" ca="1" si="0"/>
        <v>0</v>
      </c>
      <c r="AC57" s="917">
        <f t="shared" ca="1" si="0"/>
        <v>1204635960.3597949</v>
      </c>
    </row>
    <row r="58" spans="1:32" ht="45.75" customHeight="1" thickBot="1">
      <c r="A58" s="164" t="s">
        <v>984</v>
      </c>
      <c r="B58" s="57">
        <f ca="1">(var_misc+royalties+operator_profit+CO2_OandMcost+waste_treat+solidwaste_treat)*INFLATION_FACTOR</f>
        <v>15137.637567811083</v>
      </c>
      <c r="F58" s="161"/>
      <c r="W58" s="918"/>
      <c r="X58" s="919"/>
      <c r="Y58" s="919"/>
      <c r="Z58" s="919"/>
      <c r="AA58" s="919"/>
      <c r="AB58" s="919"/>
      <c r="AC58" s="920"/>
    </row>
    <row r="59" spans="1:32" ht="15" customHeight="1" thickTop="1">
      <c r="F59" s="161"/>
      <c r="W59" s="921" t="s">
        <v>1116</v>
      </c>
      <c r="X59" s="865">
        <f ca="1">+(1+real_irr)*(1+inflation_rate)-1</f>
        <v>0.10051999999999994</v>
      </c>
      <c r="Y59" s="919"/>
      <c r="Z59" s="919"/>
      <c r="AA59" s="919"/>
      <c r="AB59" s="919"/>
      <c r="AC59" s="920"/>
    </row>
    <row r="60" spans="1:32" ht="15" customHeight="1" thickBot="1">
      <c r="F60" s="161"/>
      <c r="W60" s="922" t="str">
        <f>+D16</f>
        <v>Hydrogen Cost (Year 2016 Real $/kg)</v>
      </c>
      <c r="X60" s="923">
        <f ca="1">+SUM(X57:AB57)/AC57*(1+inflation_rate)^construct/INFLATION_FACTOR</f>
        <v>1.083038149663631</v>
      </c>
      <c r="Y60" s="924"/>
      <c r="Z60" s="924"/>
      <c r="AA60" s="924"/>
      <c r="AB60" s="924"/>
      <c r="AC60" s="925"/>
    </row>
    <row r="61" spans="1:32" ht="39.75" customHeight="1">
      <c r="F61" s="161"/>
    </row>
    <row r="62" spans="1:32" ht="17.25" customHeight="1" thickBot="1">
      <c r="F62" s="161"/>
    </row>
    <row r="63" spans="1:32" ht="29.25" customHeight="1" thickTop="1" thickBot="1">
      <c r="A63" s="44" t="s">
        <v>118</v>
      </c>
      <c r="B63" s="165"/>
      <c r="C63" s="165"/>
      <c r="D63" s="165"/>
      <c r="E63" s="165"/>
      <c r="F63" s="165"/>
      <c r="G63" s="165"/>
      <c r="H63" s="949"/>
      <c r="I63" s="949"/>
      <c r="J63" s="949"/>
      <c r="K63" s="949"/>
      <c r="L63" s="949"/>
      <c r="M63" s="949"/>
      <c r="N63" s="949"/>
      <c r="O63" s="949"/>
      <c r="P63" s="949"/>
      <c r="Q63" s="949"/>
      <c r="R63" s="949"/>
      <c r="S63" s="949"/>
      <c r="T63" s="949"/>
      <c r="U63" s="949"/>
      <c r="V63" s="949"/>
      <c r="W63" s="949"/>
      <c r="X63" s="949"/>
      <c r="Y63" s="949"/>
      <c r="Z63" s="949"/>
      <c r="AA63" s="949"/>
      <c r="AB63" s="949"/>
      <c r="AC63" s="950"/>
    </row>
    <row r="64" spans="1:32" ht="72" thickTop="1" thickBot="1">
      <c r="A64" s="926" t="s">
        <v>1124</v>
      </c>
      <c r="B64" s="927" t="s">
        <v>40</v>
      </c>
      <c r="C64" s="927" t="s">
        <v>56</v>
      </c>
      <c r="D64" s="927" t="s">
        <v>119</v>
      </c>
      <c r="E64" s="928" t="s">
        <v>120</v>
      </c>
      <c r="F64" s="928" t="s">
        <v>1129</v>
      </c>
      <c r="G64" s="929" t="s">
        <v>121</v>
      </c>
      <c r="H64" s="951" t="s">
        <v>122</v>
      </c>
      <c r="I64" s="952" t="s">
        <v>123</v>
      </c>
      <c r="J64" s="952" t="s">
        <v>1123</v>
      </c>
      <c r="K64" s="952" t="s">
        <v>135</v>
      </c>
      <c r="L64" s="952" t="s">
        <v>990</v>
      </c>
      <c r="M64" s="952" t="s">
        <v>84</v>
      </c>
      <c r="N64" s="952" t="s">
        <v>136</v>
      </c>
      <c r="O64" s="952" t="s">
        <v>1128</v>
      </c>
      <c r="P64" s="952" t="s">
        <v>137</v>
      </c>
      <c r="Q64" s="952" t="s">
        <v>1130</v>
      </c>
      <c r="R64" s="952" t="s">
        <v>138</v>
      </c>
      <c r="S64" s="952" t="s">
        <v>139</v>
      </c>
      <c r="T64" s="952" t="s">
        <v>140</v>
      </c>
      <c r="U64" s="952" t="s">
        <v>60</v>
      </c>
      <c r="V64" s="952" t="s">
        <v>141</v>
      </c>
      <c r="W64" s="952" t="s">
        <v>142</v>
      </c>
      <c r="X64" s="952" t="s">
        <v>144</v>
      </c>
      <c r="Y64" s="952" t="s">
        <v>145</v>
      </c>
      <c r="Z64" s="952" t="s">
        <v>45</v>
      </c>
      <c r="AA64" s="953" t="s">
        <v>146</v>
      </c>
      <c r="AB64" s="953" t="s">
        <v>147</v>
      </c>
      <c r="AC64" s="931" t="s">
        <v>148</v>
      </c>
      <c r="AD64" s="166"/>
      <c r="AE64" s="930" t="s">
        <v>1115</v>
      </c>
      <c r="AF64" s="931" t="s">
        <v>1125</v>
      </c>
    </row>
    <row r="65" spans="1:32" ht="14" thickTop="1">
      <c r="A65" s="167">
        <f>startup_year-construct</f>
        <v>2012</v>
      </c>
      <c r="B65" s="168">
        <v>1</v>
      </c>
      <c r="C65" s="168">
        <f>IF(construct=0,1,-construct)</f>
        <v>-3</v>
      </c>
      <c r="D65" s="168">
        <f t="shared" ref="D65:D96" si="1">IF(C65="","",IF(C65&lt;=plant_life,C65,IF(D64=plant_life,1,D64+1)))</f>
        <v>-3</v>
      </c>
      <c r="E65" s="169">
        <f t="shared" ref="E65:E96" si="2">IF(C65="","",(1+inflation_rate)^(A65-$B$25))</f>
        <v>0.94509931410277337</v>
      </c>
      <c r="F65" s="170">
        <f t="shared" ref="F65:F96" si="3">IF(C65="","",IF(C65&lt;0,0,IF(AND(C65=1,start_time&lt;1),E65*(H2_price_nominal*output_kgyear*start_time*percnt_revs+H2_price_nominal*output_kgyear*(1-start_time)),IF(C65&lt;=start_time,H2_price_nominal*E65*output_kgyear*percnt_revs,H2_price_nominal*output_kgyear*E65))))</f>
        <v>0</v>
      </c>
      <c r="G65" s="945">
        <f ca="1">-$B$31*depr_cap_infl*E65</f>
        <v>-155187194.49100253</v>
      </c>
      <c r="H65" s="954">
        <f ca="1">IF(C65&lt;0,-E65*equity*depr_cap_infl*percent_cap1,IF(C65=1,-E65*equity*depr_cap_infl,0))</f>
        <v>-103458129.66066836</v>
      </c>
      <c r="I65" s="171" t="str">
        <f>IF(OR(C65&lt;0,C65=""),"",-E65*INDEX('Replacement Costs'!$A$16:$H$57,MATCH(C65,'Replacement Costs'!$C$16:$C$57,0),MATCH("Total Yearly Replacement Costs",'Replacement Costs'!$A$16:$H$16,0)))</f>
        <v/>
      </c>
      <c r="J65" s="171">
        <f>IF(AND(C65&gt;=1,C65&lt;anal_period),WorkingCap*SUM(N65:R65)-WorkingCap*SUM(N64:R64),0)</f>
        <v>0</v>
      </c>
      <c r="K65" s="171">
        <f t="shared" ref="K65:K96" ca="1" si="4">IF(C65=-construct,-E65*non_dep_infl,"")</f>
        <v>-4444856.7300741849</v>
      </c>
      <c r="L65" s="171" t="str">
        <f t="shared" ref="L65:L96" si="5">IF(C65=anal_period,salvage*E65,"")</f>
        <v/>
      </c>
      <c r="M65" s="171" t="str">
        <f t="shared" ref="M65:M96" si="6">IF(D65=plant_life,-E65*decom,"")</f>
        <v/>
      </c>
      <c r="N65" s="171">
        <f t="shared" ref="N65:N96" si="7">IF(C65="","",IF(C65&lt;0,0,IF(AND(C65=1,start_time&lt;1),-(inflated_fixed*percnt_fixed*start_time+(inflated_fixed*(1-start_time))),IF(C65&lt;=start_time,-inflated_fixed*percnt_fixed*E65,-inflated_fixed*E65))))</f>
        <v>0</v>
      </c>
      <c r="O65" s="171">
        <f t="shared" ref="O65:O96" si="8">IF(C65="","",IF(C65&lt;0,0,IF(AND(C65=1,start_time&lt;1),-(SUM(B139:E139)*output_kgyear*E65*percnt_var*start_time+SUM(B139:E139)*output_kgyear*E65*(1-start_time)),IF(C65&lt;=start_time,-SUM(B139:E139)*output_kgyear*E65*percnt_var,-SUM(B139:E139)*output_kgyear*E65))))</f>
        <v>0</v>
      </c>
      <c r="P65" s="171">
        <f t="shared" ref="P65:P96" si="9">IF(C65="","",IF(C65&lt;0,0,IF(AND(C65=1,start_time&lt;1),-(inflated_otherraw*E65*percnt_var*start_time+inflated_otherraw*E65*(1-start_time)),IF(C65&lt;=start_time,-inflated_otherraw*E65*percnt_var,-(inflated_otherraw*E65)))))</f>
        <v>0</v>
      </c>
      <c r="Q65" s="171">
        <f t="shared" ref="Q65:Q109" si="10">IF(C65="","",IF(C65&lt;0,0,IF(AND(C65=1,start_time&lt;1),SUM(K139:N139,T139:V139)*output_kgyear*E65*percnt_revs*start_time+SUM(K139:N139,T139:V139)*output_kgyear*E65*(1-start_time),IF(C65&lt;=start_time,SUM(K139:N139,T139:V139)*output_kgyear*E65*percnt_revs,SUM(K139:N139,T139:V139)*output_kgyear*E65))))</f>
        <v>0</v>
      </c>
      <c r="R65" s="171">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71">
        <f ca="1">IF(B65="","",IF($B$31=0,"",-'Debt Financing Calculations'!E14))</f>
        <v>-5741926.1961670937</v>
      </c>
      <c r="T65" s="171">
        <f t="shared" ref="T65:T96" ca="1" si="12">IF(C65="","",F65+SUM(L65:S65))</f>
        <v>-5741926.1961670937</v>
      </c>
      <c r="U65" s="171">
        <f>IF(C65="","",IF(C65&lt;-1,0,IF(C65=anal_period,-LOOKUP(C65,depr_yr,depr_cost)-Depreciation!$C$141-Depreciation!$B$166,-LOOKUP(C65,depr_yr,depr_cost))))</f>
        <v>0</v>
      </c>
      <c r="V65" s="171">
        <f t="shared" ref="V65:V96" ca="1" si="13">IF(C65="","",SUM(T65:U65))</f>
        <v>-5741926.1961670937</v>
      </c>
      <c r="W65" s="172">
        <f t="shared" ref="W65:W96" si="14">IF(C65="","",$B$33)</f>
        <v>0.25739999999999996</v>
      </c>
      <c r="X65" s="171">
        <f t="shared" ref="X65:X96" ca="1" si="15">IF(C65="","",tax_credit-(V65*W65 +Upstream_CO2_taxpYear + Proc_CO2_taxpYear))</f>
        <v>1477971.8028934097</v>
      </c>
      <c r="Y65" s="171">
        <f t="shared" ref="Y65:Y96" ca="1" si="16">IF(C65="","",SUM(T65,X65))</f>
        <v>-4263954.3932736842</v>
      </c>
      <c r="Z65" s="171">
        <f>IF(C65="","",IF($B$31=0,"",-'Debt Financing Calculations'!F14))</f>
        <v>0</v>
      </c>
      <c r="AA65" s="171">
        <f t="shared" ref="AA65:AA96" ca="1" si="17">IF(C65="","",SUM(H65,I65,J65,K65,T65,X65,Z65))</f>
        <v>-112166940.78401622</v>
      </c>
      <c r="AB65" s="171">
        <f ca="1">AA65</f>
        <v>-112166940.78401622</v>
      </c>
      <c r="AC65" s="932">
        <f t="shared" ref="AC65:AC96" ca="1" si="18">IF(C65="","",SUM(H65,I65,J65,K65,T65,Z65))</f>
        <v>-113644912.58690964</v>
      </c>
      <c r="AE65" s="936">
        <f t="shared" ref="AE65:AE96" si="19">IF(C65="","",IF(C65&lt;0,0,IF(AND(C65=1,start_time&lt;1),(output_kgyear*start_time*percnt_revs+output_kgyear*(1-start_time)),IF(C65&lt;=start_time,output_kgyear*percnt_revs,output_kgyear))))</f>
        <v>0</v>
      </c>
      <c r="AF65" s="932">
        <f t="shared" ref="AF65:AF96" si="20">IF(C65="","",tax_credit)</f>
        <v>0</v>
      </c>
    </row>
    <row r="66" spans="1:32">
      <c r="A66" s="53">
        <f t="shared" ref="A66:A113" si="21">IF(B66&lt;&gt;"",A65+1,"")</f>
        <v>2013</v>
      </c>
      <c r="B66" s="173">
        <f>IF(MAX($B$65:B65)&lt;(construct+anal_period),B65+1,"")</f>
        <v>2</v>
      </c>
      <c r="C66" s="173">
        <f t="shared" ref="C66:C113" si="22">IF(B66="","",IF(C65=-1,1,C65+1))</f>
        <v>-2</v>
      </c>
      <c r="D66" s="173">
        <f t="shared" si="1"/>
        <v>-2</v>
      </c>
      <c r="E66" s="174">
        <f t="shared" si="2"/>
        <v>0.96305620107072598</v>
      </c>
      <c r="F66" s="54">
        <f t="shared" si="3"/>
        <v>0</v>
      </c>
      <c r="G66" s="946"/>
      <c r="H66" s="955">
        <f ca="1">IF(C66&lt;0,-E66*equity*depr_cap_infl*percent_cap2,0)</f>
        <v>0</v>
      </c>
      <c r="I66" s="175" t="str">
        <f>IF(OR(C66&lt;0,C66=""),"",-E66*INDEX('Replacement Costs'!$A$16:$H$57,MATCH(C66,'Replacement Costs'!$C$16:$C$57,0),MATCH("Total Yearly Replacement Costs",'Replacement Costs'!$A$16:$H$16,0)))</f>
        <v/>
      </c>
      <c r="J66" s="175">
        <f>IF(AND(C66&gt;=1,C66&lt;anal_period),WorkingCap*SUM(N66:R66)-WorkingCap*SUM(N65:R65),IF(C66&lt;0,0,IF(B66="","",-SUM(J$65:J65))))</f>
        <v>0</v>
      </c>
      <c r="K66" s="175" t="str">
        <f t="shared" si="4"/>
        <v/>
      </c>
      <c r="L66" s="175" t="str">
        <f t="shared" si="5"/>
        <v/>
      </c>
      <c r="M66" s="175" t="str">
        <f t="shared" si="6"/>
        <v/>
      </c>
      <c r="N66" s="175">
        <f t="shared" si="7"/>
        <v>0</v>
      </c>
      <c r="O66" s="175">
        <f t="shared" si="8"/>
        <v>0</v>
      </c>
      <c r="P66" s="175">
        <f t="shared" si="9"/>
        <v>0</v>
      </c>
      <c r="Q66" s="175">
        <f t="shared" si="10"/>
        <v>0</v>
      </c>
      <c r="R66" s="175">
        <f t="shared" si="11"/>
        <v>0</v>
      </c>
      <c r="S66" s="175">
        <f ca="1">IF(B66="","",IF($B$31=0,"",-'Debt Financing Calculations'!E15))</f>
        <v>-5741926.1961670937</v>
      </c>
      <c r="T66" s="175">
        <f t="shared" ca="1" si="12"/>
        <v>-5741926.1961670937</v>
      </c>
      <c r="U66" s="175">
        <f>IF(C66="","",IF(C66&lt;-1,0,IF(C66=anal_period,-LOOKUP(C66,depr_yr,depr_cost)-Depreciation!$C$141-Depreciation!$B$166,-LOOKUP(C66,depr_yr,depr_cost))))</f>
        <v>0</v>
      </c>
      <c r="V66" s="175">
        <f t="shared" ca="1" si="13"/>
        <v>-5741926.1961670937</v>
      </c>
      <c r="W66" s="176">
        <f t="shared" si="14"/>
        <v>0.25739999999999996</v>
      </c>
      <c r="X66" s="175">
        <f t="shared" ca="1" si="15"/>
        <v>1477971.8028934097</v>
      </c>
      <c r="Y66" s="175">
        <f t="shared" ca="1" si="16"/>
        <v>-4263954.3932736842</v>
      </c>
      <c r="Z66" s="175">
        <f>IF(C66="","",IF($B$31=0,"",-'Debt Financing Calculations'!F15))</f>
        <v>0</v>
      </c>
      <c r="AA66" s="175">
        <f t="shared" ca="1" si="17"/>
        <v>-4263954.3932736842</v>
      </c>
      <c r="AB66" s="175">
        <f t="shared" ref="AB66:AB113" ca="1" si="23">IF(C66="","",AB65+AA66)</f>
        <v>-116430895.1772899</v>
      </c>
      <c r="AC66" s="933">
        <f t="shared" ca="1" si="18"/>
        <v>-5741926.1961670937</v>
      </c>
      <c r="AE66" s="937">
        <f t="shared" si="19"/>
        <v>0</v>
      </c>
      <c r="AF66" s="933">
        <f t="shared" si="20"/>
        <v>0</v>
      </c>
    </row>
    <row r="67" spans="1:32">
      <c r="A67" s="53">
        <f t="shared" si="21"/>
        <v>2014</v>
      </c>
      <c r="B67" s="173">
        <f>IF(MAX($B$65:B66)&lt;(construct+anal_period),B66+1,"")</f>
        <v>3</v>
      </c>
      <c r="C67" s="173">
        <f t="shared" si="22"/>
        <v>-1</v>
      </c>
      <c r="D67" s="173">
        <f t="shared" si="1"/>
        <v>-1</v>
      </c>
      <c r="E67" s="174">
        <f t="shared" si="2"/>
        <v>0.9813542688910698</v>
      </c>
      <c r="F67" s="54">
        <f t="shared" si="3"/>
        <v>0</v>
      </c>
      <c r="G67" s="946"/>
      <c r="H67" s="955">
        <f ca="1">IF(C67&lt;0,-E67*equity*depr_cap_infl*percent_cap3,0)</f>
        <v>0</v>
      </c>
      <c r="I67" s="175" t="str">
        <f>IF(OR(C67&lt;0,C67=""),"",-E67*INDEX('Replacement Costs'!$A$16:$H$57,MATCH(C67,'Replacement Costs'!$C$16:$C$57,0),MATCH("Total Yearly Replacement Costs",'Replacement Costs'!$A$16:$H$16,0)))</f>
        <v/>
      </c>
      <c r="J67" s="175">
        <f>IF(AND(C67&gt;=1,C67&lt;anal_period),WorkingCap*SUM(N67:R67)-WorkingCap*SUM(N66:R66),IF(C67&lt;0,0,IF(B67="","",-SUM(J$65:J66))))</f>
        <v>0</v>
      </c>
      <c r="K67" s="175" t="str">
        <f t="shared" si="4"/>
        <v/>
      </c>
      <c r="L67" s="175" t="str">
        <f t="shared" si="5"/>
        <v/>
      </c>
      <c r="M67" s="175" t="str">
        <f t="shared" si="6"/>
        <v/>
      </c>
      <c r="N67" s="175">
        <f t="shared" si="7"/>
        <v>0</v>
      </c>
      <c r="O67" s="175">
        <f t="shared" si="8"/>
        <v>0</v>
      </c>
      <c r="P67" s="175">
        <f t="shared" si="9"/>
        <v>0</v>
      </c>
      <c r="Q67" s="175">
        <f t="shared" si="10"/>
        <v>0</v>
      </c>
      <c r="R67" s="175">
        <f t="shared" si="11"/>
        <v>0</v>
      </c>
      <c r="S67" s="175">
        <f ca="1">IF(B67="","",IF($B$31=0,"",-'Debt Financing Calculations'!E16))</f>
        <v>-5741926.1961670937</v>
      </c>
      <c r="T67" s="175">
        <f t="shared" ca="1" si="12"/>
        <v>-5741926.1961670937</v>
      </c>
      <c r="U67" s="175">
        <f>IF(C67="","",IF(C67&lt;-1,0,IF(C67=anal_period,-LOOKUP(C67,depr_yr,depr_cost)-Depreciation!$C$141-Depreciation!$B$166,-LOOKUP(C67,depr_yr,depr_cost))))</f>
        <v>0</v>
      </c>
      <c r="V67" s="175">
        <f t="shared" ca="1" si="13"/>
        <v>-5741926.1961670937</v>
      </c>
      <c r="W67" s="176">
        <f t="shared" si="14"/>
        <v>0.25739999999999996</v>
      </c>
      <c r="X67" s="175">
        <f t="shared" ca="1" si="15"/>
        <v>1477971.8028934097</v>
      </c>
      <c r="Y67" s="175">
        <f t="shared" ca="1" si="16"/>
        <v>-4263954.3932736842</v>
      </c>
      <c r="Z67" s="175">
        <f>IF(C67="","",IF($B$31=0,"",-'Debt Financing Calculations'!F16))</f>
        <v>0</v>
      </c>
      <c r="AA67" s="175">
        <f t="shared" ca="1" si="17"/>
        <v>-4263954.3932736842</v>
      </c>
      <c r="AB67" s="175">
        <f t="shared" ca="1" si="23"/>
        <v>-120694849.57056358</v>
      </c>
      <c r="AC67" s="933">
        <f t="shared" ca="1" si="18"/>
        <v>-5741926.1961670937</v>
      </c>
      <c r="AE67" s="937">
        <f t="shared" si="19"/>
        <v>0</v>
      </c>
      <c r="AF67" s="933">
        <f t="shared" si="20"/>
        <v>0</v>
      </c>
    </row>
    <row r="68" spans="1:32">
      <c r="A68" s="870">
        <f t="shared" si="21"/>
        <v>2015</v>
      </c>
      <c r="B68" s="871">
        <f>IF(MAX($B$65:B67)&lt;(construct+anal_period),B67+1,"")</f>
        <v>4</v>
      </c>
      <c r="C68" s="871">
        <f t="shared" si="22"/>
        <v>1</v>
      </c>
      <c r="D68" s="871">
        <f t="shared" si="1"/>
        <v>1</v>
      </c>
      <c r="E68" s="872">
        <f t="shared" si="2"/>
        <v>1</v>
      </c>
      <c r="F68" s="873">
        <f t="shared" ca="1" si="3"/>
        <v>168645071.8432059</v>
      </c>
      <c r="G68" s="947"/>
      <c r="H68" s="956">
        <f>IF(C68&lt;0,-E68*equity*depr_cap_infl*percent_cap4,0)</f>
        <v>0</v>
      </c>
      <c r="I68" s="874">
        <f ca="1">IF(OR(C68&lt;0,C68=""),"",-E68*INDEX('Replacement Costs'!$A$16:$H$57,MATCH(C68,'Replacement Costs'!$C$16:$C$57,0),MATCH("Total Yearly Replacement Costs",'Replacement Costs'!$A$16:$H$16,0)))</f>
        <v>-1368349.9728132533</v>
      </c>
      <c r="J68" s="874">
        <f ca="1">IF(AND(C68&gt;=1,C68&lt;anal_period),WorkingCap*SUM(N68:R68)-WorkingCap*SUM(N67:R67),IF(C68&lt;0,0,IF(B68="","",-SUM(J$65:J67))))</f>
        <v>-16606848.440424034</v>
      </c>
      <c r="K68" s="874" t="str">
        <f t="shared" si="4"/>
        <v/>
      </c>
      <c r="L68" s="874" t="str">
        <f t="shared" si="5"/>
        <v/>
      </c>
      <c r="M68" s="874" t="str">
        <f t="shared" si="6"/>
        <v/>
      </c>
      <c r="N68" s="874">
        <f t="shared" ca="1" si="7"/>
        <v>-13309863.100554148</v>
      </c>
      <c r="O68" s="874">
        <f t="shared" ca="1" si="8"/>
        <v>-93147745.366717577</v>
      </c>
      <c r="P68" s="874">
        <f t="shared" ca="1" si="9"/>
        <v>-2633235.2382028904</v>
      </c>
      <c r="Q68" s="874">
        <f t="shared" ca="1" si="10"/>
        <v>0</v>
      </c>
      <c r="R68" s="874">
        <f t="shared" ca="1" si="11"/>
        <v>-1621479.2306856269</v>
      </c>
      <c r="S68" s="874">
        <f ca="1">IF(B68="","",IF($B$31=0,"",-'Debt Financing Calculations'!E17))</f>
        <v>-5741926.1961670937</v>
      </c>
      <c r="T68" s="874">
        <f t="shared" ca="1" si="12"/>
        <v>52190822.710878566</v>
      </c>
      <c r="U68" s="874">
        <f ca="1">IF(C68="","",IF(C68&lt;-1,0,IF(C68=anal_period,-LOOKUP(C68,depr_yr,depr_cost)-Depreciation!$C$141-Depreciation!$B$166,-LOOKUP(C68,depr_yr,depr_cost))))</f>
        <v>-9750512.7796681542</v>
      </c>
      <c r="V68" s="874">
        <f t="shared" ca="1" si="13"/>
        <v>42440309.931210414</v>
      </c>
      <c r="W68" s="875">
        <f t="shared" si="14"/>
        <v>0.25739999999999996</v>
      </c>
      <c r="X68" s="874">
        <f t="shared" ca="1" si="15"/>
        <v>-10924135.776293559</v>
      </c>
      <c r="Y68" s="874">
        <f ca="1">IF(C68="","",SUM(T68,X68))</f>
        <v>41266686.934585005</v>
      </c>
      <c r="Z68" s="874">
        <f>IF(C68="","",IF($B$31=0,"",-'Debt Financing Calculations'!F17))</f>
        <v>0</v>
      </c>
      <c r="AA68" s="874">
        <f t="shared" ca="1" si="17"/>
        <v>23291488.521347716</v>
      </c>
      <c r="AB68" s="874">
        <f t="shared" ca="1" si="23"/>
        <v>-97403361.049215868</v>
      </c>
      <c r="AC68" s="934">
        <f t="shared" ca="1" si="18"/>
        <v>34215624.297641277</v>
      </c>
      <c r="AD68" s="866"/>
      <c r="AE68" s="938">
        <f t="shared" ca="1" si="19"/>
        <v>158673384</v>
      </c>
      <c r="AF68" s="934">
        <f t="shared" si="20"/>
        <v>0</v>
      </c>
    </row>
    <row r="69" spans="1:32">
      <c r="A69" s="53">
        <f t="shared" si="21"/>
        <v>2016</v>
      </c>
      <c r="B69" s="173">
        <f>IF(MAX($B$65:B68)&lt;(construct+anal_period),B68+1,"")</f>
        <v>5</v>
      </c>
      <c r="C69" s="173">
        <f t="shared" si="22"/>
        <v>2</v>
      </c>
      <c r="D69" s="173">
        <f t="shared" si="1"/>
        <v>2</v>
      </c>
      <c r="E69" s="174">
        <f t="shared" si="2"/>
        <v>1.0189999999999999</v>
      </c>
      <c r="F69" s="54">
        <f t="shared" ca="1" si="3"/>
        <v>171849328.2082268</v>
      </c>
      <c r="G69" s="946"/>
      <c r="H69" s="955">
        <f t="shared" ref="H69:H113" si="24">IF(C69="","",0)</f>
        <v>0</v>
      </c>
      <c r="I69" s="175">
        <f ca="1">IF(OR(C69&lt;0,C69=""),"",-E69*INDEX('Replacement Costs'!$A$16:$H$57,MATCH(C69,'Replacement Costs'!$C$16:$C$57,0),MATCH("Total Yearly Replacement Costs",'Replacement Costs'!$A$16:$H$16,0)))</f>
        <v>-1394348.6222967049</v>
      </c>
      <c r="J69" s="175">
        <f ca="1">IF(AND(C69&gt;=1,C69&lt;anal_period),WorkingCap*SUM(N69:R69)-WorkingCap*SUM(N68:R68),IF(C69&lt;0,0,IF(B69="","",-SUM(J$65:J68))))</f>
        <v>572056.26713824645</v>
      </c>
      <c r="K69" s="175" t="str">
        <f t="shared" si="4"/>
        <v/>
      </c>
      <c r="L69" s="175" t="str">
        <f t="shared" si="5"/>
        <v/>
      </c>
      <c r="M69" s="175" t="str">
        <f t="shared" si="6"/>
        <v/>
      </c>
      <c r="N69" s="175">
        <f t="shared" ca="1" si="7"/>
        <v>-13562750.499464676</v>
      </c>
      <c r="O69" s="175">
        <f t="shared" ca="1" si="8"/>
        <v>-89000309.945309848</v>
      </c>
      <c r="P69" s="175">
        <f t="shared" ca="1" si="9"/>
        <v>-2683266.707728745</v>
      </c>
      <c r="Q69" s="175">
        <f t="shared" ca="1" si="10"/>
        <v>0</v>
      </c>
      <c r="R69" s="175">
        <f t="shared" ca="1" si="11"/>
        <v>-1652287.3360686535</v>
      </c>
      <c r="S69" s="175">
        <f ca="1">IF(B69="","",IF($B$31=0,"",-'Debt Financing Calculations'!E18))</f>
        <v>-5741926.1961670937</v>
      </c>
      <c r="T69" s="175">
        <f t="shared" ca="1" si="12"/>
        <v>59208787.523487777</v>
      </c>
      <c r="U69" s="175">
        <f ca="1">IF(C69="","",IF(C69&lt;-1,0,IF(C69=anal_period,-LOOKUP(C69,depr_yr,depr_cost)-Depreciation!$C$141-Depreciation!$B$166,-LOOKUP(C69,depr_yr,depr_cost))))</f>
        <v>-18822675.208382636</v>
      </c>
      <c r="V69" s="175">
        <f t="shared" ca="1" si="13"/>
        <v>40386112.31510514</v>
      </c>
      <c r="W69" s="176">
        <f t="shared" si="14"/>
        <v>0.25739999999999996</v>
      </c>
      <c r="X69" s="175">
        <f t="shared" ca="1" si="15"/>
        <v>-10395385.309908062</v>
      </c>
      <c r="Y69" s="175">
        <f t="shared" ca="1" si="16"/>
        <v>48813402.213579714</v>
      </c>
      <c r="Z69" s="175">
        <f>IF(C69="","",IF($B$31=0,"",-'Debt Financing Calculations'!F18))</f>
        <v>0</v>
      </c>
      <c r="AA69" s="175">
        <f t="shared" ca="1" si="17"/>
        <v>47991109.858421259</v>
      </c>
      <c r="AB69" s="175">
        <f t="shared" ca="1" si="23"/>
        <v>-49412251.190794609</v>
      </c>
      <c r="AC69" s="933">
        <f t="shared" ca="1" si="18"/>
        <v>58386495.168329321</v>
      </c>
      <c r="AE69" s="937">
        <f t="shared" ca="1" si="19"/>
        <v>158673384</v>
      </c>
      <c r="AF69" s="933">
        <f t="shared" si="20"/>
        <v>0</v>
      </c>
    </row>
    <row r="70" spans="1:32">
      <c r="A70" s="53">
        <f t="shared" si="21"/>
        <v>2017</v>
      </c>
      <c r="B70" s="173">
        <f>IF(MAX($B$65:B69)&lt;(construct+anal_period),B69+1,"")</f>
        <v>6</v>
      </c>
      <c r="C70" s="173">
        <f t="shared" si="22"/>
        <v>3</v>
      </c>
      <c r="D70" s="173">
        <f t="shared" si="1"/>
        <v>3</v>
      </c>
      <c r="E70" s="174">
        <f t="shared" si="2"/>
        <v>1.0383609999999999</v>
      </c>
      <c r="F70" s="54">
        <f t="shared" ca="1" si="3"/>
        <v>175114465.44418311</v>
      </c>
      <c r="G70" s="946"/>
      <c r="H70" s="955">
        <f t="shared" si="24"/>
        <v>0</v>
      </c>
      <c r="I70" s="175">
        <f ca="1">IF(OR(C70&lt;0,C70=""),"",-E70*INDEX('Replacement Costs'!$A$16:$H$57,MATCH(C70,'Replacement Costs'!$C$16:$C$57,0),MATCH("Total Yearly Replacement Costs",'Replacement Costs'!$A$16:$H$16,0)))</f>
        <v>-1420841.2461203423</v>
      </c>
      <c r="J70" s="175">
        <f ca="1">IF(AND(C70&gt;=1,C70&lt;anal_period),WorkingCap*SUM(N70:R70)-WorkingCap*SUM(N69:R69),IF(C70&lt;0,0,IF(B70="","",-SUM(J$65:J69))))</f>
        <v>-2540807.1804002803</v>
      </c>
      <c r="K70" s="175" t="str">
        <f t="shared" si="4"/>
        <v/>
      </c>
      <c r="L70" s="175" t="str">
        <f t="shared" si="5"/>
        <v/>
      </c>
      <c r="M70" s="175" t="str">
        <f t="shared" si="6"/>
        <v/>
      </c>
      <c r="N70" s="175">
        <f t="shared" ca="1" si="7"/>
        <v>-13820442.758954505</v>
      </c>
      <c r="O70" s="175">
        <f t="shared" ca="1" si="8"/>
        <v>-105598956.69498974</v>
      </c>
      <c r="P70" s="175">
        <f t="shared" ca="1" si="9"/>
        <v>-2734248.775175591</v>
      </c>
      <c r="Q70" s="175">
        <f t="shared" ca="1" si="10"/>
        <v>0</v>
      </c>
      <c r="R70" s="175">
        <f t="shared" ca="1" si="11"/>
        <v>-1683680.795453958</v>
      </c>
      <c r="S70" s="175">
        <f ca="1">IF(B70="","",IF($B$31=0,"",-'Debt Financing Calculations'!E19))</f>
        <v>-5741926.1961670937</v>
      </c>
      <c r="T70" s="175">
        <f t="shared" ca="1" si="12"/>
        <v>45535210.223442227</v>
      </c>
      <c r="U70" s="175">
        <f ca="1">IF(C70="","",IF(C70&lt;-1,0,IF(C70=anal_period,-LOOKUP(C70,depr_yr,depr_cost)-Depreciation!$C$141-Depreciation!$B$166,-LOOKUP(C70,depr_yr,depr_cost))))</f>
        <v>-17515052.595064916</v>
      </c>
      <c r="V70" s="175">
        <f t="shared" ca="1" si="13"/>
        <v>28020157.628377311</v>
      </c>
      <c r="W70" s="176">
        <f t="shared" si="14"/>
        <v>0.25739999999999996</v>
      </c>
      <c r="X70" s="175">
        <f t="shared" ca="1" si="15"/>
        <v>-7212388.5735443188</v>
      </c>
      <c r="Y70" s="175">
        <f t="shared" ca="1" si="16"/>
        <v>38322821.649897911</v>
      </c>
      <c r="Z70" s="175">
        <f>IF(C70="","",IF($B$31=0,"",-'Debt Financing Calculations'!F19))</f>
        <v>0</v>
      </c>
      <c r="AA70" s="175">
        <f t="shared" ca="1" si="17"/>
        <v>34361173.223377287</v>
      </c>
      <c r="AB70" s="175">
        <f t="shared" ca="1" si="23"/>
        <v>-15051077.967417322</v>
      </c>
      <c r="AC70" s="933">
        <f t="shared" ca="1" si="18"/>
        <v>41573561.796921603</v>
      </c>
      <c r="AE70" s="937">
        <f t="shared" ca="1" si="19"/>
        <v>158673384</v>
      </c>
      <c r="AF70" s="933">
        <f t="shared" si="20"/>
        <v>0</v>
      </c>
    </row>
    <row r="71" spans="1:32">
      <c r="A71" s="53">
        <f t="shared" si="21"/>
        <v>2018</v>
      </c>
      <c r="B71" s="173">
        <f>IF(MAX($B$65:B70)&lt;(construct+anal_period),B70+1,"")</f>
        <v>7</v>
      </c>
      <c r="C71" s="173">
        <f t="shared" si="22"/>
        <v>4</v>
      </c>
      <c r="D71" s="173">
        <f t="shared" si="1"/>
        <v>4</v>
      </c>
      <c r="E71" s="174">
        <f t="shared" si="2"/>
        <v>1.0580898589999999</v>
      </c>
      <c r="F71" s="54">
        <f t="shared" ca="1" si="3"/>
        <v>178441640.28762257</v>
      </c>
      <c r="G71" s="946"/>
      <c r="H71" s="955">
        <f t="shared" si="24"/>
        <v>0</v>
      </c>
      <c r="I71" s="175">
        <f ca="1">IF(OR(C71&lt;0,C71=""),"",-E71*INDEX('Replacement Costs'!$A$16:$H$57,MATCH(C71,'Replacement Costs'!$C$16:$C$57,0),MATCH("Total Yearly Replacement Costs",'Replacement Costs'!$A$16:$H$16,0)))</f>
        <v>-1447837.2297966287</v>
      </c>
      <c r="J71" s="175">
        <f ca="1">IF(AND(C71&gt;=1,C71&lt;anal_period),WorkingCap*SUM(N71:R71)-WorkingCap*SUM(N70:R70),IF(C71&lt;0,0,IF(B71="","",-SUM(J$65:J70))))</f>
        <v>-1835811.8920985237</v>
      </c>
      <c r="K71" s="175" t="str">
        <f t="shared" si="4"/>
        <v/>
      </c>
      <c r="L71" s="175" t="str">
        <f t="shared" si="5"/>
        <v/>
      </c>
      <c r="M71" s="175" t="str">
        <f t="shared" si="6"/>
        <v/>
      </c>
      <c r="N71" s="175">
        <f t="shared" ca="1" si="7"/>
        <v>-14083031.171374639</v>
      </c>
      <c r="O71" s="175">
        <f t="shared" ca="1" si="8"/>
        <v>-117491173.56805114</v>
      </c>
      <c r="P71" s="175">
        <f t="shared" ca="1" si="9"/>
        <v>-2786199.5019039274</v>
      </c>
      <c r="Q71" s="175">
        <f t="shared" ca="1" si="10"/>
        <v>0</v>
      </c>
      <c r="R71" s="175">
        <f t="shared" ca="1" si="11"/>
        <v>-1715670.7305675831</v>
      </c>
      <c r="S71" s="175">
        <f ca="1">IF(B71="","",IF($B$31=0,"",-'Debt Financing Calculations'!E20))</f>
        <v>-5741926.1961670937</v>
      </c>
      <c r="T71" s="175">
        <f t="shared" ca="1" si="12"/>
        <v>36623639.119558215</v>
      </c>
      <c r="U71" s="175">
        <f ca="1">IF(C71="","",IF(C71&lt;-1,0,IF(C71=anal_period,-LOOKUP(C71,depr_yr,depr_cost)-Depreciation!$C$141-Depreciation!$B$166,-LOOKUP(C71,depr_yr,depr_cost))))</f>
        <v>-16311009.733854938</v>
      </c>
      <c r="V71" s="175">
        <f t="shared" ca="1" si="13"/>
        <v>20312629.385703277</v>
      </c>
      <c r="W71" s="176">
        <f t="shared" si="14"/>
        <v>0.25739999999999996</v>
      </c>
      <c r="X71" s="175">
        <f t="shared" ca="1" si="15"/>
        <v>-5228470.8038800228</v>
      </c>
      <c r="Y71" s="175">
        <f t="shared" ca="1" si="16"/>
        <v>31395168.315678194</v>
      </c>
      <c r="Z71" s="175">
        <f>IF(C71="","",IF($B$31=0,"",-'Debt Financing Calculations'!F20))</f>
        <v>0</v>
      </c>
      <c r="AA71" s="175">
        <f t="shared" ca="1" si="17"/>
        <v>28111519.193783037</v>
      </c>
      <c r="AB71" s="175">
        <f t="shared" ca="1" si="23"/>
        <v>13060441.226365715</v>
      </c>
      <c r="AC71" s="933">
        <f t="shared" ca="1" si="18"/>
        <v>33339989.997663062</v>
      </c>
      <c r="AE71" s="937">
        <f t="shared" ca="1" si="19"/>
        <v>158673384</v>
      </c>
      <c r="AF71" s="933">
        <f t="shared" si="20"/>
        <v>0</v>
      </c>
    </row>
    <row r="72" spans="1:32">
      <c r="A72" s="53">
        <f t="shared" si="21"/>
        <v>2019</v>
      </c>
      <c r="B72" s="173">
        <f>IF(MAX($B$65:B71)&lt;(construct+anal_period),B71+1,"")</f>
        <v>8</v>
      </c>
      <c r="C72" s="173">
        <f t="shared" si="22"/>
        <v>5</v>
      </c>
      <c r="D72" s="173">
        <f t="shared" si="1"/>
        <v>5</v>
      </c>
      <c r="E72" s="174">
        <f t="shared" si="2"/>
        <v>1.0781935663209998</v>
      </c>
      <c r="F72" s="54">
        <f t="shared" ca="1" si="3"/>
        <v>181832031.45308739</v>
      </c>
      <c r="G72" s="946"/>
      <c r="H72" s="955">
        <f t="shared" si="24"/>
        <v>0</v>
      </c>
      <c r="I72" s="175">
        <f ca="1">IF(OR(C72&lt;0,C72=""),"",-E72*INDEX('Replacement Costs'!$A$16:$H$57,MATCH(C72,'Replacement Costs'!$C$16:$C$57,0),MATCH("Total Yearly Replacement Costs",'Replacement Costs'!$A$16:$H$16,0)))</f>
        <v>-1475346.1371627648</v>
      </c>
      <c r="J72" s="175">
        <f ca="1">IF(AND(C72&gt;=1,C72&lt;anal_period),WorkingCap*SUM(N72:R72)-WorkingCap*SUM(N71:R71),IF(C72&lt;0,0,IF(B72="","",-SUM(J$65:J71))))</f>
        <v>-2096923.5184164047</v>
      </c>
      <c r="K72" s="175" t="str">
        <f t="shared" si="4"/>
        <v/>
      </c>
      <c r="L72" s="175" t="str">
        <f t="shared" si="5"/>
        <v/>
      </c>
      <c r="M72" s="175" t="str">
        <f t="shared" si="6"/>
        <v/>
      </c>
      <c r="N72" s="175">
        <f t="shared" ca="1" si="7"/>
        <v>-14350608.763630757</v>
      </c>
      <c r="O72" s="175">
        <f t="shared" ca="1" si="8"/>
        <v>-131117550.56415407</v>
      </c>
      <c r="P72" s="175">
        <f t="shared" ca="1" si="9"/>
        <v>-2839137.292440102</v>
      </c>
      <c r="Q72" s="175">
        <f t="shared" ca="1" si="10"/>
        <v>0</v>
      </c>
      <c r="R72" s="175">
        <f t="shared" ca="1" si="11"/>
        <v>-1748268.4744483673</v>
      </c>
      <c r="S72" s="175">
        <f ca="1">IF(B72="","",IF($B$31=0,"",-'Debt Financing Calculations'!E21))</f>
        <v>-5741926.1961670937</v>
      </c>
      <c r="T72" s="175">
        <f t="shared" ca="1" si="12"/>
        <v>26034540.162247002</v>
      </c>
      <c r="U72" s="175">
        <f ca="1">IF(C72="","",IF(C72&lt;-1,0,IF(C72=anal_period,-LOOKUP(C72,depr_yr,depr_cost)-Depreciation!$C$141-Depreciation!$B$166,-LOOKUP(C72,depr_yr,depr_cost))))</f>
        <v>-15195424.536897125</v>
      </c>
      <c r="V72" s="175">
        <f t="shared" ca="1" si="13"/>
        <v>10839115.625349877</v>
      </c>
      <c r="W72" s="176">
        <f t="shared" si="14"/>
        <v>0.25739999999999996</v>
      </c>
      <c r="X72" s="175">
        <f t="shared" ca="1" si="15"/>
        <v>-2789988.3619650579</v>
      </c>
      <c r="Y72" s="175">
        <f t="shared" ca="1" si="16"/>
        <v>23244551.800281946</v>
      </c>
      <c r="Z72" s="175">
        <f>IF(C72="","",IF($B$31=0,"",-'Debt Financing Calculations'!F21))</f>
        <v>0</v>
      </c>
      <c r="AA72" s="175">
        <f t="shared" ca="1" si="17"/>
        <v>19672282.144702777</v>
      </c>
      <c r="AB72" s="175">
        <f t="shared" ca="1" si="23"/>
        <v>32732723.371068493</v>
      </c>
      <c r="AC72" s="933">
        <f t="shared" ca="1" si="18"/>
        <v>22462270.506667834</v>
      </c>
      <c r="AE72" s="937">
        <f t="shared" ca="1" si="19"/>
        <v>158673384</v>
      </c>
      <c r="AF72" s="933">
        <f t="shared" si="20"/>
        <v>0</v>
      </c>
    </row>
    <row r="73" spans="1:32">
      <c r="A73" s="53">
        <f t="shared" si="21"/>
        <v>2020</v>
      </c>
      <c r="B73" s="173">
        <f>IF(MAX($B$65:B72)&lt;(construct+anal_period),B72+1,"")</f>
        <v>9</v>
      </c>
      <c r="C73" s="173">
        <f t="shared" si="22"/>
        <v>6</v>
      </c>
      <c r="D73" s="173">
        <f t="shared" si="1"/>
        <v>6</v>
      </c>
      <c r="E73" s="174">
        <f t="shared" si="2"/>
        <v>1.0986792440810986</v>
      </c>
      <c r="F73" s="54">
        <f t="shared" ca="1" si="3"/>
        <v>185286840.05069602</v>
      </c>
      <c r="G73" s="946"/>
      <c r="H73" s="955">
        <f t="shared" si="24"/>
        <v>0</v>
      </c>
      <c r="I73" s="175">
        <f ca="1">IF(OR(C73&lt;0,C73=""),"",-E73*INDEX('Replacement Costs'!$A$16:$H$57,MATCH(C73,'Replacement Costs'!$C$16:$C$57,0),MATCH("Total Yearly Replacement Costs",'Replacement Costs'!$A$16:$H$16,0)))</f>
        <v>-1503377.7137688571</v>
      </c>
      <c r="J73" s="175">
        <f ca="1">IF(AND(C73&gt;=1,C73&lt;anal_period),WorkingCap*SUM(N73:R73)-WorkingCap*SUM(N72:R72),IF(C73&lt;0,0,IF(B73="","",-SUM(J$65:J72))))</f>
        <v>-2150633.619694449</v>
      </c>
      <c r="K73" s="175" t="str">
        <f t="shared" si="4"/>
        <v/>
      </c>
      <c r="L73" s="175" t="str">
        <f t="shared" si="5"/>
        <v/>
      </c>
      <c r="M73" s="175" t="str">
        <f t="shared" si="6"/>
        <v/>
      </c>
      <c r="N73" s="175">
        <f t="shared" ca="1" si="7"/>
        <v>-14623270.330139739</v>
      </c>
      <c r="O73" s="175">
        <f t="shared" ca="1" si="8"/>
        <v>-145095285.75270391</v>
      </c>
      <c r="P73" s="175">
        <f t="shared" ca="1" si="9"/>
        <v>-2893080.9009964634</v>
      </c>
      <c r="Q73" s="175">
        <f t="shared" ca="1" si="10"/>
        <v>0</v>
      </c>
      <c r="R73" s="175">
        <f t="shared" ca="1" si="11"/>
        <v>-1781485.5754628859</v>
      </c>
      <c r="S73" s="175">
        <f ca="1">IF(B73="","",IF($B$31=0,"",-'Debt Financing Calculations'!E22))</f>
        <v>-5741926.1961670937</v>
      </c>
      <c r="T73" s="175">
        <f t="shared" ca="1" si="12"/>
        <v>15151791.295225948</v>
      </c>
      <c r="U73" s="175">
        <f ca="1">IF(C73="","",IF(C73&lt;-1,0,IF(C73=anal_period,-LOOKUP(C73,depr_yr,depr_cost)-Depreciation!$C$141-Depreciation!$B$166,-LOOKUP(C73,depr_yr,depr_cost))))</f>
        <v>-14168701.171785284</v>
      </c>
      <c r="V73" s="175">
        <f t="shared" ca="1" si="13"/>
        <v>983090.12344066426</v>
      </c>
      <c r="W73" s="176">
        <f t="shared" si="14"/>
        <v>0.25739999999999996</v>
      </c>
      <c r="X73" s="175">
        <f t="shared" ca="1" si="15"/>
        <v>-253047.39777362693</v>
      </c>
      <c r="Y73" s="175">
        <f t="shared" ca="1" si="16"/>
        <v>14898743.897452321</v>
      </c>
      <c r="Z73" s="175">
        <f>IF(C73="","",IF($B$31=0,"",-'Debt Financing Calculations'!F22))</f>
        <v>0</v>
      </c>
      <c r="AA73" s="175">
        <f t="shared" ca="1" si="17"/>
        <v>11244732.563989015</v>
      </c>
      <c r="AB73" s="175">
        <f t="shared" ca="1" si="23"/>
        <v>43977455.935057506</v>
      </c>
      <c r="AC73" s="933">
        <f t="shared" ca="1" si="18"/>
        <v>11497779.961762642</v>
      </c>
      <c r="AE73" s="937">
        <f t="shared" ca="1" si="19"/>
        <v>158673384</v>
      </c>
      <c r="AF73" s="933">
        <f t="shared" si="20"/>
        <v>0</v>
      </c>
    </row>
    <row r="74" spans="1:32">
      <c r="A74" s="53">
        <f t="shared" si="21"/>
        <v>2021</v>
      </c>
      <c r="B74" s="173">
        <f>IF(MAX($B$65:B73)&lt;(construct+anal_period),B73+1,"")</f>
        <v>10</v>
      </c>
      <c r="C74" s="173">
        <f t="shared" si="22"/>
        <v>7</v>
      </c>
      <c r="D74" s="173">
        <f t="shared" si="1"/>
        <v>7</v>
      </c>
      <c r="E74" s="174">
        <f t="shared" si="2"/>
        <v>1.1195541497186396</v>
      </c>
      <c r="F74" s="54">
        <f t="shared" ca="1" si="3"/>
        <v>188807290.01165926</v>
      </c>
      <c r="G74" s="946"/>
      <c r="H74" s="955">
        <f t="shared" si="24"/>
        <v>0</v>
      </c>
      <c r="I74" s="175">
        <f ca="1">IF(OR(C74&lt;0,C74=""),"",-E74*INDEX('Replacement Costs'!$A$16:$H$57,MATCH(C74,'Replacement Costs'!$C$16:$C$57,0),MATCH("Total Yearly Replacement Costs",'Replacement Costs'!$A$16:$H$16,0)))</f>
        <v>-1531941.8903304655</v>
      </c>
      <c r="J74" s="175">
        <f ca="1">IF(AND(C74&gt;=1,C74&lt;anal_period),WorkingCap*SUM(N74:R74)-WorkingCap*SUM(N73:R73),IF(C74&lt;0,0,IF(B74="","",-SUM(J$65:J73))))</f>
        <v>-493121.63919390738</v>
      </c>
      <c r="K74" s="175" t="str">
        <f t="shared" si="4"/>
        <v/>
      </c>
      <c r="L74" s="175" t="str">
        <f t="shared" si="5"/>
        <v/>
      </c>
      <c r="M74" s="175" t="str">
        <f t="shared" si="6"/>
        <v/>
      </c>
      <c r="N74" s="175">
        <f t="shared" ca="1" si="7"/>
        <v>-14901112.466412395</v>
      </c>
      <c r="O74" s="175">
        <f t="shared" ca="1" si="8"/>
        <v>-148016104.44800457</v>
      </c>
      <c r="P74" s="175">
        <f t="shared" ca="1" si="9"/>
        <v>-2948049.4381153965</v>
      </c>
      <c r="Q74" s="175">
        <f t="shared" ca="1" si="10"/>
        <v>0</v>
      </c>
      <c r="R74" s="175">
        <f t="shared" ca="1" si="11"/>
        <v>-1815333.801396681</v>
      </c>
      <c r="S74" s="175">
        <f ca="1">IF(B74="","",IF($B$31=0,"",-'Debt Financing Calculations'!E23))</f>
        <v>-5741926.1961670937</v>
      </c>
      <c r="T74" s="175">
        <f t="shared" ca="1" si="12"/>
        <v>15384763.661563158</v>
      </c>
      <c r="U74" s="175">
        <f ca="1">IF(C74="","",IF(C74&lt;-1,0,IF(C74=anal_period,-LOOKUP(C74,depr_yr,depr_cost)-Depreciation!$C$141-Depreciation!$B$166,-LOOKUP(C74,depr_yr,depr_cost))))</f>
        <v>-13218250.801591283</v>
      </c>
      <c r="V74" s="175">
        <f t="shared" ca="1" si="13"/>
        <v>2166512.8599718753</v>
      </c>
      <c r="W74" s="176">
        <f t="shared" si="14"/>
        <v>0.25739999999999996</v>
      </c>
      <c r="X74" s="175">
        <f t="shared" ca="1" si="15"/>
        <v>-557660.4101567606</v>
      </c>
      <c r="Y74" s="175">
        <f t="shared" ca="1" si="16"/>
        <v>14827103.251406398</v>
      </c>
      <c r="Z74" s="175">
        <f>IF(C74="","",IF($B$31=0,"",-'Debt Financing Calculations'!F23))</f>
        <v>0</v>
      </c>
      <c r="AA74" s="175">
        <f t="shared" ca="1" si="17"/>
        <v>12802039.721882025</v>
      </c>
      <c r="AB74" s="175">
        <f t="shared" ca="1" si="23"/>
        <v>56779495.656939529</v>
      </c>
      <c r="AC74" s="933">
        <f t="shared" ca="1" si="18"/>
        <v>13359700.132038785</v>
      </c>
      <c r="AE74" s="937">
        <f t="shared" ca="1" si="19"/>
        <v>158673384</v>
      </c>
      <c r="AF74" s="933">
        <f t="shared" si="20"/>
        <v>0</v>
      </c>
    </row>
    <row r="75" spans="1:32">
      <c r="A75" s="53">
        <f t="shared" si="21"/>
        <v>2022</v>
      </c>
      <c r="B75" s="173">
        <f>IF(MAX($B$65:B74)&lt;(construct+anal_period),B74+1,"")</f>
        <v>11</v>
      </c>
      <c r="C75" s="173">
        <f t="shared" si="22"/>
        <v>8</v>
      </c>
      <c r="D75" s="173">
        <f t="shared" si="1"/>
        <v>8</v>
      </c>
      <c r="E75" s="174">
        <f t="shared" si="2"/>
        <v>1.1408256785632938</v>
      </c>
      <c r="F75" s="54">
        <f t="shared" ca="1" si="3"/>
        <v>192394628.52188081</v>
      </c>
      <c r="G75" s="946"/>
      <c r="H75" s="955">
        <f t="shared" si="24"/>
        <v>0</v>
      </c>
      <c r="I75" s="175">
        <f ca="1">IF(OR(C75&lt;0,C75=""),"",-E75*INDEX('Replacement Costs'!$A$16:$H$57,MATCH(C75,'Replacement Costs'!$C$16:$C$57,0),MATCH("Total Yearly Replacement Costs",'Replacement Costs'!$A$16:$H$16,0)))</f>
        <v>-1561048.7862467442</v>
      </c>
      <c r="J75" s="175">
        <f ca="1">IF(AND(C75&gt;=1,C75&lt;anal_period),WorkingCap*SUM(N75:R75)-WorkingCap*SUM(N74:R74),IF(C75&lt;0,0,IF(B75="","",-SUM(J$65:J74))))</f>
        <v>-238582.56160113215</v>
      </c>
      <c r="K75" s="175" t="str">
        <f t="shared" si="4"/>
        <v/>
      </c>
      <c r="L75" s="175" t="str">
        <f t="shared" si="5"/>
        <v/>
      </c>
      <c r="M75" s="175" t="str">
        <f t="shared" si="6"/>
        <v/>
      </c>
      <c r="N75" s="175">
        <f t="shared" ca="1" si="7"/>
        <v>-15184233.60327423</v>
      </c>
      <c r="O75" s="175">
        <f t="shared" ca="1" si="8"/>
        <v>-149233029.44026622</v>
      </c>
      <c r="P75" s="175">
        <f t="shared" ca="1" si="9"/>
        <v>-3004062.3774395888</v>
      </c>
      <c r="Q75" s="175">
        <f t="shared" ca="1" si="10"/>
        <v>0</v>
      </c>
      <c r="R75" s="175">
        <f t="shared" ca="1" si="11"/>
        <v>-1849825.1436232177</v>
      </c>
      <c r="S75" s="175">
        <f ca="1">IF(B75="","",IF($B$31=0,"",-'Debt Financing Calculations'!E24))</f>
        <v>-5741926.1961670937</v>
      </c>
      <c r="T75" s="175">
        <f t="shared" ca="1" si="12"/>
        <v>17381551.761110485</v>
      </c>
      <c r="U75" s="175">
        <f ca="1">IF(C75="","",IF(C75&lt;-1,0,IF(C75=anal_period,-LOOKUP(C75,depr_yr,depr_cost)-Depreciation!$C$141-Depreciation!$B$166,-LOOKUP(C75,depr_yr,depr_cost))))</f>
        <v>-12344423.380750876</v>
      </c>
      <c r="V75" s="175">
        <f t="shared" ca="1" si="13"/>
        <v>5037128.3803596087</v>
      </c>
      <c r="W75" s="176">
        <f t="shared" si="14"/>
        <v>0.25739999999999996</v>
      </c>
      <c r="X75" s="175">
        <f t="shared" ca="1" si="15"/>
        <v>-1296556.845104563</v>
      </c>
      <c r="Y75" s="175">
        <f t="shared" ca="1" si="16"/>
        <v>16084994.916005921</v>
      </c>
      <c r="Z75" s="175">
        <f>IF(C75="","",IF($B$31=0,"",-'Debt Financing Calculations'!F24))</f>
        <v>0</v>
      </c>
      <c r="AA75" s="175">
        <f t="shared" ca="1" si="17"/>
        <v>14285363.568158045</v>
      </c>
      <c r="AB75" s="175">
        <f t="shared" ca="1" si="23"/>
        <v>71064859.225097567</v>
      </c>
      <c r="AC75" s="933">
        <f t="shared" ca="1" si="18"/>
        <v>15581920.413262608</v>
      </c>
      <c r="AE75" s="937">
        <f t="shared" ca="1" si="19"/>
        <v>158673384</v>
      </c>
      <c r="AF75" s="933">
        <f t="shared" si="20"/>
        <v>0</v>
      </c>
    </row>
    <row r="76" spans="1:32">
      <c r="A76" s="53">
        <f t="shared" si="21"/>
        <v>2023</v>
      </c>
      <c r="B76" s="173">
        <f>IF(MAX($B$65:B75)&lt;(construct+anal_period),B75+1,"")</f>
        <v>12</v>
      </c>
      <c r="C76" s="173">
        <f t="shared" si="22"/>
        <v>9</v>
      </c>
      <c r="D76" s="173">
        <f t="shared" si="1"/>
        <v>9</v>
      </c>
      <c r="E76" s="174">
        <f t="shared" si="2"/>
        <v>1.1625013664559962</v>
      </c>
      <c r="F76" s="54">
        <f t="shared" ca="1" si="3"/>
        <v>196050126.4637965</v>
      </c>
      <c r="G76" s="946"/>
      <c r="H76" s="955">
        <f t="shared" si="24"/>
        <v>0</v>
      </c>
      <c r="I76" s="175">
        <f ca="1">IF(OR(C76&lt;0,C76=""),"",-E76*INDEX('Replacement Costs'!$A$16:$H$57,MATCH(C76,'Replacement Costs'!$C$16:$C$57,0),MATCH("Total Yearly Replacement Costs",'Replacement Costs'!$A$16:$H$16,0)))</f>
        <v>-1590708.7131854321</v>
      </c>
      <c r="J76" s="175">
        <f ca="1">IF(AND(C76&gt;=1,C76&lt;anal_period),WorkingCap*SUM(N76:R76)-WorkingCap*SUM(N75:R75),IF(C76&lt;0,0,IF(B76="","",-SUM(J$65:J75))))</f>
        <v>-534897.87890906632</v>
      </c>
      <c r="K76" s="175" t="str">
        <f t="shared" si="4"/>
        <v/>
      </c>
      <c r="L76" s="175" t="str">
        <f t="shared" si="5"/>
        <v/>
      </c>
      <c r="M76" s="175" t="str">
        <f t="shared" si="6"/>
        <v/>
      </c>
      <c r="N76" s="175">
        <f t="shared" ca="1" si="7"/>
        <v>-15472734.041736439</v>
      </c>
      <c r="O76" s="175">
        <f t="shared" ca="1" si="8"/>
        <v>-152418290.99829754</v>
      </c>
      <c r="P76" s="175">
        <f t="shared" ca="1" si="9"/>
        <v>-3061139.5626109405</v>
      </c>
      <c r="Q76" s="175">
        <f t="shared" ca="1" si="10"/>
        <v>0</v>
      </c>
      <c r="R76" s="175">
        <f t="shared" ca="1" si="11"/>
        <v>-1884971.8213520588</v>
      </c>
      <c r="S76" s="175">
        <f ca="1">IF(B76="","",IF($B$31=0,"",-'Debt Financing Calculations'!E25))</f>
        <v>-5741926.1961670937</v>
      </c>
      <c r="T76" s="175">
        <f t="shared" ca="1" si="12"/>
        <v>17471063.8436324</v>
      </c>
      <c r="U76" s="175">
        <f ca="1">IF(C76="","",IF(C76&lt;-1,0,IF(C76=anal_period,-LOOKUP(C76,depr_yr,depr_cost)-Depreciation!$C$141-Depreciation!$B$166,-LOOKUP(C76,depr_yr,depr_cost))))</f>
        <v>-12262613.116676437</v>
      </c>
      <c r="V76" s="175">
        <f t="shared" ca="1" si="13"/>
        <v>5208450.7269559633</v>
      </c>
      <c r="W76" s="176">
        <f t="shared" si="14"/>
        <v>0.25739999999999996</v>
      </c>
      <c r="X76" s="175">
        <f t="shared" ca="1" si="15"/>
        <v>-1340655.2171184646</v>
      </c>
      <c r="Y76" s="175">
        <f t="shared" ca="1" si="16"/>
        <v>16130408.626513936</v>
      </c>
      <c r="Z76" s="175">
        <f>IF(C76="","",IF($B$31=0,"",-'Debt Financing Calculations'!F25))</f>
        <v>0</v>
      </c>
      <c r="AA76" s="175">
        <f t="shared" ca="1" si="17"/>
        <v>14004802.034419436</v>
      </c>
      <c r="AB76" s="175">
        <f t="shared" ca="1" si="23"/>
        <v>85069661.259516999</v>
      </c>
      <c r="AC76" s="933">
        <f t="shared" ca="1" si="18"/>
        <v>15345457.2515379</v>
      </c>
      <c r="AE76" s="937">
        <f t="shared" ca="1" si="19"/>
        <v>158673384</v>
      </c>
      <c r="AF76" s="933">
        <f t="shared" si="20"/>
        <v>0</v>
      </c>
    </row>
    <row r="77" spans="1:32">
      <c r="A77" s="53">
        <f t="shared" si="21"/>
        <v>2024</v>
      </c>
      <c r="B77" s="173">
        <f>IF(MAX($B$65:B76)&lt;(construct+anal_period),B76+1,"")</f>
        <v>13</v>
      </c>
      <c r="C77" s="173">
        <f t="shared" si="22"/>
        <v>10</v>
      </c>
      <c r="D77" s="173">
        <f t="shared" si="1"/>
        <v>10</v>
      </c>
      <c r="E77" s="174">
        <f t="shared" si="2"/>
        <v>1.1845888924186601</v>
      </c>
      <c r="F77" s="54">
        <f t="shared" ca="1" si="3"/>
        <v>199775078.86660862</v>
      </c>
      <c r="G77" s="946"/>
      <c r="H77" s="955">
        <f t="shared" si="24"/>
        <v>0</v>
      </c>
      <c r="I77" s="175">
        <f ca="1">IF(OR(C77&lt;0,C77=""),"",-E77*INDEX('Replacement Costs'!$A$16:$H$57,MATCH(C77,'Replacement Costs'!$C$16:$C$57,0),MATCH("Total Yearly Replacement Costs",'Replacement Costs'!$A$16:$H$16,0)))</f>
        <v>-1620932.1787359554</v>
      </c>
      <c r="J77" s="175">
        <f ca="1">IF(AND(C77&gt;=1,C77&lt;anal_period),WorkingCap*SUM(N77:R77)-WorkingCap*SUM(N76:R76),IF(C77&lt;0,0,IF(B77="","",-SUM(J$65:J76))))</f>
        <v>-886837.69199242443</v>
      </c>
      <c r="K77" s="175" t="str">
        <f t="shared" si="4"/>
        <v/>
      </c>
      <c r="L77" s="175" t="str">
        <f t="shared" si="5"/>
        <v/>
      </c>
      <c r="M77" s="175" t="str">
        <f t="shared" si="6"/>
        <v/>
      </c>
      <c r="N77" s="175">
        <f t="shared" ca="1" si="7"/>
        <v>-15766715.988529431</v>
      </c>
      <c r="O77" s="175">
        <f t="shared" ca="1" si="8"/>
        <v>-157942584.21515876</v>
      </c>
      <c r="P77" s="175">
        <f t="shared" ca="1" si="9"/>
        <v>-3119301.2143005482</v>
      </c>
      <c r="Q77" s="175">
        <f t="shared" ca="1" si="10"/>
        <v>0</v>
      </c>
      <c r="R77" s="175">
        <f t="shared" ca="1" si="11"/>
        <v>-1920786.2859577476</v>
      </c>
      <c r="S77" s="175">
        <f ca="1">IF(B77="","",IF($B$31=0,"",-'Debt Financing Calculations'!E26))</f>
        <v>-5741926.1961670937</v>
      </c>
      <c r="T77" s="175">
        <f t="shared" ca="1" si="12"/>
        <v>15283764.966495037</v>
      </c>
      <c r="U77" s="175">
        <f ca="1">IF(C77="","",IF(C77&lt;-1,0,IF(C77=anal_period,-LOOKUP(C77,depr_yr,depr_cost)-Depreciation!$C$141-Depreciation!$B$166,-LOOKUP(C77,depr_yr,depr_cost))))</f>
        <v>-12334784.072029663</v>
      </c>
      <c r="V77" s="175">
        <f t="shared" ca="1" si="13"/>
        <v>2948980.8944653738</v>
      </c>
      <c r="W77" s="176">
        <f t="shared" si="14"/>
        <v>0.25739999999999996</v>
      </c>
      <c r="X77" s="175">
        <f t="shared" ca="1" si="15"/>
        <v>-759067.68223538715</v>
      </c>
      <c r="Y77" s="175">
        <f t="shared" ca="1" si="16"/>
        <v>14524697.284259651</v>
      </c>
      <c r="Z77" s="175">
        <f>IF(C77="","",IF($B$31=0,"",-'Debt Financing Calculations'!F26))</f>
        <v>0</v>
      </c>
      <c r="AA77" s="175">
        <f t="shared" ca="1" si="17"/>
        <v>12016927.41353127</v>
      </c>
      <c r="AB77" s="175">
        <f t="shared" ca="1" si="23"/>
        <v>97086588.673048273</v>
      </c>
      <c r="AC77" s="933">
        <f t="shared" ca="1" si="18"/>
        <v>12775995.095766656</v>
      </c>
      <c r="AE77" s="937">
        <f t="shared" ca="1" si="19"/>
        <v>158673384</v>
      </c>
      <c r="AF77" s="933">
        <f t="shared" si="20"/>
        <v>0</v>
      </c>
    </row>
    <row r="78" spans="1:32">
      <c r="A78" s="53">
        <f t="shared" si="21"/>
        <v>2025</v>
      </c>
      <c r="B78" s="173">
        <f>IF(MAX($B$65:B77)&lt;(construct+anal_period),B77+1,"")</f>
        <v>14</v>
      </c>
      <c r="C78" s="173">
        <f t="shared" si="22"/>
        <v>11</v>
      </c>
      <c r="D78" s="173">
        <f t="shared" si="1"/>
        <v>11</v>
      </c>
      <c r="E78" s="174">
        <f t="shared" si="2"/>
        <v>1.2070960813746145</v>
      </c>
      <c r="F78" s="54">
        <f t="shared" ca="1" si="3"/>
        <v>203570805.36507419</v>
      </c>
      <c r="G78" s="946"/>
      <c r="H78" s="955">
        <f t="shared" si="24"/>
        <v>0</v>
      </c>
      <c r="I78" s="175">
        <f ca="1">IF(OR(C78&lt;0,C78=""),"",-E78*INDEX('Replacement Costs'!$A$16:$H$57,MATCH(C78,'Replacement Costs'!$C$16:$C$57,0),MATCH("Total Yearly Replacement Costs",'Replacement Costs'!$A$16:$H$16,0)))</f>
        <v>-1651729.8901319385</v>
      </c>
      <c r="J78" s="175">
        <f ca="1">IF(AND(C78&gt;=1,C78&lt;anal_period),WorkingCap*SUM(N78:R78)-WorkingCap*SUM(N77:R77),IF(C78&lt;0,0,IF(B78="","",-SUM(J$65:J77))))</f>
        <v>-1041122.818943318</v>
      </c>
      <c r="K78" s="175" t="str">
        <f t="shared" si="4"/>
        <v/>
      </c>
      <c r="L78" s="175" t="str">
        <f t="shared" si="5"/>
        <v/>
      </c>
      <c r="M78" s="175" t="str">
        <f t="shared" si="6"/>
        <v/>
      </c>
      <c r="N78" s="175">
        <f t="shared" ca="1" si="7"/>
        <v>-16066283.592311488</v>
      </c>
      <c r="O78" s="175">
        <f t="shared" ca="1" si="8"/>
        <v>-164488073.74182725</v>
      </c>
      <c r="P78" s="175">
        <f t="shared" ca="1" si="9"/>
        <v>-3178567.9373722589</v>
      </c>
      <c r="Q78" s="175">
        <f t="shared" ca="1" si="10"/>
        <v>0</v>
      </c>
      <c r="R78" s="175">
        <f t="shared" ca="1" si="11"/>
        <v>-1957281.2253909449</v>
      </c>
      <c r="S78" s="175">
        <f ca="1">IF(B78="","",IF($B$31=0,"",-'Debt Financing Calculations'!E27))</f>
        <v>-5741926.1961670937</v>
      </c>
      <c r="T78" s="175">
        <f t="shared" ca="1" si="12"/>
        <v>12138672.672005147</v>
      </c>
      <c r="U78" s="175">
        <f ca="1">IF(C78="","",IF(C78&lt;-1,0,IF(C78=anal_period,-LOOKUP(C78,depr_yr,depr_cost)-Depreciation!$C$141-Depreciation!$B$166,-LOOKUP(C78,depr_yr,depr_cost))))</f>
        <v>-12413562.00812896</v>
      </c>
      <c r="V78" s="175">
        <f t="shared" ca="1" si="13"/>
        <v>-274889.33612381294</v>
      </c>
      <c r="W78" s="176">
        <f t="shared" si="14"/>
        <v>0.25739999999999996</v>
      </c>
      <c r="X78" s="175">
        <f t="shared" ca="1" si="15"/>
        <v>70756.515118269439</v>
      </c>
      <c r="Y78" s="175">
        <f t="shared" ca="1" si="16"/>
        <v>12209429.187123416</v>
      </c>
      <c r="Z78" s="175">
        <f>IF(C78="","",IF($B$31=0,"",-'Debt Financing Calculations'!F27))</f>
        <v>0</v>
      </c>
      <c r="AA78" s="175">
        <f t="shared" ca="1" si="17"/>
        <v>9516576.4780481588</v>
      </c>
      <c r="AB78" s="175">
        <f t="shared" ca="1" si="23"/>
        <v>106603165.15109643</v>
      </c>
      <c r="AC78" s="933">
        <f t="shared" ca="1" si="18"/>
        <v>9445819.9629298896</v>
      </c>
      <c r="AE78" s="937">
        <f t="shared" ca="1" si="19"/>
        <v>158673384</v>
      </c>
      <c r="AF78" s="933">
        <f t="shared" si="20"/>
        <v>0</v>
      </c>
    </row>
    <row r="79" spans="1:32">
      <c r="A79" s="53">
        <f t="shared" si="21"/>
        <v>2026</v>
      </c>
      <c r="B79" s="173">
        <f>IF(MAX($B$65:B78)&lt;(construct+anal_period),B78+1,"")</f>
        <v>15</v>
      </c>
      <c r="C79" s="173">
        <f t="shared" si="22"/>
        <v>12</v>
      </c>
      <c r="D79" s="173">
        <f t="shared" si="1"/>
        <v>12</v>
      </c>
      <c r="E79" s="174">
        <f t="shared" si="2"/>
        <v>1.2300309069207322</v>
      </c>
      <c r="F79" s="54">
        <f t="shared" ca="1" si="3"/>
        <v>207438650.66701061</v>
      </c>
      <c r="G79" s="946"/>
      <c r="H79" s="955">
        <f t="shared" si="24"/>
        <v>0</v>
      </c>
      <c r="I79" s="175">
        <f ca="1">IF(OR(C79&lt;0,C79=""),"",-E79*INDEX('Replacement Costs'!$A$16:$H$57,MATCH(C79,'Replacement Costs'!$C$16:$C$57,0),MATCH("Total Yearly Replacement Costs",'Replacement Costs'!$A$16:$H$16,0)))</f>
        <v>-1683112.7580444452</v>
      </c>
      <c r="J79" s="175">
        <f ca="1">IF(AND(C79&gt;=1,C79&lt;anal_period),WorkingCap*SUM(N79:R79)-WorkingCap*SUM(N78:R78),IF(C79&lt;0,0,IF(B79="","",-SUM(J$65:J78))))</f>
        <v>-1085437.9561022669</v>
      </c>
      <c r="K79" s="175" t="str">
        <f t="shared" si="4"/>
        <v/>
      </c>
      <c r="L79" s="175" t="str">
        <f t="shared" si="5"/>
        <v/>
      </c>
      <c r="M79" s="175" t="str">
        <f t="shared" si="6"/>
        <v/>
      </c>
      <c r="N79" s="175">
        <f t="shared" ca="1" si="7"/>
        <v>-16371542.980565408</v>
      </c>
      <c r="O79" s="175">
        <f t="shared" ca="1" si="8"/>
        <v>-171321486.26016262</v>
      </c>
      <c r="P79" s="175">
        <f t="shared" ca="1" si="9"/>
        <v>-3238960.7281823317</v>
      </c>
      <c r="Q79" s="175">
        <f t="shared" ca="1" si="10"/>
        <v>0</v>
      </c>
      <c r="R79" s="175">
        <f t="shared" ca="1" si="11"/>
        <v>-1994469.5686733727</v>
      </c>
      <c r="S79" s="175">
        <f ca="1">IF(B79="","",IF($B$31=0,"",-'Debt Financing Calculations'!E28))</f>
        <v>-5741926.1961670937</v>
      </c>
      <c r="T79" s="175">
        <f t="shared" ca="1" si="12"/>
        <v>8770264.9332597852</v>
      </c>
      <c r="U79" s="175">
        <f ca="1">IF(C79="","",IF(C79&lt;-1,0,IF(C79=anal_period,-LOOKUP(C79,depr_yr,depr_cost)-Depreciation!$C$141-Depreciation!$B$166,-LOOKUP(C79,depr_yr,depr_cost))))</f>
        <v>-12488600.99241979</v>
      </c>
      <c r="V79" s="175">
        <f t="shared" ca="1" si="13"/>
        <v>-3718336.0591600053</v>
      </c>
      <c r="W79" s="176">
        <f t="shared" si="14"/>
        <v>0.25739999999999996</v>
      </c>
      <c r="X79" s="175">
        <f t="shared" ca="1" si="15"/>
        <v>957099.70162778522</v>
      </c>
      <c r="Y79" s="175">
        <f t="shared" ca="1" si="16"/>
        <v>9727364.6348875705</v>
      </c>
      <c r="Z79" s="175">
        <f>IF(C79="","",IF($B$31=0,"",-'Debt Financing Calculations'!F28))</f>
        <v>0</v>
      </c>
      <c r="AA79" s="175">
        <f t="shared" ca="1" si="17"/>
        <v>6958813.9207408587</v>
      </c>
      <c r="AB79" s="175">
        <f t="shared" ca="1" si="23"/>
        <v>113561979.07183729</v>
      </c>
      <c r="AC79" s="933">
        <f t="shared" ca="1" si="18"/>
        <v>6001714.2191130733</v>
      </c>
      <c r="AE79" s="937">
        <f t="shared" ca="1" si="19"/>
        <v>158673384</v>
      </c>
      <c r="AF79" s="933">
        <f t="shared" si="20"/>
        <v>0</v>
      </c>
    </row>
    <row r="80" spans="1:32">
      <c r="A80" s="53">
        <f t="shared" si="21"/>
        <v>2027</v>
      </c>
      <c r="B80" s="173">
        <f>IF(MAX($B$65:B79)&lt;(construct+anal_period),B79+1,"")</f>
        <v>16</v>
      </c>
      <c r="C80" s="173">
        <f t="shared" si="22"/>
        <v>13</v>
      </c>
      <c r="D80" s="173">
        <f t="shared" si="1"/>
        <v>13</v>
      </c>
      <c r="E80" s="174">
        <f t="shared" si="2"/>
        <v>1.253401494152226</v>
      </c>
      <c r="F80" s="54">
        <f t="shared" ca="1" si="3"/>
        <v>211379985.02968377</v>
      </c>
      <c r="G80" s="946"/>
      <c r="H80" s="955">
        <f t="shared" si="24"/>
        <v>0</v>
      </c>
      <c r="I80" s="175">
        <f ca="1">IF(OR(C80&lt;0,C80=""),"",-E80*INDEX('Replacement Costs'!$A$16:$H$57,MATCH(C80,'Replacement Costs'!$C$16:$C$57,0),MATCH("Total Yearly Replacement Costs",'Replacement Costs'!$A$16:$H$16,0)))</f>
        <v>-1715091.9004472895</v>
      </c>
      <c r="J80" s="175">
        <f ca="1">IF(AND(C80&gt;=1,C80&lt;anal_period),WorkingCap*SUM(N80:R80)-WorkingCap*SUM(N79:R79),IF(C80&lt;0,0,IF(B80="","",-SUM(J$65:J79))))</f>
        <v>-1003219.4580237493</v>
      </c>
      <c r="K80" s="175" t="str">
        <f t="shared" si="4"/>
        <v/>
      </c>
      <c r="L80" s="175" t="str">
        <f t="shared" si="5"/>
        <v/>
      </c>
      <c r="M80" s="175" t="str">
        <f t="shared" si="6"/>
        <v/>
      </c>
      <c r="N80" s="175">
        <f t="shared" ca="1" si="7"/>
        <v>-16682602.297196148</v>
      </c>
      <c r="O80" s="175">
        <f t="shared" ca="1" si="8"/>
        <v>-177599121.48804998</v>
      </c>
      <c r="P80" s="175">
        <f t="shared" ca="1" si="9"/>
        <v>-3300500.9820177956</v>
      </c>
      <c r="Q80" s="175">
        <f t="shared" ca="1" si="10"/>
        <v>0</v>
      </c>
      <c r="R80" s="175">
        <f t="shared" ca="1" si="11"/>
        <v>-2032364.4904781666</v>
      </c>
      <c r="S80" s="175">
        <f ca="1">IF(B80="","",IF($B$31=0,"",-'Debt Financing Calculations'!E29))</f>
        <v>-5741926.1961670937</v>
      </c>
      <c r="T80" s="175">
        <f t="shared" ca="1" si="12"/>
        <v>6023469.57577461</v>
      </c>
      <c r="U80" s="175">
        <f ca="1">IF(C80="","",IF(C80&lt;-1,0,IF(C80=anal_period,-LOOKUP(C80,depr_yr,depr_cost)-Depreciation!$C$141-Depreciation!$B$166,-LOOKUP(C80,depr_yr,depr_cost))))</f>
        <v>-12570301.450006496</v>
      </c>
      <c r="V80" s="175">
        <f t="shared" ca="1" si="13"/>
        <v>-6546831.8742318861</v>
      </c>
      <c r="W80" s="176">
        <f t="shared" si="14"/>
        <v>0.25739999999999996</v>
      </c>
      <c r="X80" s="175">
        <f t="shared" ca="1" si="15"/>
        <v>1685154.5244272873</v>
      </c>
      <c r="Y80" s="175">
        <f t="shared" ca="1" si="16"/>
        <v>7708624.1002018973</v>
      </c>
      <c r="Z80" s="175">
        <f>IF(C80="","",IF($B$31=0,"",-'Debt Financing Calculations'!F29))</f>
        <v>0</v>
      </c>
      <c r="AA80" s="175">
        <f t="shared" ca="1" si="17"/>
        <v>4990312.7417308586</v>
      </c>
      <c r="AB80" s="175">
        <f t="shared" ca="1" si="23"/>
        <v>118552291.81356815</v>
      </c>
      <c r="AC80" s="933">
        <f t="shared" ca="1" si="18"/>
        <v>3305158.2173035713</v>
      </c>
      <c r="AE80" s="937">
        <f t="shared" ca="1" si="19"/>
        <v>158673384</v>
      </c>
      <c r="AF80" s="933">
        <f t="shared" si="20"/>
        <v>0</v>
      </c>
    </row>
    <row r="81" spans="1:32">
      <c r="A81" s="53">
        <f t="shared" si="21"/>
        <v>2028</v>
      </c>
      <c r="B81" s="173">
        <f>IF(MAX($B$65:B80)&lt;(construct+anal_period),B80+1,"")</f>
        <v>17</v>
      </c>
      <c r="C81" s="173">
        <f t="shared" si="22"/>
        <v>14</v>
      </c>
      <c r="D81" s="173">
        <f t="shared" si="1"/>
        <v>14</v>
      </c>
      <c r="E81" s="174">
        <f t="shared" si="2"/>
        <v>1.277216122541118</v>
      </c>
      <c r="F81" s="54">
        <f t="shared" ca="1" si="3"/>
        <v>215396204.74524772</v>
      </c>
      <c r="G81" s="946"/>
      <c r="H81" s="955">
        <f t="shared" si="24"/>
        <v>0</v>
      </c>
      <c r="I81" s="175">
        <f ca="1">IF(OR(C81&lt;0,C81=""),"",-E81*INDEX('Replacement Costs'!$A$16:$H$57,MATCH(C81,'Replacement Costs'!$C$16:$C$57,0),MATCH("Total Yearly Replacement Costs",'Replacement Costs'!$A$16:$H$16,0)))</f>
        <v>-1747678.6465557877</v>
      </c>
      <c r="J81" s="175">
        <f ca="1">IF(AND(C81&gt;=1,C81&lt;anal_period),WorkingCap*SUM(N81:R81)-WorkingCap*SUM(N80:R80),IF(C81&lt;0,0,IF(B81="","",-SUM(J$65:J80))))</f>
        <v>-1027177.0210843831</v>
      </c>
      <c r="K81" s="175" t="str">
        <f t="shared" si="4"/>
        <v/>
      </c>
      <c r="L81" s="175" t="str">
        <f t="shared" si="5"/>
        <v/>
      </c>
      <c r="M81" s="175" t="str">
        <f t="shared" si="6"/>
        <v/>
      </c>
      <c r="N81" s="175">
        <f t="shared" ca="1" si="7"/>
        <v>-16999571.740842871</v>
      </c>
      <c r="O81" s="175">
        <f t="shared" ca="1" si="8"/>
        <v>-184028674.40765503</v>
      </c>
      <c r="P81" s="175">
        <f t="shared" ca="1" si="9"/>
        <v>-3363210.5006761332</v>
      </c>
      <c r="Q81" s="175">
        <f t="shared" ca="1" si="10"/>
        <v>0</v>
      </c>
      <c r="R81" s="175">
        <f t="shared" ca="1" si="11"/>
        <v>-2070979.4157972515</v>
      </c>
      <c r="S81" s="175">
        <f ca="1">IF(B81="","",IF($B$31=0,"",-'Debt Financing Calculations'!E30))</f>
        <v>-5741926.1961670937</v>
      </c>
      <c r="T81" s="175">
        <f t="shared" ca="1" si="12"/>
        <v>3191842.4841093421</v>
      </c>
      <c r="U81" s="175">
        <f ca="1">IF(C81="","",IF(C81&lt;-1,0,IF(C81=anal_period,-LOOKUP(C81,depr_yr,depr_cost)-Depreciation!$C$141-Depreciation!$B$166,-LOOKUP(C81,depr_yr,depr_cost))))</f>
        <v>-12648318.483692994</v>
      </c>
      <c r="V81" s="175">
        <f t="shared" ca="1" si="13"/>
        <v>-9456475.9995836522</v>
      </c>
      <c r="W81" s="176">
        <f t="shared" si="14"/>
        <v>0.25739999999999996</v>
      </c>
      <c r="X81" s="175">
        <f t="shared" ca="1" si="15"/>
        <v>2434096.9222928318</v>
      </c>
      <c r="Y81" s="175">
        <f t="shared" ca="1" si="16"/>
        <v>5625939.4064021744</v>
      </c>
      <c r="Z81" s="175">
        <f>IF(C81="","",IF($B$31=0,"",-'Debt Financing Calculations'!F30))</f>
        <v>0</v>
      </c>
      <c r="AA81" s="175">
        <f t="shared" ca="1" si="17"/>
        <v>2851083.7387620029</v>
      </c>
      <c r="AB81" s="175">
        <f t="shared" ca="1" si="23"/>
        <v>121403375.55233015</v>
      </c>
      <c r="AC81" s="933">
        <f t="shared" ca="1" si="18"/>
        <v>416986.81646917108</v>
      </c>
      <c r="AE81" s="937">
        <f t="shared" ca="1" si="19"/>
        <v>158673384</v>
      </c>
      <c r="AF81" s="933">
        <f t="shared" si="20"/>
        <v>0</v>
      </c>
    </row>
    <row r="82" spans="1:32">
      <c r="A82" s="53">
        <f t="shared" si="21"/>
        <v>2029</v>
      </c>
      <c r="B82" s="173">
        <f>IF(MAX($B$65:B81)&lt;(construct+anal_period),B81+1,"")</f>
        <v>18</v>
      </c>
      <c r="C82" s="173">
        <f t="shared" si="22"/>
        <v>15</v>
      </c>
      <c r="D82" s="173">
        <f t="shared" si="1"/>
        <v>15</v>
      </c>
      <c r="E82" s="174">
        <f t="shared" si="2"/>
        <v>1.3014832288693996</v>
      </c>
      <c r="F82" s="54">
        <f t="shared" ca="1" si="3"/>
        <v>219488732.63540748</v>
      </c>
      <c r="G82" s="946"/>
      <c r="H82" s="955">
        <f t="shared" si="24"/>
        <v>0</v>
      </c>
      <c r="I82" s="175">
        <f ca="1">IF(OR(C82&lt;0,C82=""),"",-E82*INDEX('Replacement Costs'!$A$16:$H$57,MATCH(C82,'Replacement Costs'!$C$16:$C$57,0),MATCH("Total Yearly Replacement Costs",'Replacement Costs'!$A$16:$H$16,0)))</f>
        <v>-1780884.540840348</v>
      </c>
      <c r="J82" s="175">
        <f ca="1">IF(AND(C82&gt;=1,C82&lt;anal_period),WorkingCap*SUM(N82:R82)-WorkingCap*SUM(N81:R81),IF(C82&lt;0,0,IF(B82="","",-SUM(J$65:J81))))</f>
        <v>-980689.26215611771</v>
      </c>
      <c r="K82" s="175" t="str">
        <f t="shared" si="4"/>
        <v/>
      </c>
      <c r="L82" s="175" t="str">
        <f t="shared" si="5"/>
        <v/>
      </c>
      <c r="M82" s="175" t="str">
        <f t="shared" si="6"/>
        <v/>
      </c>
      <c r="N82" s="175">
        <f t="shared" ca="1" si="7"/>
        <v>-17322563.603918891</v>
      </c>
      <c r="O82" s="175">
        <f t="shared" ca="1" si="8"/>
        <v>-190140361.35054016</v>
      </c>
      <c r="P82" s="175">
        <f t="shared" ca="1" si="9"/>
        <v>-3427111.5001889803</v>
      </c>
      <c r="Q82" s="175">
        <f t="shared" ca="1" si="10"/>
        <v>0</v>
      </c>
      <c r="R82" s="175">
        <f t="shared" ca="1" si="11"/>
        <v>-2110328.0246973997</v>
      </c>
      <c r="S82" s="175">
        <f ca="1">IF(B82="","",IF($B$31=0,"",-'Debt Financing Calculations'!E31))</f>
        <v>-5741926.1961670937</v>
      </c>
      <c r="T82" s="175">
        <f t="shared" ca="1" si="12"/>
        <v>746441.95989498496</v>
      </c>
      <c r="U82" s="175">
        <f ca="1">IF(C82="","",IF(C82&lt;-1,0,IF(C82=anal_period,-LOOKUP(C82,depr_yr,depr_cost)-Depreciation!$C$141-Depreciation!$B$166,-LOOKUP(C82,depr_yr,depr_cost))))</f>
        <v>-12733053.573613891</v>
      </c>
      <c r="V82" s="175">
        <f t="shared" ca="1" si="13"/>
        <v>-11986611.613718906</v>
      </c>
      <c r="W82" s="176">
        <f t="shared" si="14"/>
        <v>0.25739999999999996</v>
      </c>
      <c r="X82" s="175">
        <f t="shared" ca="1" si="15"/>
        <v>3085353.829371246</v>
      </c>
      <c r="Y82" s="175">
        <f t="shared" ca="1" si="16"/>
        <v>3831795.789266231</v>
      </c>
      <c r="Z82" s="175">
        <f>IF(C82="","",IF($B$31=0,"",-'Debt Financing Calculations'!F31))</f>
        <v>0</v>
      </c>
      <c r="AA82" s="175">
        <f t="shared" ca="1" si="17"/>
        <v>1070221.9862697651</v>
      </c>
      <c r="AB82" s="175">
        <f t="shared" ca="1" si="23"/>
        <v>122473597.53859992</v>
      </c>
      <c r="AC82" s="933">
        <f t="shared" ca="1" si="18"/>
        <v>-2015131.843101481</v>
      </c>
      <c r="AE82" s="937">
        <f t="shared" ca="1" si="19"/>
        <v>158673384</v>
      </c>
      <c r="AF82" s="933">
        <f t="shared" si="20"/>
        <v>0</v>
      </c>
    </row>
    <row r="83" spans="1:32">
      <c r="A83" s="53">
        <f t="shared" si="21"/>
        <v>2030</v>
      </c>
      <c r="B83" s="173">
        <f>IF(MAX($B$65:B82)&lt;(construct+anal_period),B82+1,"")</f>
        <v>19</v>
      </c>
      <c r="C83" s="173">
        <f t="shared" si="22"/>
        <v>16</v>
      </c>
      <c r="D83" s="173">
        <f t="shared" si="1"/>
        <v>16</v>
      </c>
      <c r="E83" s="174">
        <f t="shared" si="2"/>
        <v>1.3262114102179181</v>
      </c>
      <c r="F83" s="54">
        <f t="shared" ca="1" si="3"/>
        <v>223659018.55548021</v>
      </c>
      <c r="G83" s="946"/>
      <c r="H83" s="955">
        <f t="shared" si="24"/>
        <v>0</v>
      </c>
      <c r="I83" s="175">
        <f ca="1">IF(OR(C83&lt;0,C83=""),"",-E83*INDEX('Replacement Costs'!$A$16:$H$57,MATCH(C83,'Replacement Costs'!$C$16:$C$57,0),MATCH("Total Yearly Replacement Costs",'Replacement Costs'!$A$16:$H$16,0)))</f>
        <v>-1814721.3471163146</v>
      </c>
      <c r="J83" s="175">
        <f ca="1">IF(AND(C83&gt;=1,C83&lt;anal_period),WorkingCap*SUM(N83:R83)-WorkingCap*SUM(N82:R82),IF(C83&lt;0,0,IF(B83="","",-SUM(J$65:J82))))</f>
        <v>-707605.96954518929</v>
      </c>
      <c r="K83" s="175" t="str">
        <f t="shared" si="4"/>
        <v/>
      </c>
      <c r="L83" s="175" t="str">
        <f t="shared" si="5"/>
        <v/>
      </c>
      <c r="M83" s="175" t="str">
        <f t="shared" si="6"/>
        <v/>
      </c>
      <c r="N83" s="175">
        <f t="shared" ca="1" si="7"/>
        <v>-17651692.312393349</v>
      </c>
      <c r="O83" s="175">
        <f t="shared" ca="1" si="8"/>
        <v>-194423394.42139411</v>
      </c>
      <c r="P83" s="175">
        <f t="shared" ca="1" si="9"/>
        <v>-3492226.6186925708</v>
      </c>
      <c r="Q83" s="175">
        <f t="shared" ca="1" si="10"/>
        <v>0</v>
      </c>
      <c r="R83" s="175">
        <f t="shared" ca="1" si="11"/>
        <v>-2150424.2571666501</v>
      </c>
      <c r="S83" s="175">
        <f ca="1">IF(B83="","",IF($B$31=0,"",-'Debt Financing Calculations'!E32))</f>
        <v>-5741926.1961670937</v>
      </c>
      <c r="T83" s="175">
        <f t="shared" ca="1" si="12"/>
        <v>199354.74966645241</v>
      </c>
      <c r="U83" s="175">
        <f ca="1">IF(C83="","",IF(C83&lt;-1,0,IF(C83=anal_period,-LOOKUP(C83,depr_yr,depr_cost)-Depreciation!$C$141-Depreciation!$B$166,-LOOKUP(C83,depr_yr,depr_cost))))</f>
        <v>-12814162.897648936</v>
      </c>
      <c r="V83" s="175">
        <f t="shared" ca="1" si="13"/>
        <v>-12614808.147982484</v>
      </c>
      <c r="W83" s="176">
        <f t="shared" si="14"/>
        <v>0.25739999999999996</v>
      </c>
      <c r="X83" s="175">
        <f t="shared" ca="1" si="15"/>
        <v>3247051.617290691</v>
      </c>
      <c r="Y83" s="175">
        <f t="shared" ca="1" si="16"/>
        <v>3446406.3669571434</v>
      </c>
      <c r="Z83" s="175">
        <f>IF(C83="","",IF($B$31=0,"",-'Debt Financing Calculations'!F32))</f>
        <v>0</v>
      </c>
      <c r="AA83" s="175">
        <f t="shared" ca="1" si="17"/>
        <v>924079.05029563932</v>
      </c>
      <c r="AB83" s="175">
        <f t="shared" ca="1" si="23"/>
        <v>123397676.58889556</v>
      </c>
      <c r="AC83" s="933">
        <f t="shared" ca="1" si="18"/>
        <v>-2322972.5669950517</v>
      </c>
      <c r="AE83" s="937">
        <f t="shared" ca="1" si="19"/>
        <v>158673384</v>
      </c>
      <c r="AF83" s="933">
        <f t="shared" si="20"/>
        <v>0</v>
      </c>
    </row>
    <row r="84" spans="1:32">
      <c r="A84" s="53">
        <f t="shared" si="21"/>
        <v>2031</v>
      </c>
      <c r="B84" s="173">
        <f>IF(MAX($B$65:B83)&lt;(construct+anal_period),B83+1,"")</f>
        <v>20</v>
      </c>
      <c r="C84" s="173">
        <f t="shared" si="22"/>
        <v>17</v>
      </c>
      <c r="D84" s="173">
        <f t="shared" si="1"/>
        <v>17</v>
      </c>
      <c r="E84" s="174">
        <f t="shared" si="2"/>
        <v>1.3514094270120585</v>
      </c>
      <c r="F84" s="54">
        <f t="shared" ca="1" si="3"/>
        <v>227908539.90803432</v>
      </c>
      <c r="G84" s="946"/>
      <c r="H84" s="955">
        <f t="shared" si="24"/>
        <v>0</v>
      </c>
      <c r="I84" s="175">
        <f ca="1">IF(OR(C84&lt;0,C84=""),"",-E84*INDEX('Replacement Costs'!$A$16:$H$57,MATCH(C84,'Replacement Costs'!$C$16:$C$57,0),MATCH("Total Yearly Replacement Costs",'Replacement Costs'!$A$16:$H$16,0)))</f>
        <v>-1849201.0527115243</v>
      </c>
      <c r="J84" s="175">
        <f ca="1">IF(AND(C84&gt;=1,C84&lt;anal_period),WorkingCap*SUM(N84:R84)-WorkingCap*SUM(N83:R83),IF(C84&lt;0,0,IF(B84="","",-SUM(J$65:J83))))</f>
        <v>-747061.03830843419</v>
      </c>
      <c r="K84" s="175" t="str">
        <f t="shared" si="4"/>
        <v/>
      </c>
      <c r="L84" s="175" t="str">
        <f t="shared" si="5"/>
        <v/>
      </c>
      <c r="M84" s="175" t="str">
        <f t="shared" si="6"/>
        <v/>
      </c>
      <c r="N84" s="175">
        <f t="shared" ca="1" si="7"/>
        <v>-17987074.466328822</v>
      </c>
      <c r="O84" s="175">
        <f t="shared" ca="1" si="8"/>
        <v>-198961208.82287353</v>
      </c>
      <c r="P84" s="175">
        <f t="shared" ca="1" si="9"/>
        <v>-3558578.9244477293</v>
      </c>
      <c r="Q84" s="175">
        <f t="shared" ca="1" si="10"/>
        <v>0</v>
      </c>
      <c r="R84" s="175">
        <f t="shared" ca="1" si="11"/>
        <v>-2191282.3180528162</v>
      </c>
      <c r="S84" s="175">
        <f ca="1">IF(B84="","",IF($B$31=0,"",-'Debt Financing Calculations'!E33))</f>
        <v>-5741926.1961670937</v>
      </c>
      <c r="T84" s="175">
        <f t="shared" ca="1" si="12"/>
        <v>-531530.81983566284</v>
      </c>
      <c r="U84" s="175">
        <f ca="1">IF(C84="","",IF(C84&lt;-1,0,IF(C84=anal_period,-LOOKUP(C84,depr_yr,depr_cost)-Depreciation!$C$141-Depreciation!$B$166,-LOOKUP(C84,depr_yr,depr_cost))))</f>
        <v>-12902049.031434996</v>
      </c>
      <c r="V84" s="175">
        <f t="shared" ca="1" si="13"/>
        <v>-13433579.851270659</v>
      </c>
      <c r="W84" s="176">
        <f t="shared" si="14"/>
        <v>0.25739999999999996</v>
      </c>
      <c r="X84" s="175">
        <f t="shared" ca="1" si="15"/>
        <v>3457803.4537170669</v>
      </c>
      <c r="Y84" s="175">
        <f t="shared" ca="1" si="16"/>
        <v>2926272.6338814041</v>
      </c>
      <c r="Z84" s="175">
        <f>IF(C84="","",IF($B$31=0,"",-'Debt Financing Calculations'!F33))</f>
        <v>0</v>
      </c>
      <c r="AA84" s="175">
        <f t="shared" ca="1" si="17"/>
        <v>330010.54286144581</v>
      </c>
      <c r="AB84" s="175">
        <f t="shared" ca="1" si="23"/>
        <v>123727687.13175701</v>
      </c>
      <c r="AC84" s="933">
        <f t="shared" ca="1" si="18"/>
        <v>-3127792.9108556211</v>
      </c>
      <c r="AE84" s="937">
        <f t="shared" ca="1" si="19"/>
        <v>158673384</v>
      </c>
      <c r="AF84" s="933">
        <f t="shared" si="20"/>
        <v>0</v>
      </c>
    </row>
    <row r="85" spans="1:32">
      <c r="A85" s="53">
        <f t="shared" si="21"/>
        <v>2032</v>
      </c>
      <c r="B85" s="173">
        <f>IF(MAX($B$65:B84)&lt;(construct+anal_period),B84+1,"")</f>
        <v>21</v>
      </c>
      <c r="C85" s="173">
        <f t="shared" si="22"/>
        <v>18</v>
      </c>
      <c r="D85" s="173">
        <f t="shared" si="1"/>
        <v>18</v>
      </c>
      <c r="E85" s="174">
        <f t="shared" si="2"/>
        <v>1.3770862061252875</v>
      </c>
      <c r="F85" s="54">
        <f t="shared" ca="1" si="3"/>
        <v>232238802.16628698</v>
      </c>
      <c r="G85" s="946"/>
      <c r="H85" s="955">
        <f t="shared" si="24"/>
        <v>0</v>
      </c>
      <c r="I85" s="175">
        <f ca="1">IF(OR(C85&lt;0,C85=""),"",-E85*INDEX('Replacement Costs'!$A$16:$H$57,MATCH(C85,'Replacement Costs'!$C$16:$C$57,0),MATCH("Total Yearly Replacement Costs",'Replacement Costs'!$A$16:$H$16,0)))</f>
        <v>-1884335.8727130434</v>
      </c>
      <c r="J85" s="175">
        <f ca="1">IF(AND(C85&gt;=1,C85&lt;anal_period),WorkingCap*SUM(N85:R85)-WorkingCap*SUM(N84:R84),IF(C85&lt;0,0,IF(B85="","",-SUM(J$65:J84))))</f>
        <v>-558555.80004809797</v>
      </c>
      <c r="K85" s="175" t="str">
        <f t="shared" si="4"/>
        <v/>
      </c>
      <c r="L85" s="175" t="str">
        <f t="shared" si="5"/>
        <v/>
      </c>
      <c r="M85" s="175" t="str">
        <f t="shared" si="6"/>
        <v/>
      </c>
      <c r="N85" s="175">
        <f t="shared" ca="1" si="7"/>
        <v>-18328828.881189067</v>
      </c>
      <c r="O85" s="175">
        <f t="shared" ca="1" si="8"/>
        <v>-202233912.37805974</v>
      </c>
      <c r="P85" s="175">
        <f t="shared" ca="1" si="9"/>
        <v>-3626191.9240122363</v>
      </c>
      <c r="Q85" s="175">
        <f t="shared" ca="1" si="10"/>
        <v>0</v>
      </c>
      <c r="R85" s="175">
        <f t="shared" ca="1" si="11"/>
        <v>-2232916.6820958196</v>
      </c>
      <c r="S85" s="175">
        <f ca="1">IF(B85="","",IF($B$31=0,"",-'Debt Financing Calculations'!E34))</f>
        <v>-5741926.1961670937</v>
      </c>
      <c r="T85" s="175">
        <f t="shared" ca="1" si="12"/>
        <v>75026.104763001204</v>
      </c>
      <c r="U85" s="175">
        <f ca="1">IF(C85="","",IF(C85&lt;-1,0,IF(C85=anal_period,-LOOKUP(C85,depr_yr,depr_cost)-Depreciation!$C$141-Depreciation!$B$166,-LOOKUP(C85,depr_yr,depr_cost))))</f>
        <v>-12986369.269168638</v>
      </c>
      <c r="V85" s="175">
        <f t="shared" ca="1" si="13"/>
        <v>-12911343.164405636</v>
      </c>
      <c r="W85" s="176">
        <f t="shared" si="14"/>
        <v>0.25739999999999996</v>
      </c>
      <c r="X85" s="175">
        <f t="shared" ca="1" si="15"/>
        <v>3323379.7305180104</v>
      </c>
      <c r="Y85" s="175">
        <f t="shared" ca="1" si="16"/>
        <v>3398405.8352810116</v>
      </c>
      <c r="Z85" s="175">
        <f>IF(C85="","",IF($B$31=0,"",-'Debt Financing Calculations'!F34))</f>
        <v>0</v>
      </c>
      <c r="AA85" s="175">
        <f t="shared" ca="1" si="17"/>
        <v>955514.16251987033</v>
      </c>
      <c r="AB85" s="175">
        <f t="shared" ca="1" si="23"/>
        <v>124683201.29427688</v>
      </c>
      <c r="AC85" s="933">
        <f t="shared" ca="1" si="18"/>
        <v>-2367865.5679981401</v>
      </c>
      <c r="AE85" s="937">
        <f t="shared" ca="1" si="19"/>
        <v>158673384</v>
      </c>
      <c r="AF85" s="933">
        <f t="shared" si="20"/>
        <v>0</v>
      </c>
    </row>
    <row r="86" spans="1:32">
      <c r="A86" s="53">
        <f t="shared" si="21"/>
        <v>2033</v>
      </c>
      <c r="B86" s="173">
        <f>IF(MAX($B$65:B85)&lt;(construct+anal_period),B85+1,"")</f>
        <v>22</v>
      </c>
      <c r="C86" s="173">
        <f t="shared" si="22"/>
        <v>19</v>
      </c>
      <c r="D86" s="173">
        <f t="shared" si="1"/>
        <v>19</v>
      </c>
      <c r="E86" s="174">
        <f t="shared" si="2"/>
        <v>1.4032508440416678</v>
      </c>
      <c r="F86" s="54">
        <f t="shared" ca="1" si="3"/>
        <v>236651339.40744638</v>
      </c>
      <c r="G86" s="946"/>
      <c r="H86" s="955">
        <f t="shared" si="24"/>
        <v>0</v>
      </c>
      <c r="I86" s="175">
        <f ca="1">IF(OR(C86&lt;0,C86=""),"",-E86*INDEX('Replacement Costs'!$A$16:$H$57,MATCH(C86,'Replacement Costs'!$C$16:$C$57,0),MATCH("Total Yearly Replacement Costs",'Replacement Costs'!$A$16:$H$16,0)))</f>
        <v>-1920138.2542945908</v>
      </c>
      <c r="J86" s="175">
        <f ca="1">IF(AND(C86&gt;=1,C86&lt;anal_period),WorkingCap*SUM(N86:R86)-WorkingCap*SUM(N85:R85),IF(C86&lt;0,0,IF(B86="","",-SUM(J$65:J85))))</f>
        <v>-340440.77774914354</v>
      </c>
      <c r="K86" s="175" t="str">
        <f t="shared" si="4"/>
        <v/>
      </c>
      <c r="L86" s="175" t="str">
        <f t="shared" si="5"/>
        <v/>
      </c>
      <c r="M86" s="175" t="str">
        <f t="shared" si="6"/>
        <v/>
      </c>
      <c r="N86" s="175">
        <f t="shared" ca="1" si="7"/>
        <v>-18677076.629931659</v>
      </c>
      <c r="O86" s="175">
        <f t="shared" ca="1" si="8"/>
        <v>-204043946.75079539</v>
      </c>
      <c r="P86" s="175">
        <f t="shared" ca="1" si="9"/>
        <v>-3695089.570568468</v>
      </c>
      <c r="Q86" s="175">
        <f t="shared" ca="1" si="10"/>
        <v>0</v>
      </c>
      <c r="R86" s="175">
        <f t="shared" ca="1" si="11"/>
        <v>-2275342.0990556399</v>
      </c>
      <c r="S86" s="175">
        <f ca="1">IF(B86="","",IF($B$31=0,"",-'Debt Financing Calculations'!E35))</f>
        <v>-5741926.1961670937</v>
      </c>
      <c r="T86" s="175">
        <f t="shared" ca="1" si="12"/>
        <v>2217958.1609281301</v>
      </c>
      <c r="U86" s="175">
        <f ca="1">IF(C86="","",IF(C86&lt;-1,0,IF(C86=anal_period,-LOOKUP(C86,depr_yr,depr_cost)-Depreciation!$C$141-Depreciation!$B$166,-LOOKUP(C86,depr_yr,depr_cost))))</f>
        <v>-13077527.324013574</v>
      </c>
      <c r="V86" s="175">
        <f t="shared" ca="1" si="13"/>
        <v>-10859569.163085444</v>
      </c>
      <c r="W86" s="176">
        <f t="shared" si="14"/>
        <v>0.25739999999999996</v>
      </c>
      <c r="X86" s="175">
        <f t="shared" ca="1" si="15"/>
        <v>2795253.1025781929</v>
      </c>
      <c r="Y86" s="175">
        <f t="shared" ca="1" si="16"/>
        <v>5013211.2635063231</v>
      </c>
      <c r="Z86" s="175">
        <f>IF(C86="","",IF($B$31=0,"",-'Debt Financing Calculations'!F35))</f>
        <v>0</v>
      </c>
      <c r="AA86" s="175">
        <f t="shared" ca="1" si="17"/>
        <v>2752632.2314625885</v>
      </c>
      <c r="AB86" s="175">
        <f t="shared" ca="1" si="23"/>
        <v>127435833.52573946</v>
      </c>
      <c r="AC86" s="933">
        <f t="shared" ca="1" si="18"/>
        <v>-42620.871115604416</v>
      </c>
      <c r="AE86" s="937">
        <f t="shared" ca="1" si="19"/>
        <v>158673384</v>
      </c>
      <c r="AF86" s="933">
        <f t="shared" si="20"/>
        <v>0</v>
      </c>
    </row>
    <row r="87" spans="1:32">
      <c r="A87" s="53">
        <f t="shared" si="21"/>
        <v>2034</v>
      </c>
      <c r="B87" s="173">
        <f>IF(MAX($B$65:B86)&lt;(construct+anal_period),B86+1,"")</f>
        <v>23</v>
      </c>
      <c r="C87" s="173">
        <f t="shared" si="22"/>
        <v>20</v>
      </c>
      <c r="D87" s="173">
        <f t="shared" si="1"/>
        <v>20</v>
      </c>
      <c r="E87" s="174">
        <f t="shared" si="2"/>
        <v>1.4299126100784596</v>
      </c>
      <c r="F87" s="54">
        <f t="shared" ca="1" si="3"/>
        <v>241147714.85618788</v>
      </c>
      <c r="G87" s="946"/>
      <c r="H87" s="955">
        <f t="shared" si="24"/>
        <v>0</v>
      </c>
      <c r="I87" s="175">
        <f ca="1">IF(OR(C87&lt;0,C87=""),"",-E87*INDEX('Replacement Costs'!$A$16:$H$57,MATCH(C87,'Replacement Costs'!$C$16:$C$57,0),MATCH("Total Yearly Replacement Costs",'Replacement Costs'!$A$16:$H$16,0)))</f>
        <v>-1956620.8811261882</v>
      </c>
      <c r="J87" s="175">
        <f ca="1">IF(AND(C87&gt;=1,C87&lt;anal_period),WorkingCap*SUM(N87:R87)-WorkingCap*SUM(N86:R86),IF(C87&lt;0,0,IF(B87="","",-SUM(J$65:J86))))</f>
        <v>-642918.68919631839</v>
      </c>
      <c r="K87" s="175" t="str">
        <f t="shared" si="4"/>
        <v/>
      </c>
      <c r="L87" s="175" t="str">
        <f t="shared" si="5"/>
        <v/>
      </c>
      <c r="M87" s="175" t="str">
        <f t="shared" si="6"/>
        <v/>
      </c>
      <c r="N87" s="175">
        <f t="shared" ca="1" si="7"/>
        <v>-19031941.085900359</v>
      </c>
      <c r="O87" s="175">
        <f t="shared" ca="1" si="8"/>
        <v>-207861768.68774599</v>
      </c>
      <c r="P87" s="175">
        <f t="shared" ca="1" si="9"/>
        <v>-3765296.2724092691</v>
      </c>
      <c r="Q87" s="175">
        <f t="shared" ca="1" si="10"/>
        <v>0</v>
      </c>
      <c r="R87" s="175">
        <f t="shared" ca="1" si="11"/>
        <v>-2318573.5989376972</v>
      </c>
      <c r="S87" s="175">
        <f ca="1">IF(B87="","",IF($B$31=0,"",-'Debt Financing Calculations'!E36))</f>
        <v>-5741926.1961670937</v>
      </c>
      <c r="T87" s="175">
        <f t="shared" ca="1" si="12"/>
        <v>2428209.0150274932</v>
      </c>
      <c r="U87" s="175">
        <f ca="1">IF(C87="","",IF(C87&lt;-1,0,IF(C87=anal_period,-LOOKUP(C87,depr_yr,depr_cost)-Depreciation!$C$141-Depreciation!$B$166,-LOOKUP(C87,depr_yr,depr_cost))))</f>
        <v>-13165181.649306208</v>
      </c>
      <c r="V87" s="175">
        <f t="shared" ca="1" si="13"/>
        <v>-10736972.634278715</v>
      </c>
      <c r="W87" s="176">
        <f t="shared" si="14"/>
        <v>0.25739999999999996</v>
      </c>
      <c r="X87" s="175">
        <f t="shared" ca="1" si="15"/>
        <v>2763696.7560633407</v>
      </c>
      <c r="Y87" s="175">
        <f t="shared" ca="1" si="16"/>
        <v>5191905.7710908335</v>
      </c>
      <c r="Z87" s="175">
        <f>IF(C87="","",IF($B$31=0,"",-'Debt Financing Calculations'!F36))</f>
        <v>0</v>
      </c>
      <c r="AA87" s="175">
        <f t="shared" ca="1" si="17"/>
        <v>2592366.2007683273</v>
      </c>
      <c r="AB87" s="175">
        <f t="shared" ca="1" si="23"/>
        <v>130028199.72650778</v>
      </c>
      <c r="AC87" s="933">
        <f t="shared" ca="1" si="18"/>
        <v>-171330.55529501336</v>
      </c>
      <c r="AE87" s="937">
        <f t="shared" ca="1" si="19"/>
        <v>158673384</v>
      </c>
      <c r="AF87" s="933">
        <f t="shared" si="20"/>
        <v>0</v>
      </c>
    </row>
    <row r="88" spans="1:32">
      <c r="A88" s="53">
        <f t="shared" si="21"/>
        <v>2035</v>
      </c>
      <c r="B88" s="173">
        <f>IF(MAX($B$65:B87)&lt;(construct+anal_period),B87+1,"")</f>
        <v>24</v>
      </c>
      <c r="C88" s="173">
        <f t="shared" si="22"/>
        <v>21</v>
      </c>
      <c r="D88" s="173">
        <f t="shared" si="1"/>
        <v>21</v>
      </c>
      <c r="E88" s="174">
        <f t="shared" si="2"/>
        <v>1.4570809496699502</v>
      </c>
      <c r="F88" s="54">
        <f t="shared" ca="1" si="3"/>
        <v>245729521.43845543</v>
      </c>
      <c r="G88" s="946"/>
      <c r="H88" s="955">
        <f t="shared" si="24"/>
        <v>0</v>
      </c>
      <c r="I88" s="175">
        <f ca="1">IF(OR(C88&lt;0,C88=""),"",-E88*INDEX('Replacement Costs'!$A$16:$H$57,MATCH(C88,'Replacement Costs'!$C$16:$C$57,0),MATCH("Total Yearly Replacement Costs",'Replacement Costs'!$A$16:$H$16,0)))</f>
        <v>-1993796.6778675856</v>
      </c>
      <c r="J88" s="175">
        <f ca="1">IF(AND(C88&gt;=1,C88&lt;anal_period),WorkingCap*SUM(N88:R88)-WorkingCap*SUM(N87:R87),IF(C88&lt;0,0,IF(B88="","",-SUM(J$65:J87))))</f>
        <v>-1153490.8975538015</v>
      </c>
      <c r="K88" s="175" t="str">
        <f t="shared" si="4"/>
        <v/>
      </c>
      <c r="L88" s="175" t="str">
        <f t="shared" si="5"/>
        <v/>
      </c>
      <c r="M88" s="175" t="str">
        <f t="shared" si="6"/>
        <v/>
      </c>
      <c r="N88" s="175">
        <f t="shared" ca="1" si="7"/>
        <v>-19393547.966532465</v>
      </c>
      <c r="O88" s="175">
        <f t="shared" ca="1" si="8"/>
        <v>-215074507.59658363</v>
      </c>
      <c r="P88" s="175">
        <f t="shared" ca="1" si="9"/>
        <v>-3836836.9015850448</v>
      </c>
      <c r="Q88" s="175">
        <f t="shared" ca="1" si="10"/>
        <v>0</v>
      </c>
      <c r="R88" s="175">
        <f t="shared" ca="1" si="11"/>
        <v>-2362626.4973175135</v>
      </c>
      <c r="S88" s="175">
        <f ca="1">IF(B88="","",IF($B$31=0,"",-'Debt Financing Calculations'!E37))</f>
        <v>-5741926.1961670937</v>
      </c>
      <c r="T88" s="175">
        <f t="shared" ca="1" si="12"/>
        <v>-679923.71973031759</v>
      </c>
      <c r="U88" s="175">
        <f ca="1">IF(C88="","",IF(C88&lt;-1,0,IF(C88=anal_period,-LOOKUP(C88,depr_yr,depr_cost)-Depreciation!$C$141-Depreciation!$B$166,-LOOKUP(C88,depr_yr,depr_cost))))</f>
        <v>-7458832.0696565136</v>
      </c>
      <c r="V88" s="175">
        <f t="shared" ca="1" si="13"/>
        <v>-8138755.7893868312</v>
      </c>
      <c r="W88" s="176">
        <f t="shared" si="14"/>
        <v>0.25739999999999996</v>
      </c>
      <c r="X88" s="175">
        <f t="shared" ca="1" si="15"/>
        <v>2094915.74018817</v>
      </c>
      <c r="Y88" s="175">
        <f t="shared" ca="1" si="16"/>
        <v>1414992.0204578524</v>
      </c>
      <c r="Z88" s="175">
        <f>IF(C88="","",IF($B$31=0,"",-'Debt Financing Calculations'!F37))</f>
        <v>0</v>
      </c>
      <c r="AA88" s="175">
        <f t="shared" ca="1" si="17"/>
        <v>-1732295.5549635349</v>
      </c>
      <c r="AB88" s="175">
        <f t="shared" ca="1" si="23"/>
        <v>128295904.17154425</v>
      </c>
      <c r="AC88" s="933">
        <f t="shared" ca="1" si="18"/>
        <v>-3827211.2951517049</v>
      </c>
      <c r="AE88" s="937">
        <f t="shared" ca="1" si="19"/>
        <v>158673384</v>
      </c>
      <c r="AF88" s="933">
        <f t="shared" si="20"/>
        <v>0</v>
      </c>
    </row>
    <row r="89" spans="1:32">
      <c r="A89" s="53">
        <f t="shared" si="21"/>
        <v>2036</v>
      </c>
      <c r="B89" s="173">
        <f>IF(MAX($B$65:B88)&lt;(construct+anal_period),B88+1,"")</f>
        <v>25</v>
      </c>
      <c r="C89" s="173">
        <f t="shared" si="22"/>
        <v>22</v>
      </c>
      <c r="D89" s="173">
        <f t="shared" si="1"/>
        <v>22</v>
      </c>
      <c r="E89" s="174">
        <f t="shared" si="2"/>
        <v>1.4847654877136791</v>
      </c>
      <c r="F89" s="54">
        <f t="shared" ca="1" si="3"/>
        <v>250398382.34578606</v>
      </c>
      <c r="G89" s="946"/>
      <c r="H89" s="955">
        <f t="shared" si="24"/>
        <v>0</v>
      </c>
      <c r="I89" s="175">
        <f ca="1">IF(OR(C89&lt;0,C89=""),"",-E89*INDEX('Replacement Costs'!$A$16:$H$57,MATCH(C89,'Replacement Costs'!$C$16:$C$57,0),MATCH("Total Yearly Replacement Costs",'Replacement Costs'!$A$16:$H$16,0)))</f>
        <v>-2031678.8147470695</v>
      </c>
      <c r="J89" s="175">
        <f ca="1">IF(AND(C89&gt;=1,C89&lt;anal_period),WorkingCap*SUM(N89:R89)-WorkingCap*SUM(N88:R88),IF(C89&lt;0,0,IF(B89="","",-SUM(J$65:J88))))</f>
        <v>-708787.87744476646</v>
      </c>
      <c r="K89" s="175" t="str">
        <f t="shared" si="4"/>
        <v/>
      </c>
      <c r="L89" s="175" t="str">
        <f t="shared" si="5"/>
        <v/>
      </c>
      <c r="M89" s="175" t="str">
        <f t="shared" si="6"/>
        <v/>
      </c>
      <c r="N89" s="175">
        <f t="shared" ca="1" si="7"/>
        <v>-19762025.377896581</v>
      </c>
      <c r="O89" s="175">
        <f t="shared" ca="1" si="8"/>
        <v>-219313492.89693883</v>
      </c>
      <c r="P89" s="175">
        <f t="shared" ca="1" si="9"/>
        <v>-3909736.8027151604</v>
      </c>
      <c r="Q89" s="175">
        <f t="shared" ca="1" si="10"/>
        <v>0</v>
      </c>
      <c r="R89" s="175">
        <f t="shared" ca="1" si="11"/>
        <v>-2407516.4007665459</v>
      </c>
      <c r="S89" s="175">
        <f ca="1">IF(B89="","",IF($B$31=0,"",-'Debt Financing Calculations'!E38))</f>
        <v>-5741926.1961670937</v>
      </c>
      <c r="T89" s="175">
        <f t="shared" ca="1" si="12"/>
        <v>-736315.32869812846</v>
      </c>
      <c r="U89" s="175">
        <f ca="1">IF(C89="","",IF(C89&lt;-1,0,IF(C89=anal_period,-LOOKUP(C89,depr_yr,depr_cost)-Depreciation!$C$141-Depreciation!$B$166,-LOOKUP(C89,depr_yr,depr_cost))))</f>
        <v>-1720535.5307015595</v>
      </c>
      <c r="V89" s="175">
        <f t="shared" ca="1" si="13"/>
        <v>-2456850.859399688</v>
      </c>
      <c r="W89" s="176">
        <f t="shared" si="14"/>
        <v>0.25739999999999996</v>
      </c>
      <c r="X89" s="175">
        <f t="shared" ca="1" si="15"/>
        <v>632393.41120947956</v>
      </c>
      <c r="Y89" s="175">
        <f t="shared" ca="1" si="16"/>
        <v>-103921.91748864891</v>
      </c>
      <c r="Z89" s="175">
        <f>IF(C89="","",IF($B$31=0,"",-'Debt Financing Calculations'!F38))</f>
        <v>0</v>
      </c>
      <c r="AA89" s="175">
        <f t="shared" ca="1" si="17"/>
        <v>-2844388.609680485</v>
      </c>
      <c r="AB89" s="175">
        <f t="shared" ca="1" si="23"/>
        <v>125451515.56186377</v>
      </c>
      <c r="AC89" s="933">
        <f t="shared" ca="1" si="18"/>
        <v>-3476782.0208899644</v>
      </c>
      <c r="AE89" s="937">
        <f t="shared" ca="1" si="19"/>
        <v>158673384</v>
      </c>
      <c r="AF89" s="933">
        <f t="shared" si="20"/>
        <v>0</v>
      </c>
    </row>
    <row r="90" spans="1:32">
      <c r="A90" s="53">
        <f t="shared" si="21"/>
        <v>2037</v>
      </c>
      <c r="B90" s="173">
        <f>IF(MAX($B$65:B89)&lt;(construct+anal_period),B89+1,"")</f>
        <v>26</v>
      </c>
      <c r="C90" s="173">
        <f t="shared" si="22"/>
        <v>23</v>
      </c>
      <c r="D90" s="173">
        <f t="shared" si="1"/>
        <v>23</v>
      </c>
      <c r="E90" s="174">
        <f t="shared" si="2"/>
        <v>1.5129760319802392</v>
      </c>
      <c r="F90" s="54">
        <f t="shared" ca="1" si="3"/>
        <v>255155951.61035603</v>
      </c>
      <c r="G90" s="946"/>
      <c r="H90" s="955">
        <f t="shared" si="24"/>
        <v>0</v>
      </c>
      <c r="I90" s="175">
        <f ca="1">IF(OR(C90&lt;0,C90=""),"",-E90*INDEX('Replacement Costs'!$A$16:$H$57,MATCH(C90,'Replacement Costs'!$C$16:$C$57,0),MATCH("Total Yearly Replacement Costs",'Replacement Costs'!$A$16:$H$16,0)))</f>
        <v>-2070280.7122272642</v>
      </c>
      <c r="J90" s="175">
        <f ca="1">IF(AND(C90&gt;=1,C90&lt;anal_period),WorkingCap*SUM(N90:R90)-WorkingCap*SUM(N89:R89),IF(C90&lt;0,0,IF(B90="","",-SUM(J$65:J89))))</f>
        <v>-759805.12357612699</v>
      </c>
      <c r="K90" s="175" t="str">
        <f t="shared" si="4"/>
        <v/>
      </c>
      <c r="L90" s="175" t="str">
        <f t="shared" si="5"/>
        <v/>
      </c>
      <c r="M90" s="175" t="str">
        <f t="shared" si="6"/>
        <v/>
      </c>
      <c r="N90" s="175">
        <f t="shared" ca="1" si="7"/>
        <v>-20137503.860076617</v>
      </c>
      <c r="O90" s="175">
        <f t="shared" ca="1" si="8"/>
        <v>-223883354.09440011</v>
      </c>
      <c r="P90" s="175">
        <f t="shared" ca="1" si="9"/>
        <v>-3984021.8019667491</v>
      </c>
      <c r="Q90" s="175">
        <f t="shared" ca="1" si="10"/>
        <v>0</v>
      </c>
      <c r="R90" s="175">
        <f t="shared" ca="1" si="11"/>
        <v>-2453259.2123811105</v>
      </c>
      <c r="S90" s="175">
        <f ca="1">IF(B90="","",IF($B$31=0,"",-'Debt Financing Calculations'!E39))</f>
        <v>-5741926.1961670937</v>
      </c>
      <c r="T90" s="175">
        <f t="shared" ca="1" si="12"/>
        <v>-1044113.554635644</v>
      </c>
      <c r="U90" s="175">
        <f ca="1">IF(C90="","",IF(C90&lt;-1,0,IF(C90=anal_period,-LOOKUP(C90,depr_yr,depr_cost)-Depreciation!$C$141-Depreciation!$B$166,-LOOKUP(C90,depr_yr,depr_cost))))</f>
        <v>-1753225.7057848892</v>
      </c>
      <c r="V90" s="175">
        <f t="shared" ca="1" si="13"/>
        <v>-2797339.2604205329</v>
      </c>
      <c r="W90" s="176">
        <f t="shared" si="14"/>
        <v>0.25739999999999996</v>
      </c>
      <c r="X90" s="175">
        <f t="shared" ca="1" si="15"/>
        <v>720035.12563224509</v>
      </c>
      <c r="Y90" s="175">
        <f t="shared" ca="1" si="16"/>
        <v>-324078.42900339887</v>
      </c>
      <c r="Z90" s="175">
        <f>IF(C90="","",IF($B$31=0,"",-'Debt Financing Calculations'!F39))</f>
        <v>0</v>
      </c>
      <c r="AA90" s="175">
        <f t="shared" ca="1" si="17"/>
        <v>-3154164.2648067903</v>
      </c>
      <c r="AB90" s="175">
        <f t="shared" ca="1" si="23"/>
        <v>122297351.29705697</v>
      </c>
      <c r="AC90" s="933">
        <f t="shared" ca="1" si="18"/>
        <v>-3874199.3904390354</v>
      </c>
      <c r="AE90" s="937">
        <f t="shared" ca="1" si="19"/>
        <v>158673384</v>
      </c>
      <c r="AF90" s="933">
        <f t="shared" si="20"/>
        <v>0</v>
      </c>
    </row>
    <row r="91" spans="1:32">
      <c r="A91" s="53">
        <f t="shared" si="21"/>
        <v>2038</v>
      </c>
      <c r="B91" s="173">
        <f>IF(MAX($B$65:B90)&lt;(construct+anal_period),B90+1,"")</f>
        <v>27</v>
      </c>
      <c r="C91" s="173">
        <f t="shared" si="22"/>
        <v>24</v>
      </c>
      <c r="D91" s="173">
        <f t="shared" si="1"/>
        <v>24</v>
      </c>
      <c r="E91" s="174">
        <f t="shared" si="2"/>
        <v>1.5417225765878635</v>
      </c>
      <c r="F91" s="54">
        <f t="shared" ca="1" si="3"/>
        <v>260003914.69095275</v>
      </c>
      <c r="G91" s="946"/>
      <c r="H91" s="955">
        <f t="shared" si="24"/>
        <v>0</v>
      </c>
      <c r="I91" s="175">
        <f ca="1">IF(OR(C91&lt;0,C91=""),"",-E91*INDEX('Replacement Costs'!$A$16:$H$57,MATCH(C91,'Replacement Costs'!$C$16:$C$57,0),MATCH("Total Yearly Replacement Costs",'Replacement Costs'!$A$16:$H$16,0)))</f>
        <v>-2109616.045759582</v>
      </c>
      <c r="J91" s="175">
        <f ca="1">IF(AND(C91&gt;=1,C91&lt;anal_period),WorkingCap*SUM(N91:R91)-WorkingCap*SUM(N90:R90),IF(C91&lt;0,0,IF(B91="","",-SUM(J$65:J90))))</f>
        <v>-680899.97887604684</v>
      </c>
      <c r="K91" s="175" t="str">
        <f t="shared" si="4"/>
        <v/>
      </c>
      <c r="L91" s="175" t="str">
        <f t="shared" si="5"/>
        <v/>
      </c>
      <c r="M91" s="175" t="str">
        <f t="shared" si="6"/>
        <v/>
      </c>
      <c r="N91" s="175">
        <f t="shared" ca="1" si="7"/>
        <v>-20520116.433418069</v>
      </c>
      <c r="O91" s="175">
        <f t="shared" ca="1" si="8"/>
        <v>-227917766.37429306</v>
      </c>
      <c r="P91" s="175">
        <f t="shared" ca="1" si="9"/>
        <v>-4059718.2162041166</v>
      </c>
      <c r="Q91" s="175">
        <f t="shared" ca="1" si="10"/>
        <v>0</v>
      </c>
      <c r="R91" s="175">
        <f t="shared" ca="1" si="11"/>
        <v>-2499871.1374163511</v>
      </c>
      <c r="S91" s="175">
        <f ca="1">IF(B91="","",IF($B$31=0,"",-'Debt Financing Calculations'!E40))</f>
        <v>-5741926.1961670937</v>
      </c>
      <c r="T91" s="175">
        <f t="shared" ca="1" si="12"/>
        <v>-735483.66654592752</v>
      </c>
      <c r="U91" s="175">
        <f ca="1">IF(C91="","",IF(C91&lt;-1,0,IF(C91=anal_period,-LOOKUP(C91,depr_yr,depr_cost)-Depreciation!$C$141-Depreciation!$B$166,-LOOKUP(C91,depr_yr,depr_cost))))</f>
        <v>-1786536.9941948019</v>
      </c>
      <c r="V91" s="175">
        <f t="shared" ca="1" si="13"/>
        <v>-2522020.6607407294</v>
      </c>
      <c r="W91" s="176">
        <f t="shared" si="14"/>
        <v>0.25739999999999996</v>
      </c>
      <c r="X91" s="175">
        <f t="shared" ca="1" si="15"/>
        <v>649168.11807466368</v>
      </c>
      <c r="Y91" s="175">
        <f t="shared" ca="1" si="16"/>
        <v>-86315.548471263843</v>
      </c>
      <c r="Z91" s="175">
        <f>IF(C91="","",IF($B$31=0,"",-'Debt Financing Calculations'!F40))</f>
        <v>0</v>
      </c>
      <c r="AA91" s="175">
        <f t="shared" ca="1" si="17"/>
        <v>-2876831.5731068924</v>
      </c>
      <c r="AB91" s="175">
        <f t="shared" ca="1" si="23"/>
        <v>119420519.72395009</v>
      </c>
      <c r="AC91" s="933">
        <f t="shared" ca="1" si="18"/>
        <v>-3525999.6911815563</v>
      </c>
      <c r="AE91" s="937">
        <f t="shared" ca="1" si="19"/>
        <v>158673384</v>
      </c>
      <c r="AF91" s="933">
        <f t="shared" si="20"/>
        <v>0</v>
      </c>
    </row>
    <row r="92" spans="1:32">
      <c r="A92" s="53">
        <f t="shared" si="21"/>
        <v>2039</v>
      </c>
      <c r="B92" s="173">
        <f>IF(MAX($B$65:B91)&lt;(construct+anal_period),B91+1,"")</f>
        <v>28</v>
      </c>
      <c r="C92" s="173">
        <f t="shared" si="22"/>
        <v>25</v>
      </c>
      <c r="D92" s="173">
        <f t="shared" si="1"/>
        <v>25</v>
      </c>
      <c r="E92" s="174">
        <f t="shared" si="2"/>
        <v>1.5710153055430329</v>
      </c>
      <c r="F92" s="54">
        <f t="shared" ca="1" si="3"/>
        <v>264943989.07008085</v>
      </c>
      <c r="G92" s="946"/>
      <c r="H92" s="955">
        <f t="shared" si="24"/>
        <v>0</v>
      </c>
      <c r="I92" s="175">
        <f ca="1">IF(OR(C92&lt;0,C92=""),"",-E92*INDEX('Replacement Costs'!$A$16:$H$57,MATCH(C92,'Replacement Costs'!$C$16:$C$57,0),MATCH("Total Yearly Replacement Costs",'Replacement Costs'!$A$16:$H$16,0)))</f>
        <v>-2149698.7506290139</v>
      </c>
      <c r="J92" s="175">
        <f ca="1">IF(AND(C92&gt;=1,C92&lt;anal_period),WorkingCap*SUM(N92:R92)-WorkingCap*SUM(N91:R91),IF(C92&lt;0,0,IF(B92="","",-SUM(J$65:J91))))</f>
        <v>-857887.83986036479</v>
      </c>
      <c r="K92" s="175" t="str">
        <f t="shared" si="4"/>
        <v/>
      </c>
      <c r="L92" s="175" t="str">
        <f t="shared" si="5"/>
        <v/>
      </c>
      <c r="M92" s="175" t="str">
        <f t="shared" si="6"/>
        <v/>
      </c>
      <c r="N92" s="175">
        <f t="shared" ca="1" si="7"/>
        <v>-20909998.645653013</v>
      </c>
      <c r="O92" s="175">
        <f t="shared" ca="1" si="8"/>
        <v>-233122504.23007509</v>
      </c>
      <c r="P92" s="175">
        <f t="shared" ca="1" si="9"/>
        <v>-4136852.8623119951</v>
      </c>
      <c r="Q92" s="175">
        <f t="shared" ca="1" si="10"/>
        <v>0</v>
      </c>
      <c r="R92" s="175">
        <f t="shared" ca="1" si="11"/>
        <v>-2547368.6890272619</v>
      </c>
      <c r="S92" s="175">
        <f ca="1">IF(B92="","",IF($B$31=0,"",-'Debt Financing Calculations'!E41))</f>
        <v>-5741926.1961670937</v>
      </c>
      <c r="T92" s="175">
        <f t="shared" ca="1" si="12"/>
        <v>-1514661.5531535745</v>
      </c>
      <c r="U92" s="175">
        <f ca="1">IF(C92="","",IF(C92&lt;-1,0,IF(C92=anal_period,-LOOKUP(C92,depr_yr,depr_cost)-Depreciation!$C$141-Depreciation!$B$166,-LOOKUP(C92,depr_yr,depr_cost))))</f>
        <v>-1820481.1970845028</v>
      </c>
      <c r="V92" s="175">
        <f t="shared" ca="1" si="13"/>
        <v>-3335142.7502380772</v>
      </c>
      <c r="W92" s="176">
        <f t="shared" si="14"/>
        <v>0.25739999999999996</v>
      </c>
      <c r="X92" s="175">
        <f t="shared" ca="1" si="15"/>
        <v>858465.743911281</v>
      </c>
      <c r="Y92" s="175">
        <f t="shared" ca="1" si="16"/>
        <v>-656195.80924229347</v>
      </c>
      <c r="Z92" s="175">
        <f>IF(C92="","",IF($B$31=0,"",-'Debt Financing Calculations'!F41))</f>
        <v>0</v>
      </c>
      <c r="AA92" s="175">
        <f t="shared" ca="1" si="17"/>
        <v>-3663782.3997316714</v>
      </c>
      <c r="AB92" s="175">
        <f t="shared" ca="1" si="23"/>
        <v>115756737.32421842</v>
      </c>
      <c r="AC92" s="933">
        <f t="shared" ca="1" si="18"/>
        <v>-4522248.1436429527</v>
      </c>
      <c r="AE92" s="937">
        <f t="shared" ca="1" si="19"/>
        <v>158673384</v>
      </c>
      <c r="AF92" s="933">
        <f t="shared" si="20"/>
        <v>0</v>
      </c>
    </row>
    <row r="93" spans="1:32">
      <c r="A93" s="53">
        <f t="shared" si="21"/>
        <v>2040</v>
      </c>
      <c r="B93" s="173">
        <f>IF(MAX($B$65:B92)&lt;(construct+anal_period),B92+1,"")</f>
        <v>29</v>
      </c>
      <c r="C93" s="173">
        <f t="shared" si="22"/>
        <v>26</v>
      </c>
      <c r="D93" s="173">
        <f t="shared" si="1"/>
        <v>26</v>
      </c>
      <c r="E93" s="174">
        <f t="shared" si="2"/>
        <v>1.6008645963483503</v>
      </c>
      <c r="F93" s="54">
        <f t="shared" ca="1" si="3"/>
        <v>269977924.86241233</v>
      </c>
      <c r="G93" s="946"/>
      <c r="H93" s="955">
        <f t="shared" si="24"/>
        <v>0</v>
      </c>
      <c r="I93" s="175">
        <f ca="1">IF(OR(C93&lt;0,C93=""),"",-E93*INDEX('Replacement Costs'!$A$16:$H$57,MATCH(C93,'Replacement Costs'!$C$16:$C$57,0),MATCH("Total Yearly Replacement Costs",'Replacement Costs'!$A$16:$H$16,0)))</f>
        <v>-2190543.0268909647</v>
      </c>
      <c r="J93" s="175">
        <f ca="1">IF(AND(C93&gt;=1,C93&lt;anal_period),WorkingCap*SUM(N93:R93)-WorkingCap*SUM(N92:R92),IF(C93&lt;0,0,IF(B93="","",-SUM(J$65:J92))))</f>
        <v>-475116.59269620478</v>
      </c>
      <c r="K93" s="175" t="str">
        <f t="shared" si="4"/>
        <v/>
      </c>
      <c r="L93" s="175" t="str">
        <f t="shared" si="5"/>
        <v/>
      </c>
      <c r="M93" s="175" t="str">
        <f t="shared" si="6"/>
        <v/>
      </c>
      <c r="N93" s="175">
        <f t="shared" ca="1" si="7"/>
        <v>-21307288.619920418</v>
      </c>
      <c r="O93" s="175">
        <f t="shared" ca="1" si="8"/>
        <v>-235765657.99764028</v>
      </c>
      <c r="P93" s="175">
        <f t="shared" ca="1" si="9"/>
        <v>-4215453.0666959221</v>
      </c>
      <c r="Q93" s="175">
        <f t="shared" ca="1" si="10"/>
        <v>0</v>
      </c>
      <c r="R93" s="175">
        <f t="shared" ca="1" si="11"/>
        <v>-2595768.6941187796</v>
      </c>
      <c r="S93" s="175">
        <f ca="1">IF(B93="","",IF($B$31=0,"",-'Debt Financing Calculations'!E42))</f>
        <v>-5741926.1961670937</v>
      </c>
      <c r="T93" s="175">
        <f t="shared" ca="1" si="12"/>
        <v>351830.28786987066</v>
      </c>
      <c r="U93" s="175">
        <f ca="1">IF(C93="","",IF(C93&lt;-1,0,IF(C93=anal_period,-LOOKUP(C93,depr_yr,depr_cost)-Depreciation!$C$141-Depreciation!$B$166,-LOOKUP(C93,depr_yr,depr_cost))))</f>
        <v>-1855070.3398291087</v>
      </c>
      <c r="V93" s="175">
        <f t="shared" ca="1" si="13"/>
        <v>-1503240.051959238</v>
      </c>
      <c r="W93" s="176">
        <f t="shared" si="14"/>
        <v>0.25739999999999996</v>
      </c>
      <c r="X93" s="175">
        <f t="shared" ca="1" si="15"/>
        <v>386933.9893743078</v>
      </c>
      <c r="Y93" s="175">
        <f t="shared" ca="1" si="16"/>
        <v>738764.27724417846</v>
      </c>
      <c r="Z93" s="175">
        <f>IF(C93="","",IF($B$31=0,"",-'Debt Financing Calculations'!F42))</f>
        <v>0</v>
      </c>
      <c r="AA93" s="175">
        <f t="shared" ca="1" si="17"/>
        <v>-1926895.3423429909</v>
      </c>
      <c r="AB93" s="175">
        <f t="shared" ca="1" si="23"/>
        <v>113829841.98187543</v>
      </c>
      <c r="AC93" s="933">
        <f t="shared" ca="1" si="18"/>
        <v>-2313829.3317172988</v>
      </c>
      <c r="AE93" s="937">
        <f t="shared" ca="1" si="19"/>
        <v>158673384</v>
      </c>
      <c r="AF93" s="933">
        <f t="shared" si="20"/>
        <v>0</v>
      </c>
    </row>
    <row r="94" spans="1:32">
      <c r="A94" s="53">
        <f t="shared" si="21"/>
        <v>2041</v>
      </c>
      <c r="B94" s="173">
        <f>IF(MAX($B$65:B93)&lt;(construct+anal_period),B93+1,"")</f>
        <v>30</v>
      </c>
      <c r="C94" s="173">
        <f t="shared" si="22"/>
        <v>27</v>
      </c>
      <c r="D94" s="173">
        <f t="shared" si="1"/>
        <v>27</v>
      </c>
      <c r="E94" s="174">
        <f t="shared" si="2"/>
        <v>1.631281023678969</v>
      </c>
      <c r="F94" s="54">
        <f t="shared" ca="1" si="3"/>
        <v>275107505.43479818</v>
      </c>
      <c r="G94" s="946"/>
      <c r="H94" s="955">
        <f t="shared" si="24"/>
        <v>0</v>
      </c>
      <c r="I94" s="175">
        <f ca="1">IF(OR(C94&lt;0,C94=""),"",-E94*INDEX('Replacement Costs'!$A$16:$H$57,MATCH(C94,'Replacement Costs'!$C$16:$C$57,0),MATCH("Total Yearly Replacement Costs",'Replacement Costs'!$A$16:$H$16,0)))</f>
        <v>-2232163.3444018932</v>
      </c>
      <c r="J94" s="175">
        <f ca="1">IF(AND(C94&gt;=1,C94&lt;anal_period),WorkingCap*SUM(N94:R94)-WorkingCap*SUM(N93:R93),IF(C94&lt;0,0,IF(B94="","",-SUM(J$65:J93))))</f>
        <v>-779762.07270535082</v>
      </c>
      <c r="K94" s="175" t="str">
        <f t="shared" si="4"/>
        <v/>
      </c>
      <c r="L94" s="175" t="str">
        <f t="shared" si="5"/>
        <v/>
      </c>
      <c r="M94" s="175" t="str">
        <f t="shared" si="6"/>
        <v/>
      </c>
      <c r="N94" s="175">
        <f t="shared" ca="1" si="7"/>
        <v>-21712127.103698906</v>
      </c>
      <c r="O94" s="175">
        <f t="shared" ca="1" si="8"/>
        <v>-240429820.11844197</v>
      </c>
      <c r="P94" s="175">
        <f t="shared" ca="1" si="9"/>
        <v>-4295546.6749631446</v>
      </c>
      <c r="Q94" s="175">
        <f t="shared" ca="1" si="10"/>
        <v>0</v>
      </c>
      <c r="R94" s="175">
        <f t="shared" ca="1" si="11"/>
        <v>-2645088.2993070367</v>
      </c>
      <c r="S94" s="175">
        <f ca="1">IF(B94="","",IF($B$31=0,"",-'Debt Financing Calculations'!E43))</f>
        <v>-5741926.1961670937</v>
      </c>
      <c r="T94" s="175">
        <f t="shared" ca="1" si="12"/>
        <v>282997.04221999645</v>
      </c>
      <c r="U94" s="175">
        <f ca="1">IF(C94="","",IF(C94&lt;-1,0,IF(C94=anal_period,-LOOKUP(C94,depr_yr,depr_cost)-Depreciation!$C$141-Depreciation!$B$166,-LOOKUP(C94,depr_yr,depr_cost))))</f>
        <v>-1890316.6762858615</v>
      </c>
      <c r="V94" s="175">
        <f t="shared" ca="1" si="13"/>
        <v>-1607319.6340658651</v>
      </c>
      <c r="W94" s="176">
        <f t="shared" si="14"/>
        <v>0.25739999999999996</v>
      </c>
      <c r="X94" s="175">
        <f t="shared" ca="1" si="15"/>
        <v>413724.07380855363</v>
      </c>
      <c r="Y94" s="175">
        <f t="shared" ca="1" si="16"/>
        <v>696721.11602855008</v>
      </c>
      <c r="Z94" s="175">
        <f>IF(C94="","",IF($B$31=0,"",-'Debt Financing Calculations'!F43))</f>
        <v>0</v>
      </c>
      <c r="AA94" s="175">
        <f t="shared" ca="1" si="17"/>
        <v>-2315204.3010786939</v>
      </c>
      <c r="AB94" s="175">
        <f t="shared" ca="1" si="23"/>
        <v>111514637.68079674</v>
      </c>
      <c r="AC94" s="933">
        <f t="shared" ca="1" si="18"/>
        <v>-2728928.3748872476</v>
      </c>
      <c r="AE94" s="937">
        <f t="shared" ca="1" si="19"/>
        <v>158673384</v>
      </c>
      <c r="AF94" s="933">
        <f t="shared" si="20"/>
        <v>0</v>
      </c>
    </row>
    <row r="95" spans="1:32">
      <c r="A95" s="53">
        <f t="shared" si="21"/>
        <v>2042</v>
      </c>
      <c r="B95" s="173">
        <f>IF(MAX($B$65:B94)&lt;(construct+anal_period),B94+1,"")</f>
        <v>31</v>
      </c>
      <c r="C95" s="173">
        <f t="shared" si="22"/>
        <v>28</v>
      </c>
      <c r="D95" s="173">
        <f t="shared" si="1"/>
        <v>28</v>
      </c>
      <c r="E95" s="174">
        <f t="shared" si="2"/>
        <v>1.6622753631288694</v>
      </c>
      <c r="F95" s="54">
        <f t="shared" ca="1" si="3"/>
        <v>280334548.03805935</v>
      </c>
      <c r="G95" s="946"/>
      <c r="H95" s="955">
        <f t="shared" si="24"/>
        <v>0</v>
      </c>
      <c r="I95" s="175">
        <f ca="1">IF(OR(C95&lt;0,C95=""),"",-E95*INDEX('Replacement Costs'!$A$16:$H$57,MATCH(C95,'Replacement Costs'!$C$16:$C$57,0),MATCH("Total Yearly Replacement Costs",'Replacement Costs'!$A$16:$H$16,0)))</f>
        <v>-2274574.4479455291</v>
      </c>
      <c r="J95" s="175">
        <f ca="1">IF(AND(C95&gt;=1,C95&lt;anal_period),WorkingCap*SUM(N95:R95)-WorkingCap*SUM(N94:R94),IF(C95&lt;0,0,IF(B95="","",-SUM(J$65:J94))))</f>
        <v>-1117392.2529352307</v>
      </c>
      <c r="K95" s="175" t="str">
        <f t="shared" si="4"/>
        <v/>
      </c>
      <c r="L95" s="175" t="str">
        <f t="shared" si="5"/>
        <v/>
      </c>
      <c r="M95" s="175" t="str">
        <f t="shared" si="6"/>
        <v/>
      </c>
      <c r="N95" s="175">
        <f t="shared" ca="1" si="7"/>
        <v>-22124657.518669184</v>
      </c>
      <c r="O95" s="175">
        <f t="shared" ca="1" si="8"/>
        <v>-247334699.32519546</v>
      </c>
      <c r="P95" s="175">
        <f t="shared" ca="1" si="9"/>
        <v>-4377162.0617874442</v>
      </c>
      <c r="Q95" s="175">
        <f t="shared" ca="1" si="10"/>
        <v>0</v>
      </c>
      <c r="R95" s="175">
        <f t="shared" ca="1" si="11"/>
        <v>-2695344.97699387</v>
      </c>
      <c r="S95" s="175">
        <f ca="1">IF(B95="","",IF($B$31=0,"",-'Debt Financing Calculations'!E44))</f>
        <v>-5741926.1961670937</v>
      </c>
      <c r="T95" s="175">
        <f t="shared" ca="1" si="12"/>
        <v>-1939242.0407536626</v>
      </c>
      <c r="U95" s="175">
        <f ca="1">IF(C95="","",IF(C95&lt;-1,0,IF(C95=anal_period,-LOOKUP(C95,depr_yr,depr_cost)-Depreciation!$C$141-Depreciation!$B$166,-LOOKUP(C95,depr_yr,depr_cost))))</f>
        <v>-1926232.6931352932</v>
      </c>
      <c r="V95" s="175">
        <f t="shared" ca="1" si="13"/>
        <v>-3865474.7338889558</v>
      </c>
      <c r="W95" s="176">
        <f t="shared" si="14"/>
        <v>0.25739999999999996</v>
      </c>
      <c r="X95" s="175">
        <f t="shared" ca="1" si="15"/>
        <v>994973.1965030171</v>
      </c>
      <c r="Y95" s="175">
        <f t="shared" ca="1" si="16"/>
        <v>-944268.84425064549</v>
      </c>
      <c r="Z95" s="175">
        <f>IF(C95="","",IF($B$31=0,"",-'Debt Financing Calculations'!F44))</f>
        <v>0</v>
      </c>
      <c r="AA95" s="175">
        <f t="shared" ca="1" si="17"/>
        <v>-4336235.5451314058</v>
      </c>
      <c r="AB95" s="175">
        <f t="shared" ca="1" si="23"/>
        <v>107178402.13566534</v>
      </c>
      <c r="AC95" s="933">
        <f t="shared" ca="1" si="18"/>
        <v>-5331208.7416344229</v>
      </c>
      <c r="AE95" s="937">
        <f t="shared" ca="1" si="19"/>
        <v>158673384</v>
      </c>
      <c r="AF95" s="933">
        <f t="shared" si="20"/>
        <v>0</v>
      </c>
    </row>
    <row r="96" spans="1:32">
      <c r="A96" s="53">
        <f t="shared" si="21"/>
        <v>2043</v>
      </c>
      <c r="B96" s="173">
        <f>IF(MAX($B$65:B95)&lt;(construct+anal_period),B95+1,"")</f>
        <v>32</v>
      </c>
      <c r="C96" s="173">
        <f t="shared" si="22"/>
        <v>29</v>
      </c>
      <c r="D96" s="173">
        <f t="shared" si="1"/>
        <v>29</v>
      </c>
      <c r="E96" s="174">
        <f t="shared" si="2"/>
        <v>1.6938585950283176</v>
      </c>
      <c r="F96" s="54">
        <f t="shared" ca="1" si="3"/>
        <v>285660904.45078242</v>
      </c>
      <c r="G96" s="946"/>
      <c r="H96" s="955">
        <f t="shared" si="24"/>
        <v>0</v>
      </c>
      <c r="I96" s="175">
        <f ca="1">IF(OR(C96&lt;0,C96=""),"",-E96*INDEX('Replacement Costs'!$A$16:$H$57,MATCH(C96,'Replacement Costs'!$C$16:$C$57,0),MATCH("Total Yearly Replacement Costs",'Replacement Costs'!$A$16:$H$16,0)))</f>
        <v>-2317791.362456494</v>
      </c>
      <c r="J96" s="175">
        <f ca="1">IF(AND(C96&gt;=1,C96&lt;anal_period),WorkingCap*SUM(N96:R96)-WorkingCap*SUM(N95:R95),IF(C96&lt;0,0,IF(B96="","",-SUM(J$65:J95))))</f>
        <v>-1335318.9670835882</v>
      </c>
      <c r="K96" s="175" t="str">
        <f t="shared" si="4"/>
        <v/>
      </c>
      <c r="L96" s="175" t="str">
        <f t="shared" si="5"/>
        <v/>
      </c>
      <c r="M96" s="175" t="str">
        <f t="shared" si="6"/>
        <v/>
      </c>
      <c r="N96" s="175">
        <f t="shared" ca="1" si="7"/>
        <v>-22545026.011523895</v>
      </c>
      <c r="O96" s="175">
        <f t="shared" ca="1" si="8"/>
        <v>-255682079.64582783</v>
      </c>
      <c r="P96" s="175">
        <f t="shared" ca="1" si="9"/>
        <v>-4460328.1409614049</v>
      </c>
      <c r="Q96" s="175">
        <f t="shared" ca="1" si="10"/>
        <v>0</v>
      </c>
      <c r="R96" s="175">
        <f t="shared" ca="1" si="11"/>
        <v>-2746556.531556753</v>
      </c>
      <c r="S96" s="175">
        <f ca="1">IF(B96="","",IF($B$31=0,"",-'Debt Financing Calculations'!E45))</f>
        <v>-5741926.1961670937</v>
      </c>
      <c r="T96" s="175">
        <f t="shared" ca="1" si="12"/>
        <v>-5515012.0752545595</v>
      </c>
      <c r="U96" s="175">
        <f ca="1">IF(C96="","",IF(C96&lt;-1,0,IF(C96=anal_period,-LOOKUP(C96,depr_yr,depr_cost)-Depreciation!$C$141-Depreciation!$B$166,-LOOKUP(C96,depr_yr,depr_cost))))</f>
        <v>-1962831.1143048634</v>
      </c>
      <c r="V96" s="175">
        <f t="shared" ca="1" si="13"/>
        <v>-7477843.1895594224</v>
      </c>
      <c r="W96" s="176">
        <f t="shared" si="14"/>
        <v>0.25739999999999996</v>
      </c>
      <c r="X96" s="175">
        <f t="shared" ca="1" si="15"/>
        <v>1924796.8369925951</v>
      </c>
      <c r="Y96" s="175">
        <f t="shared" ca="1" si="16"/>
        <v>-3590215.2382619642</v>
      </c>
      <c r="Z96" s="175">
        <f>IF(C96="","",IF($B$31=0,"",-'Debt Financing Calculations'!F45))</f>
        <v>0</v>
      </c>
      <c r="AA96" s="175">
        <f t="shared" ca="1" si="17"/>
        <v>-7243325.5678020455</v>
      </c>
      <c r="AB96" s="175">
        <f t="shared" ca="1" si="23"/>
        <v>99935076.5678633</v>
      </c>
      <c r="AC96" s="933">
        <f t="shared" ca="1" si="18"/>
        <v>-9168122.4047946408</v>
      </c>
      <c r="AE96" s="937">
        <f t="shared" ca="1" si="19"/>
        <v>158673384</v>
      </c>
      <c r="AF96" s="933">
        <f t="shared" si="20"/>
        <v>0</v>
      </c>
    </row>
    <row r="97" spans="1:32">
      <c r="A97" s="53">
        <f t="shared" si="21"/>
        <v>2044</v>
      </c>
      <c r="B97" s="173">
        <f>IF(MAX($B$65:B96)&lt;(construct+anal_period),B96+1,"")</f>
        <v>33</v>
      </c>
      <c r="C97" s="173">
        <f t="shared" si="22"/>
        <v>30</v>
      </c>
      <c r="D97" s="173">
        <f t="shared" ref="D97:D113" si="25">IF(C97="","",IF(C97&lt;=plant_life,C97,IF(D96=plant_life,1,D96+1)))</f>
        <v>30</v>
      </c>
      <c r="E97" s="174">
        <f t="shared" ref="E97:E113" si="26">IF(C97="","",(1+inflation_rate)^(A97-$B$25))</f>
        <v>1.7260419083338554</v>
      </c>
      <c r="F97" s="54">
        <f t="shared" ref="F97:F113" ca="1" si="27">IF(C97="","",IF(C97&lt;0,0,IF(AND(C97=1,start_time&lt;1),E97*(H2_price_nominal*output_kgyear*start_time*percnt_revs+H2_price_nominal*output_kgyear*(1-start_time)),IF(C97&lt;=start_time,H2_price_nominal*E97*output_kgyear*percnt_revs,H2_price_nominal*output_kgyear*E97))))</f>
        <v>291088461.63534725</v>
      </c>
      <c r="G97" s="946"/>
      <c r="H97" s="955">
        <f t="shared" si="24"/>
        <v>0</v>
      </c>
      <c r="I97" s="175">
        <f ca="1">IF(OR(C97&lt;0,C97=""),"",-E97*INDEX('Replacement Costs'!$A$16:$H$57,MATCH(C97,'Replacement Costs'!$C$16:$C$57,0),MATCH("Total Yearly Replacement Costs",'Replacement Costs'!$A$16:$H$16,0)))</f>
        <v>-2361829.3983431668</v>
      </c>
      <c r="J97" s="175">
        <f ca="1">IF(AND(C97&gt;=1,C97&lt;anal_period),WorkingCap*SUM(N97:R97)-WorkingCap*SUM(N96:R96),IF(C97&lt;0,0,IF(B97="","",-SUM(J$65:J96))))</f>
        <v>-1196352.2058547884</v>
      </c>
      <c r="K97" s="175" t="str">
        <f t="shared" ref="K97:K113" si="28">IF(C97=-construct,-E97*non_dep_infl,"")</f>
        <v/>
      </c>
      <c r="L97" s="175" t="str">
        <f t="shared" ref="L97:L113" si="29">IF(C97=anal_period,salvage*E97,"")</f>
        <v/>
      </c>
      <c r="M97" s="175" t="str">
        <f t="shared" ref="M97:M113" si="30">IF(D97=plant_life,-E97*decom,"")</f>
        <v/>
      </c>
      <c r="N97" s="175">
        <f t="shared" ref="N97:N113" ca="1" si="31">IF(C97="","",IF(C97&lt;0,0,IF(AND(C97=1,start_time&lt;1),-(inflated_fixed*percnt_fixed*start_time+(inflated_fixed*(1-start_time))),IF(C97&lt;=start_time,-inflated_fixed*percnt_fixed*E97,-inflated_fixed*E97))))</f>
        <v>-22973381.505742848</v>
      </c>
      <c r="O97" s="175">
        <f t="shared" ref="O97:O109" ca="1" si="32">IF(C97="","",IF(C97&lt;0,0,IF(AND(C97=1,start_time&lt;1),-(SUM(B171:E171)*output_kgyear*E97*percnt_var*start_time+SUM(B171:E171)*output_kgyear*E97*(1-start_time)),IF(C97&lt;=start_time,-SUM(B171:E171)*output_kgyear*E97*percnt_var,-SUM(B171:E171)*output_kgyear*E97))))</f>
        <v>-263092474.71519625</v>
      </c>
      <c r="P97" s="175">
        <f t="shared" ref="P97:P113" ca="1" si="33">IF(C97="","",IF(C97&lt;0,0,IF(AND(C97=1,start_time&lt;1),-(inflated_otherraw*E97*percnt_var*start_time+inflated_otherraw*E97*(1-start_time)),IF(C97&lt;=start_time,-inflated_otherraw*E97*percnt_var,-(inflated_otherraw*E97)))))</f>
        <v>-4545074.3756396715</v>
      </c>
      <c r="Q97" s="175">
        <f t="shared" ca="1" si="10"/>
        <v>0</v>
      </c>
      <c r="R97" s="175">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-2798741.1056563309</v>
      </c>
      <c r="S97" s="175">
        <f ca="1">IF(B97="","",IF($B$31=0,"",-'Debt Financing Calculations'!E46))</f>
        <v>-5741926.1961670937</v>
      </c>
      <c r="T97" s="175">
        <f t="shared" ref="T97:T113" ca="1" si="35">IF(C97="","",F97+SUM(L97:S97))</f>
        <v>-8063136.2630549669</v>
      </c>
      <c r="U97" s="175">
        <f ca="1">IF(C97="","",IF(C97&lt;-1,0,IF(C97=anal_period,-LOOKUP(C97,depr_yr,depr_cost)-Depreciation!$C$141-Depreciation!$B$166,-LOOKUP(C97,depr_yr,depr_cost))))</f>
        <v>-2000124.9054766556</v>
      </c>
      <c r="V97" s="175">
        <f t="shared" ref="V97:V113" ca="1" si="36">IF(C97="","",SUM(T97:U97))</f>
        <v>-10063261.168531623</v>
      </c>
      <c r="W97" s="176">
        <f t="shared" ref="W97:W113" si="37">IF(C97="","",$B$33)</f>
        <v>0.25739999999999996</v>
      </c>
      <c r="X97" s="175">
        <f t="shared" ref="X97:X113" ca="1" si="38">IF(C97="","",tax_credit-(V97*W97 +Upstream_CO2_taxpYear + Proc_CO2_taxpYear))</f>
        <v>2590283.4247800391</v>
      </c>
      <c r="Y97" s="175">
        <f t="shared" ref="Y97:Y113" ca="1" si="39">IF(C97="","",SUM(T97,X97))</f>
        <v>-5472852.8382749278</v>
      </c>
      <c r="Z97" s="175">
        <f>IF(C97="","",IF($B$31=0,"",-'Debt Financing Calculations'!F46))</f>
        <v>0</v>
      </c>
      <c r="AA97" s="175">
        <f t="shared" ref="AA97:AA113" ca="1" si="40">IF(C97="","",SUM(H97,I97,J97,K97,T97,X97,Z97))</f>
        <v>-9031034.4424728826</v>
      </c>
      <c r="AB97" s="175">
        <f t="shared" ca="1" si="23"/>
        <v>90904042.12539041</v>
      </c>
      <c r="AC97" s="933">
        <f t="shared" ref="AC97:AC113" ca="1" si="41">IF(C97="","",SUM(H97,I97,J97,K97,T97,Z97))</f>
        <v>-11621317.867252922</v>
      </c>
      <c r="AE97" s="937">
        <f t="shared" ref="AE97:AE113" ca="1" si="42">IF(C97="","",IF(C97&lt;0,0,IF(AND(C97=1,start_time&lt;1),(output_kgyear*start_time*percnt_revs+output_kgyear*(1-start_time)),IF(C97&lt;=start_time,output_kgyear*percnt_revs,output_kgyear))))</f>
        <v>158673384</v>
      </c>
      <c r="AF97" s="933">
        <f t="shared" ref="AF97:AF113" si="43">IF(C97="","",tax_credit)</f>
        <v>0</v>
      </c>
    </row>
    <row r="98" spans="1:32">
      <c r="A98" s="53">
        <f t="shared" si="21"/>
        <v>2045</v>
      </c>
      <c r="B98" s="173">
        <f>IF(MAX($B$65:B97)&lt;(construct+anal_period),B97+1,"")</f>
        <v>34</v>
      </c>
      <c r="C98" s="173">
        <f t="shared" si="22"/>
        <v>31</v>
      </c>
      <c r="D98" s="173">
        <f t="shared" si="25"/>
        <v>31</v>
      </c>
      <c r="E98" s="174">
        <f t="shared" si="26"/>
        <v>1.7588367045921991</v>
      </c>
      <c r="F98" s="54">
        <f t="shared" ca="1" si="27"/>
        <v>296619142.40641892</v>
      </c>
      <c r="G98" s="946"/>
      <c r="H98" s="955">
        <f t="shared" si="24"/>
        <v>0</v>
      </c>
      <c r="I98" s="175">
        <f ca="1">IF(OR(C98&lt;0,C98=""),"",-E98*INDEX('Replacement Costs'!$A$16:$H$57,MATCH(C98,'Replacement Costs'!$C$16:$C$57,0),MATCH("Total Yearly Replacement Costs",'Replacement Costs'!$A$16:$H$16,0)))</f>
        <v>-2406704.1569116875</v>
      </c>
      <c r="J98" s="175">
        <f ca="1">IF(AND(C98&gt;=1,C98&lt;anal_period),WorkingCap*SUM(N98:R98)-WorkingCap*SUM(N97:R97),IF(C98&lt;0,0,IF(B98="","",-SUM(J$65:J97))))</f>
        <v>-1348726.5465887561</v>
      </c>
      <c r="K98" s="175" t="str">
        <f t="shared" si="28"/>
        <v/>
      </c>
      <c r="L98" s="175" t="str">
        <f t="shared" si="29"/>
        <v/>
      </c>
      <c r="M98" s="175" t="str">
        <f t="shared" si="30"/>
        <v/>
      </c>
      <c r="N98" s="175">
        <f t="shared" ca="1" si="31"/>
        <v>-23409875.754351966</v>
      </c>
      <c r="O98" s="175">
        <f t="shared" ca="1" si="32"/>
        <v>-271507958.28303421</v>
      </c>
      <c r="P98" s="175">
        <f t="shared" ca="1" si="33"/>
        <v>-4631430.7887768261</v>
      </c>
      <c r="Q98" s="175">
        <f t="shared" ca="1" si="10"/>
        <v>0</v>
      </c>
      <c r="R98" s="175">
        <f t="shared" ca="1" si="34"/>
        <v>-2851917.1866638022</v>
      </c>
      <c r="S98" s="175">
        <f ca="1">IF(B98="","",IF($B$31=0,"",-'Debt Financing Calculations'!E47))</f>
        <v>-5741926.1961670937</v>
      </c>
      <c r="T98" s="175">
        <f t="shared" ca="1" si="35"/>
        <v>-11523965.802574992</v>
      </c>
      <c r="U98" s="175">
        <f ca="1">IF(C98="","",IF(C98&lt;-1,0,IF(C98=anal_period,-LOOKUP(C98,depr_yr,depr_cost)-Depreciation!$C$141-Depreciation!$B$166,-LOOKUP(C98,depr_yr,depr_cost))))</f>
        <v>-2038127.2786807122</v>
      </c>
      <c r="V98" s="175">
        <f t="shared" ca="1" si="36"/>
        <v>-13562093.081255704</v>
      </c>
      <c r="W98" s="176">
        <f t="shared" si="37"/>
        <v>0.25739999999999996</v>
      </c>
      <c r="X98" s="175">
        <f t="shared" ca="1" si="38"/>
        <v>3490882.7591152177</v>
      </c>
      <c r="Y98" s="175">
        <f t="shared" ca="1" si="39"/>
        <v>-8033083.0434597749</v>
      </c>
      <c r="Z98" s="175">
        <f>IF(C98="","",IF($B$31=0,"",-'Debt Financing Calculations'!F47))</f>
        <v>0</v>
      </c>
      <c r="AA98" s="175">
        <f t="shared" ca="1" si="40"/>
        <v>-11788513.746960219</v>
      </c>
      <c r="AB98" s="175">
        <f t="shared" ca="1" si="23"/>
        <v>79115528.378430188</v>
      </c>
      <c r="AC98" s="933">
        <f t="shared" ca="1" si="41"/>
        <v>-15279396.506075436</v>
      </c>
      <c r="AE98" s="937">
        <f t="shared" ca="1" si="42"/>
        <v>158673384</v>
      </c>
      <c r="AF98" s="933">
        <f t="shared" si="43"/>
        <v>0</v>
      </c>
    </row>
    <row r="99" spans="1:32">
      <c r="A99" s="53">
        <f t="shared" si="21"/>
        <v>2046</v>
      </c>
      <c r="B99" s="173">
        <f>IF(MAX($B$65:B98)&lt;(construct+anal_period),B98+1,"")</f>
        <v>35</v>
      </c>
      <c r="C99" s="173">
        <f t="shared" si="22"/>
        <v>32</v>
      </c>
      <c r="D99" s="173">
        <f t="shared" si="25"/>
        <v>32</v>
      </c>
      <c r="E99" s="174">
        <f t="shared" si="26"/>
        <v>1.7922546019794507</v>
      </c>
      <c r="F99" s="54">
        <f t="shared" ca="1" si="27"/>
        <v>302254906.11214089</v>
      </c>
      <c r="G99" s="946"/>
      <c r="H99" s="955">
        <f t="shared" si="24"/>
        <v>0</v>
      </c>
      <c r="I99" s="175">
        <f ca="1">IF(OR(C99&lt;0,C99=""),"",-E99*INDEX('Replacement Costs'!$A$16:$H$57,MATCH(C99,'Replacement Costs'!$C$16:$C$57,0),MATCH("Total Yearly Replacement Costs",'Replacement Costs'!$A$16:$H$16,0)))</f>
        <v>-2452431.5358930095</v>
      </c>
      <c r="J99" s="175">
        <f ca="1">IF(AND(C99&gt;=1,C99&lt;anal_period),WorkingCap*SUM(N99:R99)-WorkingCap*SUM(N98:R98),IF(C99&lt;0,0,IF(B99="","",-SUM(J$65:J98))))</f>
        <v>-1261478.7642473876</v>
      </c>
      <c r="K99" s="175" t="str">
        <f t="shared" si="28"/>
        <v/>
      </c>
      <c r="L99" s="175" t="str">
        <f t="shared" si="29"/>
        <v/>
      </c>
      <c r="M99" s="175" t="str">
        <f t="shared" si="30"/>
        <v/>
      </c>
      <c r="N99" s="175">
        <f t="shared" ca="1" si="31"/>
        <v>-23854663.393684652</v>
      </c>
      <c r="O99" s="175">
        <f t="shared" ca="1" si="32"/>
        <v>-279330845.46048409</v>
      </c>
      <c r="P99" s="175">
        <f t="shared" ca="1" si="33"/>
        <v>-4719427.9737635851</v>
      </c>
      <c r="Q99" s="175">
        <f t="shared" ca="1" si="10"/>
        <v>0</v>
      </c>
      <c r="R99" s="175">
        <f t="shared" ca="1" si="34"/>
        <v>-2906103.6132104141</v>
      </c>
      <c r="S99" s="175">
        <f ca="1">IF(B99="","",IF($B$31=0,"",-'Debt Financing Calculations'!E48))</f>
        <v>-5741926.1961670937</v>
      </c>
      <c r="T99" s="175">
        <f t="shared" ca="1" si="35"/>
        <v>-14298060.525168955</v>
      </c>
      <c r="U99" s="175">
        <f ca="1">IF(C99="","",IF(C99&lt;-1,0,IF(C99=anal_period,-LOOKUP(C99,depr_yr,depr_cost)-Depreciation!$C$141-Depreciation!$B$166,-LOOKUP(C99,depr_yr,depr_cost))))</f>
        <v>-2076851.6969756454</v>
      </c>
      <c r="V99" s="175">
        <f t="shared" ca="1" si="36"/>
        <v>-16374912.2221446</v>
      </c>
      <c r="W99" s="176">
        <f t="shared" si="37"/>
        <v>0.25739999999999996</v>
      </c>
      <c r="X99" s="175">
        <f t="shared" ca="1" si="38"/>
        <v>4214902.4059800198</v>
      </c>
      <c r="Y99" s="175">
        <f t="shared" ca="1" si="39"/>
        <v>-10083158.119188935</v>
      </c>
      <c r="Z99" s="175">
        <f>IF(C99="","",IF($B$31=0,"",-'Debt Financing Calculations'!F48))</f>
        <v>0</v>
      </c>
      <c r="AA99" s="175">
        <f t="shared" ca="1" si="40"/>
        <v>-13797068.41932933</v>
      </c>
      <c r="AB99" s="175">
        <f t="shared" ca="1" si="23"/>
        <v>65318459.959100857</v>
      </c>
      <c r="AC99" s="933">
        <f t="shared" ca="1" si="41"/>
        <v>-18011970.825309351</v>
      </c>
      <c r="AE99" s="937">
        <f t="shared" ca="1" si="42"/>
        <v>158673384</v>
      </c>
      <c r="AF99" s="933">
        <f t="shared" si="43"/>
        <v>0</v>
      </c>
    </row>
    <row r="100" spans="1:32">
      <c r="A100" s="53">
        <f t="shared" si="21"/>
        <v>2047</v>
      </c>
      <c r="B100" s="173">
        <f>IF(MAX($B$65:B99)&lt;(construct+anal_period),B99+1,"")</f>
        <v>36</v>
      </c>
      <c r="C100" s="173">
        <f t="shared" si="22"/>
        <v>33</v>
      </c>
      <c r="D100" s="173">
        <f t="shared" si="25"/>
        <v>33</v>
      </c>
      <c r="E100" s="174">
        <f t="shared" si="26"/>
        <v>1.8263074394170602</v>
      </c>
      <c r="F100" s="54">
        <f t="shared" ca="1" si="27"/>
        <v>307997749.32827151</v>
      </c>
      <c r="G100" s="946"/>
      <c r="H100" s="955">
        <f t="shared" si="24"/>
        <v>0</v>
      </c>
      <c r="I100" s="175">
        <f ca="1">IF(OR(C100&lt;0,C100=""),"",-E100*INDEX('Replacement Costs'!$A$16:$H$57,MATCH(C100,'Replacement Costs'!$C$16:$C$57,0),MATCH("Total Yearly Replacement Costs",'Replacement Costs'!$A$16:$H$16,0)))</f>
        <v>-2499027.7350749765</v>
      </c>
      <c r="J100" s="175">
        <f ca="1">IF(AND(C100&gt;=1,C100&lt;anal_period),WorkingCap*SUM(N100:R100)-WorkingCap*SUM(N99:R99),IF(C100&lt;0,0,IF(B100="","",-SUM(J$65:J99))))</f>
        <v>-1332158.5198669583</v>
      </c>
      <c r="K100" s="175" t="str">
        <f t="shared" si="28"/>
        <v/>
      </c>
      <c r="L100" s="175" t="str">
        <f t="shared" si="29"/>
        <v/>
      </c>
      <c r="M100" s="175" t="str">
        <f t="shared" si="30"/>
        <v/>
      </c>
      <c r="N100" s="175">
        <f t="shared" ca="1" si="31"/>
        <v>-24307901.998164658</v>
      </c>
      <c r="O100" s="175">
        <f t="shared" ca="1" si="32"/>
        <v>-287613778.5549646</v>
      </c>
      <c r="P100" s="175">
        <f t="shared" ca="1" si="33"/>
        <v>-4809097.105265093</v>
      </c>
      <c r="Q100" s="175">
        <f t="shared" ca="1" si="10"/>
        <v>0</v>
      </c>
      <c r="R100" s="175">
        <f t="shared" ca="1" si="34"/>
        <v>-2961319.5818614117</v>
      </c>
      <c r="S100" s="175">
        <f ca="1">IF(B100="","",IF($B$31=0,"",-'Debt Financing Calculations'!E49))</f>
        <v>-5741926.1961670937</v>
      </c>
      <c r="T100" s="175">
        <f t="shared" ca="1" si="35"/>
        <v>-17436274.108151376</v>
      </c>
      <c r="U100" s="175">
        <f ca="1">IF(C100="","",IF(C100&lt;-1,0,IF(C100=anal_period,-LOOKUP(C100,depr_yr,depr_cost)-Depreciation!$C$141-Depreciation!$B$166,-LOOKUP(C100,depr_yr,depr_cost))))</f>
        <v>-2116311.879218183</v>
      </c>
      <c r="V100" s="175">
        <f t="shared" ca="1" si="36"/>
        <v>-19552585.98736956</v>
      </c>
      <c r="W100" s="176">
        <f t="shared" si="37"/>
        <v>0.25739999999999996</v>
      </c>
      <c r="X100" s="175">
        <f t="shared" ca="1" si="38"/>
        <v>5032835.6331489235</v>
      </c>
      <c r="Y100" s="175">
        <f t="shared" ca="1" si="39"/>
        <v>-12403438.475002453</v>
      </c>
      <c r="Z100" s="175">
        <f>IF(C100="","",IF($B$31=0,"",-'Debt Financing Calculations'!F49))</f>
        <v>0</v>
      </c>
      <c r="AA100" s="175">
        <f t="shared" ca="1" si="40"/>
        <v>-16234624.729944386</v>
      </c>
      <c r="AB100" s="175">
        <f t="shared" ca="1" si="23"/>
        <v>49083835.229156472</v>
      </c>
      <c r="AC100" s="933">
        <f t="shared" ca="1" si="41"/>
        <v>-21267460.363093309</v>
      </c>
      <c r="AE100" s="937">
        <f t="shared" ca="1" si="42"/>
        <v>158673384</v>
      </c>
      <c r="AF100" s="933">
        <f t="shared" si="43"/>
        <v>0</v>
      </c>
    </row>
    <row r="101" spans="1:32">
      <c r="A101" s="53">
        <f t="shared" si="21"/>
        <v>2048</v>
      </c>
      <c r="B101" s="173">
        <f>IF(MAX($B$65:B100)&lt;(construct+anal_period),B100+1,"")</f>
        <v>37</v>
      </c>
      <c r="C101" s="173">
        <f t="shared" si="22"/>
        <v>34</v>
      </c>
      <c r="D101" s="173">
        <f t="shared" si="25"/>
        <v>34</v>
      </c>
      <c r="E101" s="174">
        <f t="shared" si="26"/>
        <v>1.8610072807659841</v>
      </c>
      <c r="F101" s="54">
        <f t="shared" ca="1" si="27"/>
        <v>313849706.56550866</v>
      </c>
      <c r="G101" s="946"/>
      <c r="H101" s="955">
        <f t="shared" si="24"/>
        <v>0</v>
      </c>
      <c r="I101" s="175">
        <f ca="1">IF(OR(C101&lt;0,C101=""),"",-E101*INDEX('Replacement Costs'!$A$16:$H$57,MATCH(C101,'Replacement Costs'!$C$16:$C$57,0),MATCH("Total Yearly Replacement Costs",'Replacement Costs'!$A$16:$H$16,0)))</f>
        <v>-2546509.2620414007</v>
      </c>
      <c r="J101" s="175">
        <f ca="1">IF(AND(C101&gt;=1,C101&lt;anal_period),WorkingCap*SUM(N101:R101)-WorkingCap*SUM(N100:R100),IF(C101&lt;0,0,IF(B101="","",-SUM(J$65:J100))))</f>
        <v>-1710351.1732723787</v>
      </c>
      <c r="K101" s="175" t="str">
        <f t="shared" si="28"/>
        <v/>
      </c>
      <c r="L101" s="175" t="str">
        <f t="shared" si="29"/>
        <v/>
      </c>
      <c r="M101" s="175" t="str">
        <f t="shared" si="30"/>
        <v/>
      </c>
      <c r="N101" s="175">
        <f t="shared" ca="1" si="31"/>
        <v>-24769752.136129785</v>
      </c>
      <c r="O101" s="175">
        <f t="shared" ca="1" si="32"/>
        <v>-298406631.65509331</v>
      </c>
      <c r="P101" s="175">
        <f t="shared" ca="1" si="33"/>
        <v>-4900469.9502651291</v>
      </c>
      <c r="Q101" s="175">
        <f t="shared" ca="1" si="10"/>
        <v>0</v>
      </c>
      <c r="R101" s="175">
        <f t="shared" ca="1" si="34"/>
        <v>-3017584.653916778</v>
      </c>
      <c r="S101" s="175">
        <f ca="1">IF(B101="","",IF($B$31=0,"",-'Debt Financing Calculations'!E50))</f>
        <v>-5741926.1961670937</v>
      </c>
      <c r="T101" s="175">
        <f t="shared" ca="1" si="35"/>
        <v>-22986658.026063442</v>
      </c>
      <c r="U101" s="175">
        <f ca="1">IF(C101="","",IF(C101&lt;-1,0,IF(C101=anal_period,-LOOKUP(C101,depr_yr,depr_cost)-Depreciation!$C$141-Depreciation!$B$166,-LOOKUP(C101,depr_yr,depr_cost))))</f>
        <v>-2156521.8049233286</v>
      </c>
      <c r="V101" s="175">
        <f t="shared" ca="1" si="36"/>
        <v>-25143179.830986772</v>
      </c>
      <c r="W101" s="176">
        <f t="shared" si="37"/>
        <v>0.25739999999999996</v>
      </c>
      <c r="X101" s="175">
        <f t="shared" ca="1" si="38"/>
        <v>6471854.4884959944</v>
      </c>
      <c r="Y101" s="175">
        <f t="shared" ca="1" si="39"/>
        <v>-16514803.537567448</v>
      </c>
      <c r="Z101" s="175">
        <f>IF(C101="","",IF($B$31=0,"",-'Debt Financing Calculations'!F50))</f>
        <v>0</v>
      </c>
      <c r="AA101" s="175">
        <f t="shared" ca="1" si="40"/>
        <v>-20771663.972881228</v>
      </c>
      <c r="AB101" s="175">
        <f t="shared" ca="1" si="23"/>
        <v>28312171.256275244</v>
      </c>
      <c r="AC101" s="933">
        <f t="shared" ca="1" si="41"/>
        <v>-27243518.461377222</v>
      </c>
      <c r="AE101" s="937">
        <f t="shared" ca="1" si="42"/>
        <v>158673384</v>
      </c>
      <c r="AF101" s="933">
        <f t="shared" si="43"/>
        <v>0</v>
      </c>
    </row>
    <row r="102" spans="1:32">
      <c r="A102" s="53">
        <f t="shared" si="21"/>
        <v>2049</v>
      </c>
      <c r="B102" s="173">
        <f>IF(MAX($B$65:B101)&lt;(construct+anal_period),B101+1,"")</f>
        <v>38</v>
      </c>
      <c r="C102" s="173">
        <f t="shared" si="22"/>
        <v>35</v>
      </c>
      <c r="D102" s="173">
        <f t="shared" si="25"/>
        <v>35</v>
      </c>
      <c r="E102" s="174">
        <f t="shared" si="26"/>
        <v>1.8963664191005378</v>
      </c>
      <c r="F102" s="54">
        <f t="shared" ca="1" si="27"/>
        <v>319812850.99025333</v>
      </c>
      <c r="G102" s="946"/>
      <c r="H102" s="955">
        <f t="shared" si="24"/>
        <v>0</v>
      </c>
      <c r="I102" s="175">
        <f ca="1">IF(OR(C102&lt;0,C102=""),"",-E102*INDEX('Replacement Costs'!$A$16:$H$57,MATCH(C102,'Replacement Costs'!$C$16:$C$57,0),MATCH("Total Yearly Replacement Costs",'Replacement Costs'!$A$16:$H$16,0)))</f>
        <v>-2594892.9380201874</v>
      </c>
      <c r="J102" s="175">
        <f ca="1">IF(AND(C102&gt;=1,C102&lt;anal_period),WorkingCap*SUM(N102:R102)-WorkingCap*SUM(N101:R101),IF(C102&lt;0,0,IF(B102="","",-SUM(J$65:J101))))</f>
        <v>-1209525.779333882</v>
      </c>
      <c r="K102" s="175" t="str">
        <f t="shared" si="28"/>
        <v/>
      </c>
      <c r="L102" s="175" t="str">
        <f t="shared" si="29"/>
        <v/>
      </c>
      <c r="M102" s="175" t="str">
        <f t="shared" si="30"/>
        <v/>
      </c>
      <c r="N102" s="175">
        <f t="shared" ca="1" si="31"/>
        <v>-25240377.426716249</v>
      </c>
      <c r="O102" s="175">
        <f t="shared" ca="1" si="32"/>
        <v>-305849068.52258658</v>
      </c>
      <c r="P102" s="175">
        <f t="shared" ca="1" si="33"/>
        <v>-4993578.879320167</v>
      </c>
      <c r="Q102" s="175">
        <f t="shared" ca="1" si="10"/>
        <v>0</v>
      </c>
      <c r="R102" s="175">
        <f t="shared" ca="1" si="34"/>
        <v>-3074918.7623411971</v>
      </c>
      <c r="S102" s="175">
        <f ca="1">IF(B102="","",IF($B$31=0,"",-'Debt Financing Calculations'!E51))</f>
        <v>-5741926.1961670937</v>
      </c>
      <c r="T102" s="175">
        <f t="shared" ca="1" si="35"/>
        <v>-25087018.79687798</v>
      </c>
      <c r="U102" s="175">
        <f ca="1">IF(C102="","",IF(C102&lt;-1,0,IF(C102=anal_period,-LOOKUP(C102,depr_yr,depr_cost)-Depreciation!$C$141-Depreciation!$B$166,-LOOKUP(C102,depr_yr,depr_cost))))</f>
        <v>-2197495.7192168715</v>
      </c>
      <c r="V102" s="175">
        <f t="shared" ca="1" si="36"/>
        <v>-27284514.516094852</v>
      </c>
      <c r="W102" s="176">
        <f t="shared" si="37"/>
        <v>0.25739999999999996</v>
      </c>
      <c r="X102" s="175">
        <f t="shared" ca="1" si="38"/>
        <v>7023034.0364428144</v>
      </c>
      <c r="Y102" s="175">
        <f t="shared" ca="1" si="39"/>
        <v>-18063984.760435164</v>
      </c>
      <c r="Z102" s="175">
        <f>IF(C102="","",IF($B$31=0,"",-'Debt Financing Calculations'!F51))</f>
        <v>0</v>
      </c>
      <c r="AA102" s="175">
        <f t="shared" ca="1" si="40"/>
        <v>-21868403.477789238</v>
      </c>
      <c r="AB102" s="175">
        <f t="shared" ca="1" si="23"/>
        <v>6443767.778486006</v>
      </c>
      <c r="AC102" s="933">
        <f t="shared" ca="1" si="41"/>
        <v>-28891437.514232051</v>
      </c>
      <c r="AE102" s="937">
        <f t="shared" ca="1" si="42"/>
        <v>158673384</v>
      </c>
      <c r="AF102" s="933">
        <f t="shared" si="43"/>
        <v>0</v>
      </c>
    </row>
    <row r="103" spans="1:32">
      <c r="A103" s="53">
        <f t="shared" si="21"/>
        <v>2050</v>
      </c>
      <c r="B103" s="173">
        <f>IF(MAX($B$65:B102)&lt;(construct+anal_period),B102+1,"")</f>
        <v>39</v>
      </c>
      <c r="C103" s="173">
        <f t="shared" si="22"/>
        <v>36</v>
      </c>
      <c r="D103" s="173">
        <f t="shared" si="25"/>
        <v>36</v>
      </c>
      <c r="E103" s="174">
        <f t="shared" si="26"/>
        <v>1.932397381063448</v>
      </c>
      <c r="F103" s="54">
        <f t="shared" ca="1" si="27"/>
        <v>325889295.15906811</v>
      </c>
      <c r="G103" s="946"/>
      <c r="H103" s="955">
        <f t="shared" si="24"/>
        <v>0</v>
      </c>
      <c r="I103" s="175">
        <f ca="1">IF(OR(C103&lt;0,C103=""),"",-E103*INDEX('Replacement Costs'!$A$16:$H$57,MATCH(C103,'Replacement Costs'!$C$16:$C$57,0),MATCH("Total Yearly Replacement Costs",'Replacement Costs'!$A$16:$H$16,0)))</f>
        <v>-2644195.9038425712</v>
      </c>
      <c r="J103" s="175">
        <f ca="1">IF(AND(C103&gt;=1,C103&lt;anal_period),WorkingCap*SUM(N103:R103)-WorkingCap*SUM(N102:R102),IF(C103&lt;0,0,IF(B103="","",-SUM(J$65:J102))))</f>
        <v>-1554007.522253342</v>
      </c>
      <c r="K103" s="175" t="str">
        <f t="shared" si="28"/>
        <v/>
      </c>
      <c r="L103" s="175" t="str">
        <f t="shared" si="29"/>
        <v/>
      </c>
      <c r="M103" s="175" t="str">
        <f t="shared" si="30"/>
        <v/>
      </c>
      <c r="N103" s="175">
        <f t="shared" ca="1" si="31"/>
        <v>-25719944.597823858</v>
      </c>
      <c r="O103" s="175">
        <f t="shared" ca="1" si="32"/>
        <v>-315576250.04464298</v>
      </c>
      <c r="P103" s="175">
        <f t="shared" ca="1" si="33"/>
        <v>-5088456.8780272501</v>
      </c>
      <c r="Q103" s="175">
        <f t="shared" ca="1" si="10"/>
        <v>0</v>
      </c>
      <c r="R103" s="175">
        <f t="shared" ca="1" si="34"/>
        <v>-3133342.2188256797</v>
      </c>
      <c r="S103" s="175">
        <f ca="1">IF(B103="","",IF($B$31=0,"",-'Debt Financing Calculations'!E52))</f>
        <v>-5741926.1961670937</v>
      </c>
      <c r="T103" s="175">
        <f t="shared" ca="1" si="35"/>
        <v>-29370624.776418805</v>
      </c>
      <c r="U103" s="175">
        <f ca="1">IF(C103="","",IF(C103&lt;-1,0,IF(C103=anal_period,-LOOKUP(C103,depr_yr,depr_cost)-Depreciation!$C$141-Depreciation!$B$166,-LOOKUP(C103,depr_yr,depr_cost))))</f>
        <v>-2239248.1378819919</v>
      </c>
      <c r="V103" s="175">
        <f t="shared" ca="1" si="36"/>
        <v>-31609872.914300796</v>
      </c>
      <c r="W103" s="176">
        <f t="shared" si="37"/>
        <v>0.25739999999999996</v>
      </c>
      <c r="X103" s="175">
        <f t="shared" ca="1" si="38"/>
        <v>8136381.2881410234</v>
      </c>
      <c r="Y103" s="175">
        <f t="shared" ca="1" si="39"/>
        <v>-21234243.488277782</v>
      </c>
      <c r="Z103" s="175">
        <f>IF(C103="","",IF($B$31=0,"",-'Debt Financing Calculations'!F52))</f>
        <v>0</v>
      </c>
      <c r="AA103" s="175">
        <f t="shared" ca="1" si="40"/>
        <v>-25432446.914373692</v>
      </c>
      <c r="AB103" s="175">
        <f t="shared" ca="1" si="23"/>
        <v>-18988679.135887686</v>
      </c>
      <c r="AC103" s="933">
        <f t="shared" ca="1" si="41"/>
        <v>-33568828.202514715</v>
      </c>
      <c r="AE103" s="937">
        <f t="shared" ca="1" si="42"/>
        <v>158673384</v>
      </c>
      <c r="AF103" s="933">
        <f t="shared" si="43"/>
        <v>0</v>
      </c>
    </row>
    <row r="104" spans="1:32">
      <c r="A104" s="53">
        <f t="shared" si="21"/>
        <v>2051</v>
      </c>
      <c r="B104" s="173">
        <f>IF(MAX($B$65:B103)&lt;(construct+anal_period),B103+1,"")</f>
        <v>40</v>
      </c>
      <c r="C104" s="173">
        <f t="shared" si="22"/>
        <v>37</v>
      </c>
      <c r="D104" s="173">
        <f t="shared" si="25"/>
        <v>37</v>
      </c>
      <c r="E104" s="174">
        <f t="shared" si="26"/>
        <v>1.9691129313036535</v>
      </c>
      <c r="F104" s="54">
        <f t="shared" ca="1" si="27"/>
        <v>332081191.76709038</v>
      </c>
      <c r="G104" s="946"/>
      <c r="H104" s="955">
        <f t="shared" si="24"/>
        <v>0</v>
      </c>
      <c r="I104" s="175">
        <f ca="1">IF(OR(C104&lt;0,C104=""),"",-E104*INDEX('Replacement Costs'!$A$16:$H$57,MATCH(C104,'Replacement Costs'!$C$16:$C$57,0),MATCH("Total Yearly Replacement Costs",'Replacement Costs'!$A$16:$H$16,0)))</f>
        <v>-2694435.6260155798</v>
      </c>
      <c r="J104" s="175">
        <f ca="1">IF(AND(C104&gt;=1,C104&lt;anal_period),WorkingCap*SUM(N104:R104)-WorkingCap*SUM(N103:R103),IF(C104&lt;0,0,IF(B104="","",-SUM(J$65:J103))))</f>
        <v>-1262051.1244922802</v>
      </c>
      <c r="K104" s="175" t="str">
        <f t="shared" si="28"/>
        <v/>
      </c>
      <c r="L104" s="175" t="str">
        <f t="shared" si="29"/>
        <v/>
      </c>
      <c r="M104" s="175" t="str">
        <f t="shared" si="30"/>
        <v/>
      </c>
      <c r="N104" s="175">
        <f t="shared" ca="1" si="31"/>
        <v>-26208623.545182511</v>
      </c>
      <c r="O104" s="175">
        <f t="shared" ca="1" si="32"/>
        <v>-323345031.07772601</v>
      </c>
      <c r="P104" s="175">
        <f t="shared" ca="1" si="33"/>
        <v>-5185137.5587097676</v>
      </c>
      <c r="Q104" s="175">
        <f t="shared" ca="1" si="10"/>
        <v>0</v>
      </c>
      <c r="R104" s="175">
        <f t="shared" ca="1" si="34"/>
        <v>-3192875.7209833679</v>
      </c>
      <c r="S104" s="175">
        <f ca="1">IF(B104="","",IF($B$31=0,"",-'Debt Financing Calculations'!E53))</f>
        <v>-5741926.1961670937</v>
      </c>
      <c r="T104" s="175">
        <f t="shared" ca="1" si="35"/>
        <v>-31592402.331678391</v>
      </c>
      <c r="U104" s="175">
        <f ca="1">IF(C104="","",IF(C104&lt;-1,0,IF(C104=anal_period,-LOOKUP(C104,depr_yr,depr_cost)-Depreciation!$C$141-Depreciation!$B$166,-LOOKUP(C104,depr_yr,depr_cost))))</f>
        <v>-2281793.8525017495</v>
      </c>
      <c r="V104" s="175">
        <f t="shared" ca="1" si="36"/>
        <v>-33874196.18418014</v>
      </c>
      <c r="W104" s="176">
        <f t="shared" si="37"/>
        <v>0.25739999999999996</v>
      </c>
      <c r="X104" s="175">
        <f t="shared" ca="1" si="38"/>
        <v>8719218.0978079662</v>
      </c>
      <c r="Y104" s="175">
        <f t="shared" ca="1" si="39"/>
        <v>-22873184.233870424</v>
      </c>
      <c r="Z104" s="175">
        <f>IF(C104="","",IF($B$31=0,"",-'Debt Financing Calculations'!F53))</f>
        <v>0</v>
      </c>
      <c r="AA104" s="175">
        <f t="shared" ca="1" si="40"/>
        <v>-26829670.984378286</v>
      </c>
      <c r="AB104" s="175">
        <f t="shared" ca="1" si="23"/>
        <v>-45818350.120265976</v>
      </c>
      <c r="AC104" s="933">
        <f t="shared" ca="1" si="41"/>
        <v>-35548889.082186252</v>
      </c>
      <c r="AE104" s="937">
        <f t="shared" ca="1" si="42"/>
        <v>158673384</v>
      </c>
      <c r="AF104" s="933">
        <f t="shared" si="43"/>
        <v>0</v>
      </c>
    </row>
    <row r="105" spans="1:32">
      <c r="A105" s="53">
        <f t="shared" si="21"/>
        <v>2052</v>
      </c>
      <c r="B105" s="173">
        <f>IF(MAX($B$65:B104)&lt;(construct+anal_period),B104+1,"")</f>
        <v>41</v>
      </c>
      <c r="C105" s="173">
        <f t="shared" si="22"/>
        <v>38</v>
      </c>
      <c r="D105" s="173">
        <f t="shared" si="25"/>
        <v>38</v>
      </c>
      <c r="E105" s="174">
        <f t="shared" si="26"/>
        <v>2.0065260769984223</v>
      </c>
      <c r="F105" s="54">
        <f t="shared" ca="1" si="27"/>
        <v>338390734.41066504</v>
      </c>
      <c r="G105" s="946"/>
      <c r="H105" s="955">
        <f t="shared" si="24"/>
        <v>0</v>
      </c>
      <c r="I105" s="175">
        <f ca="1">IF(OR(C105&lt;0,C105=""),"",-E105*INDEX('Replacement Costs'!$A$16:$H$57,MATCH(C105,'Replacement Costs'!$C$16:$C$57,0),MATCH("Total Yearly Replacement Costs",'Replacement Costs'!$A$16:$H$16,0)))</f>
        <v>-2745629.9029098749</v>
      </c>
      <c r="J105" s="175">
        <f ca="1">IF(AND(C105&gt;=1,C105&lt;anal_period),WorkingCap*SUM(N105:R105)-WorkingCap*SUM(N104:R104),IF(C105&lt;0,0,IF(B105="","",-SUM(J$65:J104))))</f>
        <v>-1292587.0586136729</v>
      </c>
      <c r="K105" s="175" t="str">
        <f t="shared" si="28"/>
        <v/>
      </c>
      <c r="L105" s="175" t="str">
        <f t="shared" si="29"/>
        <v/>
      </c>
      <c r="M105" s="175" t="str">
        <f t="shared" si="30"/>
        <v/>
      </c>
      <c r="N105" s="175">
        <f t="shared" ca="1" si="31"/>
        <v>-26706587.392540973</v>
      </c>
      <c r="O105" s="175">
        <f t="shared" ca="1" si="32"/>
        <v>-331305132.03547788</v>
      </c>
      <c r="P105" s="175">
        <f t="shared" ca="1" si="33"/>
        <v>-5283655.1723252516</v>
      </c>
      <c r="Q105" s="175">
        <f t="shared" ca="1" si="10"/>
        <v>0</v>
      </c>
      <c r="R105" s="175">
        <f t="shared" ca="1" si="34"/>
        <v>-3253540.3596820505</v>
      </c>
      <c r="S105" s="175">
        <f ca="1">IF(B105="","",IF($B$31=0,"",-'Debt Financing Calculations'!E54))</f>
        <v>-5741926.1961670937</v>
      </c>
      <c r="T105" s="175">
        <f t="shared" ca="1" si="35"/>
        <v>-33900106.745528221</v>
      </c>
      <c r="U105" s="175">
        <f ca="1">IF(C105="","",IF(C105&lt;-1,0,IF(C105=anal_period,-LOOKUP(C105,depr_yr,depr_cost)-Depreciation!$C$141-Depreciation!$B$166,-LOOKUP(C105,depr_yr,depr_cost))))</f>
        <v>-2325147.9356992822</v>
      </c>
      <c r="V105" s="175">
        <f t="shared" ca="1" si="36"/>
        <v>-36225254.681227505</v>
      </c>
      <c r="W105" s="176">
        <f t="shared" si="37"/>
        <v>0.25739999999999996</v>
      </c>
      <c r="X105" s="175">
        <f t="shared" ca="1" si="38"/>
        <v>9324380.5549479593</v>
      </c>
      <c r="Y105" s="175">
        <f t="shared" ca="1" si="39"/>
        <v>-24575726.190580264</v>
      </c>
      <c r="Z105" s="175">
        <f>IF(C105="","",IF($B$31=0,"",-'Debt Financing Calculations'!F54))</f>
        <v>0</v>
      </c>
      <c r="AA105" s="175">
        <f t="shared" ca="1" si="40"/>
        <v>-28613943.152103812</v>
      </c>
      <c r="AB105" s="175">
        <f t="shared" ca="1" si="23"/>
        <v>-74432293.272369787</v>
      </c>
      <c r="AC105" s="933">
        <f t="shared" ca="1" si="41"/>
        <v>-37938323.707051769</v>
      </c>
      <c r="AE105" s="937">
        <f t="shared" ca="1" si="42"/>
        <v>158673384</v>
      </c>
      <c r="AF105" s="933">
        <f t="shared" si="43"/>
        <v>0</v>
      </c>
    </row>
    <row r="106" spans="1:32">
      <c r="A106" s="53">
        <f t="shared" si="21"/>
        <v>2053</v>
      </c>
      <c r="B106" s="173">
        <f>IF(MAX($B$65:B105)&lt;(construct+anal_period),B105+1,"")</f>
        <v>42</v>
      </c>
      <c r="C106" s="173">
        <f t="shared" si="22"/>
        <v>39</v>
      </c>
      <c r="D106" s="173">
        <f t="shared" si="25"/>
        <v>39</v>
      </c>
      <c r="E106" s="174">
        <f t="shared" si="26"/>
        <v>2.0446500724613927</v>
      </c>
      <c r="F106" s="54">
        <f t="shared" ca="1" si="27"/>
        <v>344820158.36446774</v>
      </c>
      <c r="G106" s="946"/>
      <c r="H106" s="955">
        <f t="shared" si="24"/>
        <v>0</v>
      </c>
      <c r="I106" s="175">
        <f ca="1">IF(OR(C106&lt;0,C106=""),"",-E106*INDEX('Replacement Costs'!$A$16:$H$57,MATCH(C106,'Replacement Costs'!$C$16:$C$57,0),MATCH("Total Yearly Replacement Costs",'Replacement Costs'!$A$16:$H$16,0)))</f>
        <v>-2797796.8710651631</v>
      </c>
      <c r="J106" s="175">
        <f ca="1">IF(AND(C106&gt;=1,C106&lt;anal_period),WorkingCap*SUM(N106:R106)-WorkingCap*SUM(N105:R105),IF(C106&lt;0,0,IF(B106="","",-SUM(J$65:J105))))</f>
        <v>-1323864.861618109</v>
      </c>
      <c r="K106" s="175" t="str">
        <f t="shared" si="28"/>
        <v/>
      </c>
      <c r="L106" s="175" t="str">
        <f t="shared" si="29"/>
        <v/>
      </c>
      <c r="M106" s="175" t="str">
        <f t="shared" si="30"/>
        <v/>
      </c>
      <c r="N106" s="175">
        <f t="shared" ca="1" si="31"/>
        <v>-27214012.552999254</v>
      </c>
      <c r="O106" s="175">
        <f t="shared" ca="1" si="32"/>
        <v>-339461265.90403217</v>
      </c>
      <c r="P106" s="175">
        <f t="shared" ca="1" si="33"/>
        <v>-5384044.6205994328</v>
      </c>
      <c r="Q106" s="175">
        <f t="shared" ca="1" si="10"/>
        <v>0</v>
      </c>
      <c r="R106" s="175">
        <f t="shared" ca="1" si="34"/>
        <v>-3315357.6265160101</v>
      </c>
      <c r="S106" s="175">
        <f ca="1">IF(B106="","",IF($B$31=0,"",-'Debt Financing Calculations'!E55))</f>
        <v>-5741926.1961670937</v>
      </c>
      <c r="T106" s="175">
        <f ca="1">IF(C106="","",F106+SUM(L106:S106))</f>
        <v>-36296448.535846233</v>
      </c>
      <c r="U106" s="175">
        <f ca="1">IF(C106="","",IF(C106&lt;-1,0,IF(C106=anal_period,-LOOKUP(C106,depr_yr,depr_cost)-Depreciation!$C$141-Depreciation!$B$166,-LOOKUP(C106,depr_yr,depr_cost))))</f>
        <v>-2369325.746477569</v>
      </c>
      <c r="V106" s="175">
        <f t="shared" ca="1" si="36"/>
        <v>-38665774.2823238</v>
      </c>
      <c r="W106" s="176">
        <f t="shared" si="37"/>
        <v>0.25739999999999996</v>
      </c>
      <c r="X106" s="175">
        <f t="shared" ca="1" si="38"/>
        <v>9952570.3002701439</v>
      </c>
      <c r="Y106" s="175">
        <f t="shared" ca="1" si="39"/>
        <v>-26343878.235576089</v>
      </c>
      <c r="Z106" s="175">
        <f>IF(C106="","",IF($B$31=0,"",-'Debt Financing Calculations'!F55))</f>
        <v>0</v>
      </c>
      <c r="AA106" s="175">
        <f t="shared" ca="1" si="40"/>
        <v>-30465539.968259361</v>
      </c>
      <c r="AB106" s="175">
        <f t="shared" ca="1" si="23"/>
        <v>-104897833.24062915</v>
      </c>
      <c r="AC106" s="933">
        <f ca="1">IF(C106="","",SUM(H106,I106,J106,K106,T106,Z106))</f>
        <v>-40418110.268529505</v>
      </c>
      <c r="AE106" s="937">
        <f t="shared" ca="1" si="42"/>
        <v>158673384</v>
      </c>
      <c r="AF106" s="933">
        <f t="shared" si="43"/>
        <v>0</v>
      </c>
    </row>
    <row r="107" spans="1:32">
      <c r="A107" s="53">
        <f t="shared" si="21"/>
        <v>2054</v>
      </c>
      <c r="B107" s="173">
        <f>IF(MAX($B$65:B106)&lt;(construct+anal_period),B106+1,"")</f>
        <v>43</v>
      </c>
      <c r="C107" s="173">
        <f t="shared" si="22"/>
        <v>40</v>
      </c>
      <c r="D107" s="173">
        <f t="shared" si="25"/>
        <v>40</v>
      </c>
      <c r="E107" s="174">
        <f t="shared" si="26"/>
        <v>2.0834984238381593</v>
      </c>
      <c r="F107" s="54">
        <f t="shared" ca="1" si="27"/>
        <v>351371741.37339264</v>
      </c>
      <c r="G107" s="946"/>
      <c r="H107" s="955">
        <f t="shared" si="24"/>
        <v>0</v>
      </c>
      <c r="I107" s="175">
        <f ca="1">IF(OR(C107&lt;0,C107=""),"",-E107*INDEX('Replacement Costs'!$A$16:$H$57,MATCH(C107,'Replacement Costs'!$C$16:$C$57,0),MATCH("Total Yearly Replacement Costs",'Replacement Costs'!$A$16:$H$16,0)))</f>
        <v>-2850955.0116154016</v>
      </c>
      <c r="J107" s="175">
        <f ca="1">IF(AND(C107&gt;=1,C107&lt;anal_period),WorkingCap*SUM(N107:R107)-WorkingCap*SUM(N106:R106),IF(C107&lt;0,0,IF(B107="","",-SUM(J$65:J106))))</f>
        <v>56306202.105622031</v>
      </c>
      <c r="K107" s="175" t="str">
        <f t="shared" si="28"/>
        <v/>
      </c>
      <c r="L107" s="175">
        <f t="shared" ca="1" si="29"/>
        <v>57998981.590077065</v>
      </c>
      <c r="M107" s="175">
        <f t="shared" ca="1" si="30"/>
        <v>-57019100.232308038</v>
      </c>
      <c r="N107" s="175">
        <f t="shared" ca="1" si="31"/>
        <v>-27731078.791506242</v>
      </c>
      <c r="O107" s="175">
        <f t="shared" ca="1" si="32"/>
        <v>-347818261.79735011</v>
      </c>
      <c r="P107" s="175">
        <f t="shared" ca="1" si="33"/>
        <v>-5486341.4683908224</v>
      </c>
      <c r="Q107" s="175">
        <f t="shared" ca="1" si="10"/>
        <v>0</v>
      </c>
      <c r="R107" s="175">
        <f t="shared" ca="1" si="34"/>
        <v>-3378349.4214198147</v>
      </c>
      <c r="S107" s="175">
        <f ca="1">IF(B107="","",IF($B$31=0,"",-'Debt Financing Calculations'!E56))</f>
        <v>-5741926.1961670937</v>
      </c>
      <c r="T107" s="175">
        <f t="shared" ca="1" si="35"/>
        <v>-37804334.943672419</v>
      </c>
      <c r="U107" s="175">
        <f ca="1">IF(C107="","",IF(C107&lt;-1,0,IF(C107=anal_period,-LOOKUP(C107,depr_yr,depr_cost)-Depreciation!$C$141-Depreciation!$B$166,-LOOKUP(C107,depr_yr,depr_cost))))</f>
        <v>-25830537.956602734</v>
      </c>
      <c r="V107" s="175">
        <f t="shared" ca="1" si="36"/>
        <v>-63634872.900275156</v>
      </c>
      <c r="W107" s="176">
        <f t="shared" si="37"/>
        <v>0.25739999999999996</v>
      </c>
      <c r="X107" s="175">
        <f t="shared" ca="1" si="38"/>
        <v>16379616.284530822</v>
      </c>
      <c r="Y107" s="175">
        <f t="shared" ca="1" si="39"/>
        <v>-21424718.659141596</v>
      </c>
      <c r="Z107" s="175">
        <f ca="1">IF(C107="","",IF($B$31=0,"",-'Debt Financing Calculations'!F56))</f>
        <v>-155187194.49100253</v>
      </c>
      <c r="AA107" s="175">
        <f t="shared" ca="1" si="40"/>
        <v>-123156666.0561375</v>
      </c>
      <c r="AB107" s="175">
        <f t="shared" ca="1" si="23"/>
        <v>-228054499.29676664</v>
      </c>
      <c r="AC107" s="933">
        <f t="shared" ca="1" si="41"/>
        <v>-139536282.34066832</v>
      </c>
      <c r="AE107" s="937">
        <f t="shared" ca="1" si="42"/>
        <v>158673384</v>
      </c>
      <c r="AF107" s="933">
        <f t="shared" si="43"/>
        <v>0</v>
      </c>
    </row>
    <row r="108" spans="1:32">
      <c r="A108" s="53" t="str">
        <f t="shared" si="21"/>
        <v/>
      </c>
      <c r="B108" s="173" t="str">
        <f>IF(MAX($B$65:B107)&lt;(construct+anal_period),B107+1,"")</f>
        <v/>
      </c>
      <c r="C108" s="173" t="str">
        <f t="shared" si="22"/>
        <v/>
      </c>
      <c r="D108" s="173" t="str">
        <f t="shared" si="25"/>
        <v/>
      </c>
      <c r="E108" s="174" t="str">
        <f t="shared" si="26"/>
        <v/>
      </c>
      <c r="F108" s="54" t="str">
        <f t="shared" si="27"/>
        <v/>
      </c>
      <c r="G108" s="946"/>
      <c r="H108" s="955" t="str">
        <f t="shared" si="24"/>
        <v/>
      </c>
      <c r="I108" s="175" t="str">
        <f>IF(OR(C108&lt;0,C108=""),"",-E108*INDEX('Replacement Costs'!$A$16:$H$57,MATCH(C108,'Replacement Costs'!$C$16:$C$57,0),MATCH("Total Yearly Replacement Costs",'Replacement Costs'!$A$16:$H$16,0)))</f>
        <v/>
      </c>
      <c r="J108" s="175" t="str">
        <f>IF(AND(C108&gt;=1,C108&lt;anal_period),WorkingCap*SUM(N108:R108)-WorkingCap*SUM(N107:R107),IF(C108&lt;0,0,IF(B108="","",-SUM(J$65:J107))))</f>
        <v/>
      </c>
      <c r="K108" s="175" t="str">
        <f t="shared" si="28"/>
        <v/>
      </c>
      <c r="L108" s="175" t="str">
        <f t="shared" si="29"/>
        <v/>
      </c>
      <c r="M108" s="175" t="str">
        <f t="shared" si="30"/>
        <v/>
      </c>
      <c r="N108" s="175" t="str">
        <f t="shared" si="31"/>
        <v/>
      </c>
      <c r="O108" s="175" t="str">
        <f t="shared" si="32"/>
        <v/>
      </c>
      <c r="P108" s="175" t="str">
        <f t="shared" si="33"/>
        <v/>
      </c>
      <c r="Q108" s="175" t="str">
        <f t="shared" si="10"/>
        <v/>
      </c>
      <c r="R108" s="175" t="str">
        <f t="shared" si="34"/>
        <v/>
      </c>
      <c r="S108" s="175" t="str">
        <f>IF(B108="","",IF($B$31=0,"",-'Debt Financing Calculations'!E57))</f>
        <v/>
      </c>
      <c r="T108" s="175" t="str">
        <f t="shared" si="35"/>
        <v/>
      </c>
      <c r="U108" s="175" t="str">
        <f>IF(C108="","",IF(C108&lt;-1,0,IF(C108=anal_period,-LOOKUP(C108,depr_yr,depr_cost)-Depreciation!$C$141-Depreciation!$B$166,-LOOKUP(C108,depr_yr,depr_cost))))</f>
        <v/>
      </c>
      <c r="V108" s="175" t="str">
        <f t="shared" si="36"/>
        <v/>
      </c>
      <c r="W108" s="176" t="str">
        <f t="shared" si="37"/>
        <v/>
      </c>
      <c r="X108" s="175" t="str">
        <f t="shared" si="38"/>
        <v/>
      </c>
      <c r="Y108" s="175" t="str">
        <f t="shared" si="39"/>
        <v/>
      </c>
      <c r="Z108" s="175" t="str">
        <f>IF(C108="","",IF($B$31=0,"",-'Debt Financing Calculations'!F57))</f>
        <v/>
      </c>
      <c r="AA108" s="175" t="str">
        <f t="shared" si="40"/>
        <v/>
      </c>
      <c r="AB108" s="175" t="str">
        <f t="shared" si="23"/>
        <v/>
      </c>
      <c r="AC108" s="933" t="str">
        <f t="shared" si="41"/>
        <v/>
      </c>
      <c r="AE108" s="937" t="str">
        <f t="shared" si="42"/>
        <v/>
      </c>
      <c r="AF108" s="933" t="str">
        <f t="shared" si="43"/>
        <v/>
      </c>
    </row>
    <row r="109" spans="1:32">
      <c r="A109" s="53" t="str">
        <f t="shared" si="21"/>
        <v/>
      </c>
      <c r="B109" s="173" t="str">
        <f>IF(MAX($B$65:B108)&lt;(construct+anal_period),B108+1,"")</f>
        <v/>
      </c>
      <c r="C109" s="173" t="str">
        <f t="shared" si="22"/>
        <v/>
      </c>
      <c r="D109" s="173" t="str">
        <f t="shared" si="25"/>
        <v/>
      </c>
      <c r="E109" s="174" t="str">
        <f t="shared" si="26"/>
        <v/>
      </c>
      <c r="F109" s="54" t="str">
        <f t="shared" si="27"/>
        <v/>
      </c>
      <c r="G109" s="946"/>
      <c r="H109" s="955" t="str">
        <f t="shared" si="24"/>
        <v/>
      </c>
      <c r="I109" s="175" t="str">
        <f>IF(OR(C109&lt;0,C109=""),"",-E109*INDEX('Replacement Costs'!$A$16:$H$57,MATCH(C109,'Replacement Costs'!$C$16:$C$57,0),MATCH("Total Yearly Replacement Costs",'Replacement Costs'!$A$16:$H$16,0)))</f>
        <v/>
      </c>
      <c r="J109" s="175" t="str">
        <f>IF(AND(C109&gt;=1,C109&lt;anal_period),WorkingCap*SUM(N109:R109)-WorkingCap*SUM(N108:R108),IF(C109&lt;0,0,IF(B109="","",-SUM(J$65:J108))))</f>
        <v/>
      </c>
      <c r="K109" s="175" t="str">
        <f t="shared" si="28"/>
        <v/>
      </c>
      <c r="L109" s="175" t="str">
        <f t="shared" si="29"/>
        <v/>
      </c>
      <c r="M109" s="175" t="str">
        <f t="shared" si="30"/>
        <v/>
      </c>
      <c r="N109" s="175" t="str">
        <f t="shared" si="31"/>
        <v/>
      </c>
      <c r="O109" s="175" t="str">
        <f t="shared" si="32"/>
        <v/>
      </c>
      <c r="P109" s="175" t="str">
        <f t="shared" si="33"/>
        <v/>
      </c>
      <c r="Q109" s="175" t="str">
        <f t="shared" si="10"/>
        <v/>
      </c>
      <c r="R109" s="175" t="str">
        <f t="shared" si="34"/>
        <v/>
      </c>
      <c r="S109" s="175" t="str">
        <f>IF(B109="","",IF($B$31=0,"",-'Debt Financing Calculations'!E58))</f>
        <v/>
      </c>
      <c r="T109" s="175" t="str">
        <f t="shared" si="35"/>
        <v/>
      </c>
      <c r="U109" s="175" t="str">
        <f>IF(C109="","",IF(C109&lt;-1,0,IF(C109=anal_period,-LOOKUP(C109,depr_yr,depr_cost)-Depreciation!$C$141-Depreciation!$B$166,-LOOKUP(C109,depr_yr,depr_cost))))</f>
        <v/>
      </c>
      <c r="V109" s="175" t="str">
        <f t="shared" si="36"/>
        <v/>
      </c>
      <c r="W109" s="176" t="str">
        <f t="shared" si="37"/>
        <v/>
      </c>
      <c r="X109" s="175" t="str">
        <f t="shared" si="38"/>
        <v/>
      </c>
      <c r="Y109" s="175" t="str">
        <f t="shared" si="39"/>
        <v/>
      </c>
      <c r="Z109" s="175" t="str">
        <f>IF(C109="","",IF($B$31=0,"",-'Debt Financing Calculations'!F58))</f>
        <v/>
      </c>
      <c r="AA109" s="175" t="str">
        <f t="shared" si="40"/>
        <v/>
      </c>
      <c r="AB109" s="175" t="str">
        <f t="shared" si="23"/>
        <v/>
      </c>
      <c r="AC109" s="933" t="str">
        <f t="shared" si="41"/>
        <v/>
      </c>
      <c r="AE109" s="937" t="str">
        <f t="shared" si="42"/>
        <v/>
      </c>
      <c r="AF109" s="933" t="str">
        <f t="shared" si="43"/>
        <v/>
      </c>
    </row>
    <row r="110" spans="1:32">
      <c r="A110" s="53" t="str">
        <f t="shared" si="21"/>
        <v/>
      </c>
      <c r="B110" s="173" t="str">
        <f>IF(MAX($B$65:B109)&lt;(construct+anal_period),B109+1,"")</f>
        <v/>
      </c>
      <c r="C110" s="173" t="str">
        <f t="shared" si="22"/>
        <v/>
      </c>
      <c r="D110" s="173" t="str">
        <f t="shared" si="25"/>
        <v/>
      </c>
      <c r="E110" s="174" t="str">
        <f t="shared" si="26"/>
        <v/>
      </c>
      <c r="F110" s="54" t="str">
        <f t="shared" si="27"/>
        <v/>
      </c>
      <c r="G110" s="946"/>
      <c r="H110" s="955" t="str">
        <f t="shared" si="24"/>
        <v/>
      </c>
      <c r="I110" s="175" t="str">
        <f>IF(OR(C110&lt;0,C110=""),"",-E110*INDEX('Replacement Costs'!$A$16:$H$57,MATCH(C110,'Replacement Costs'!$C$16:$C$57,0),MATCH("Total Yearly Replacement Costs",'Replacement Costs'!$A$16:$H$16,0)))</f>
        <v/>
      </c>
      <c r="J110" s="175" t="str">
        <f>IF(AND(C110&gt;=1,C110&lt;anal_period),WorkingCap*SUM(N110:R110)-WorkingCap*SUM(N109:R109),IF(C110&lt;0,0,IF(B110="","",-SUM(J$65:J109))))</f>
        <v/>
      </c>
      <c r="K110" s="175" t="str">
        <f t="shared" si="28"/>
        <v/>
      </c>
      <c r="L110" s="175" t="str">
        <f t="shared" si="29"/>
        <v/>
      </c>
      <c r="M110" s="175" t="str">
        <f t="shared" si="30"/>
        <v/>
      </c>
      <c r="N110" s="175" t="str">
        <f t="shared" si="31"/>
        <v/>
      </c>
      <c r="O110" s="175" t="str">
        <f>IF(C110="","",IF(C110&lt;0,0,IF(AND(C110=1,start_time&lt;1),-(SUM(B185:E185)*output_kgyear*E110*percnt_var*start_time+SUM(B185:E185)*output_kgyear*E110*(1-start_time)),IF(C110&lt;=start_time,-SUM(B185:E185)*output_kgyear*E110*percnt_var,-SUM(B185:E185)*output_kgyear*E110))))</f>
        <v/>
      </c>
      <c r="P110" s="175" t="str">
        <f t="shared" si="33"/>
        <v/>
      </c>
      <c r="Q110" s="175" t="str">
        <f>IF(C110="","",IF(C110&lt;0,0,IF(AND(C110=1,start_time&lt;1),SUM(K185:N185,T185:V185)*output_kgyear*E110*percnt_revs*start_time+SUM(K185:N185,T185:V185)*output_kgyear*E110*(1-start_time),IF(C110&lt;=start_time,SUM(K185:N185,T185:V185)*output_kgyear*E110*percnt_revs,SUM(K185:N185,T185:V185)*output_kgyear*E110))))</f>
        <v/>
      </c>
      <c r="R110" s="175"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75" t="str">
        <f>IF(B110="","",IF($B$31=0,"",-'Debt Financing Calculations'!E59))</f>
        <v/>
      </c>
      <c r="T110" s="175" t="str">
        <f t="shared" si="35"/>
        <v/>
      </c>
      <c r="U110" s="175" t="str">
        <f>IF(C110="","",IF(C110&lt;-1,0,IF(C110=anal_period,-LOOKUP(C110,depr_yr,depr_cost)-Depreciation!$C$141-Depreciation!$B$166,-LOOKUP(C110,depr_yr,depr_cost))))</f>
        <v/>
      </c>
      <c r="V110" s="175" t="str">
        <f t="shared" si="36"/>
        <v/>
      </c>
      <c r="W110" s="176" t="str">
        <f t="shared" si="37"/>
        <v/>
      </c>
      <c r="X110" s="175" t="str">
        <f t="shared" si="38"/>
        <v/>
      </c>
      <c r="Y110" s="175" t="str">
        <f t="shared" si="39"/>
        <v/>
      </c>
      <c r="Z110" s="175" t="str">
        <f>IF(C110="","",IF($B$31=0,"",-'Debt Financing Calculations'!F59))</f>
        <v/>
      </c>
      <c r="AA110" s="175" t="str">
        <f t="shared" si="40"/>
        <v/>
      </c>
      <c r="AB110" s="175" t="str">
        <f t="shared" si="23"/>
        <v/>
      </c>
      <c r="AC110" s="933" t="str">
        <f t="shared" si="41"/>
        <v/>
      </c>
      <c r="AE110" s="937" t="str">
        <f t="shared" si="42"/>
        <v/>
      </c>
      <c r="AF110" s="933" t="str">
        <f t="shared" si="43"/>
        <v/>
      </c>
    </row>
    <row r="111" spans="1:32">
      <c r="A111" s="53" t="str">
        <f t="shared" si="21"/>
        <v/>
      </c>
      <c r="B111" s="173" t="str">
        <f>IF(MAX($B$65:B110)&lt;(construct+anal_period),B110+1,"")</f>
        <v/>
      </c>
      <c r="C111" s="173" t="str">
        <f t="shared" si="22"/>
        <v/>
      </c>
      <c r="D111" s="173" t="str">
        <f t="shared" si="25"/>
        <v/>
      </c>
      <c r="E111" s="174" t="str">
        <f t="shared" si="26"/>
        <v/>
      </c>
      <c r="F111" s="54" t="str">
        <f t="shared" si="27"/>
        <v/>
      </c>
      <c r="G111" s="946"/>
      <c r="H111" s="955" t="str">
        <f t="shared" si="24"/>
        <v/>
      </c>
      <c r="I111" s="175" t="str">
        <f>IF(OR(C111&lt;0,C111=""),"",-E111*INDEX('Replacement Costs'!$A$16:$H$57,MATCH(C111,'Replacement Costs'!$C$16:$C$57,0),MATCH("Total Yearly Replacement Costs",'Replacement Costs'!$A$16:$H$16,0)))</f>
        <v/>
      </c>
      <c r="J111" s="175" t="str">
        <f>IF(AND(C111&gt;=1,C111&lt;anal_period),WorkingCap*SUM(N111:R111)-WorkingCap*SUM(N110:R110),IF(C111&lt;0,0,IF(B111="","",-SUM(J$65:J110))))</f>
        <v/>
      </c>
      <c r="K111" s="175" t="str">
        <f t="shared" si="28"/>
        <v/>
      </c>
      <c r="L111" s="175" t="str">
        <f t="shared" si="29"/>
        <v/>
      </c>
      <c r="M111" s="175" t="str">
        <f t="shared" si="30"/>
        <v/>
      </c>
      <c r="N111" s="175" t="str">
        <f t="shared" si="31"/>
        <v/>
      </c>
      <c r="O111" s="175" t="str">
        <f>IF(C111="","",IF(C111&lt;0,0,IF(AND(C111=1,start_time&lt;1),-(SUM(B278:E278)*output_kgyear*E111*percnt_var*start_time+SUM(B278:E278)*output_kgyear*E111*(1-start_time)),IF(C111&lt;=start_time,-SUM(B278:E278)*output_kgyear*E111*percnt_var,-SUM(B278:E278)*output_kgyear*E111))))</f>
        <v/>
      </c>
      <c r="P111" s="175" t="str">
        <f t="shared" si="33"/>
        <v/>
      </c>
      <c r="Q111" s="175" t="str">
        <f>IF(C111="","",IF(C111&lt;0,0,IF(AND(C111=1,start_time&lt;1),SUM(K278:N278,T278:V278)*output_kgyear*E111*percnt_revs*start_time+SUM(K278:N278,T278:V278)*output_kgyear*E111*(1-start_time),IF(C111&lt;=start_time,SUM(K278:N278,T278:V278)*output_kgyear*E111*percnt_revs,SUM(K278:N278,T278:V278)*output_kgyear*E111))))</f>
        <v/>
      </c>
      <c r="R111" s="175"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75" t="str">
        <f>IF(B111="","",IF($B$31=0,"",-'Debt Financing Calculations'!E60))</f>
        <v/>
      </c>
      <c r="T111" s="175" t="str">
        <f t="shared" si="35"/>
        <v/>
      </c>
      <c r="U111" s="175" t="str">
        <f>IF(C111="","",IF(C111&lt;-1,0,IF(C111=anal_period,-LOOKUP(C111,depr_yr,depr_cost)-Depreciation!$C$141-Depreciation!$B$166,-LOOKUP(C111,depr_yr,depr_cost))))</f>
        <v/>
      </c>
      <c r="V111" s="175" t="str">
        <f t="shared" si="36"/>
        <v/>
      </c>
      <c r="W111" s="176" t="str">
        <f t="shared" si="37"/>
        <v/>
      </c>
      <c r="X111" s="175" t="str">
        <f t="shared" si="38"/>
        <v/>
      </c>
      <c r="Y111" s="175" t="str">
        <f t="shared" si="39"/>
        <v/>
      </c>
      <c r="Z111" s="175" t="str">
        <f>IF(C111="","",IF($B$31=0,"",-'Debt Financing Calculations'!F60))</f>
        <v/>
      </c>
      <c r="AA111" s="175" t="str">
        <f t="shared" si="40"/>
        <v/>
      </c>
      <c r="AB111" s="175" t="str">
        <f t="shared" si="23"/>
        <v/>
      </c>
      <c r="AC111" s="933" t="str">
        <f t="shared" si="41"/>
        <v/>
      </c>
      <c r="AE111" s="937" t="str">
        <f t="shared" si="42"/>
        <v/>
      </c>
      <c r="AF111" s="933" t="str">
        <f t="shared" si="43"/>
        <v/>
      </c>
    </row>
    <row r="112" spans="1:32">
      <c r="A112" s="53" t="str">
        <f t="shared" si="21"/>
        <v/>
      </c>
      <c r="B112" s="173" t="str">
        <f>IF(MAX($B$65:B111)&lt;(construct+anal_period),B111+1,"")</f>
        <v/>
      </c>
      <c r="C112" s="173" t="str">
        <f t="shared" si="22"/>
        <v/>
      </c>
      <c r="D112" s="173" t="str">
        <f t="shared" si="25"/>
        <v/>
      </c>
      <c r="E112" s="174" t="str">
        <f t="shared" si="26"/>
        <v/>
      </c>
      <c r="F112" s="54" t="str">
        <f t="shared" si="27"/>
        <v/>
      </c>
      <c r="G112" s="946"/>
      <c r="H112" s="955" t="str">
        <f t="shared" si="24"/>
        <v/>
      </c>
      <c r="I112" s="175" t="str">
        <f>IF(OR(C112&lt;0,C112=""),"",-E112*INDEX('Replacement Costs'!$A$16:$H$57,MATCH(C112,'Replacement Costs'!$C$16:$C$57,0),MATCH("Total Yearly Replacement Costs",'Replacement Costs'!$A$16:$H$16,0)))</f>
        <v/>
      </c>
      <c r="J112" s="175" t="str">
        <f>IF(AND(C112&gt;=1,C112&lt;anal_period),WorkingCap*SUM(N112:R112)-WorkingCap*SUM(N111:R111),IF(C112&lt;0,0,IF(B112="","",-SUM(J$65:J111))))</f>
        <v/>
      </c>
      <c r="K112" s="175" t="str">
        <f t="shared" si="28"/>
        <v/>
      </c>
      <c r="L112" s="175" t="str">
        <f t="shared" si="29"/>
        <v/>
      </c>
      <c r="M112" s="175" t="str">
        <f t="shared" si="30"/>
        <v/>
      </c>
      <c r="N112" s="175" t="str">
        <f t="shared" si="31"/>
        <v/>
      </c>
      <c r="O112" s="175" t="str">
        <f>IF(C112="","",IF(C112&lt;0,0,IF(AND(C112=1,start_time&lt;1),-(SUM(B279:E279)*output_kgyear*E112*percnt_var*start_time+SUM(B279:E279)*output_kgyear*E112*(1-start_time)),IF(C112&lt;=start_time,-SUM(B279:E279)*output_kgyear*E112*percnt_var,-SUM(B279:E279)*output_kgyear*E112))))</f>
        <v/>
      </c>
      <c r="P112" s="175" t="str">
        <f t="shared" si="33"/>
        <v/>
      </c>
      <c r="Q112" s="175" t="str">
        <f>IF(C112="","",IF(C112&lt;0,0,IF(AND(C112=1,start_time&lt;1),SUM(K279:N279,T279:V279)*output_kgyear*E112*percnt_revs*start_time+SUM(K279:N279,T279:V279)*output_kgyear*E112*(1-start_time),IF(C112&lt;=start_time,SUM(K279:N279,T279:V279)*output_kgyear*E112*percnt_revs,SUM(K279:N279,T279:V279)*output_kgyear*E112))))</f>
        <v/>
      </c>
      <c r="R112" s="175"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75" t="str">
        <f>IF(B112="","",IF($B$31=0,"",-'Debt Financing Calculations'!E61))</f>
        <v/>
      </c>
      <c r="T112" s="175" t="str">
        <f t="shared" si="35"/>
        <v/>
      </c>
      <c r="U112" s="175" t="str">
        <f>IF(C112="","",IF(C112&lt;-1,0,IF(C112=anal_period,-LOOKUP(C112,depr_yr,depr_cost)-Depreciation!$C$141-Depreciation!$B$166,-LOOKUP(C112,depr_yr,depr_cost))))</f>
        <v/>
      </c>
      <c r="V112" s="175" t="str">
        <f t="shared" si="36"/>
        <v/>
      </c>
      <c r="W112" s="176" t="str">
        <f t="shared" si="37"/>
        <v/>
      </c>
      <c r="X112" s="175" t="str">
        <f t="shared" si="38"/>
        <v/>
      </c>
      <c r="Y112" s="175" t="str">
        <f t="shared" si="39"/>
        <v/>
      </c>
      <c r="Z112" s="175" t="str">
        <f>IF(C112="","",IF($B$31=0,"",-'Debt Financing Calculations'!F61))</f>
        <v/>
      </c>
      <c r="AA112" s="175" t="str">
        <f t="shared" si="40"/>
        <v/>
      </c>
      <c r="AB112" s="175" t="str">
        <f t="shared" si="23"/>
        <v/>
      </c>
      <c r="AC112" s="933" t="str">
        <f t="shared" si="41"/>
        <v/>
      </c>
      <c r="AE112" s="937" t="str">
        <f t="shared" si="42"/>
        <v/>
      </c>
      <c r="AF112" s="933" t="str">
        <f t="shared" si="43"/>
        <v/>
      </c>
    </row>
    <row r="113" spans="1:33" ht="14" thickBot="1">
      <c r="A113" s="56" t="str">
        <f t="shared" si="21"/>
        <v/>
      </c>
      <c r="B113" s="177" t="str">
        <f>IF(MAX($B$65:B112)&lt;(construct+anal_period),B112+1,"")</f>
        <v/>
      </c>
      <c r="C113" s="177" t="str">
        <f t="shared" si="22"/>
        <v/>
      </c>
      <c r="D113" s="177" t="str">
        <f t="shared" si="25"/>
        <v/>
      </c>
      <c r="E113" s="940" t="str">
        <f t="shared" si="26"/>
        <v/>
      </c>
      <c r="F113" s="941" t="str">
        <f t="shared" si="27"/>
        <v/>
      </c>
      <c r="G113" s="948"/>
      <c r="H113" s="957" t="str">
        <f t="shared" si="24"/>
        <v/>
      </c>
      <c r="I113" s="942" t="str">
        <f>IF(OR(C113&lt;0,C113=""),"",-E113*INDEX('Replacement Costs'!$A$16:$H$57,MATCH(C113,'Replacement Costs'!$C$16:$C$57,0),MATCH("Total Yearly Replacement Costs",'Replacement Costs'!$A$16:$H$16,0)))</f>
        <v/>
      </c>
      <c r="J113" s="942" t="str">
        <f>IF(AND(C113&gt;=1,C113&lt;anal_period),WorkingCap*SUM(N113:R113)-WorkingCap*SUM(N112:R112),IF(C113&lt;0,0,IF(B113="","",-SUM(J$65:J112))))</f>
        <v/>
      </c>
      <c r="K113" s="942" t="str">
        <f t="shared" si="28"/>
        <v/>
      </c>
      <c r="L113" s="942" t="str">
        <f t="shared" si="29"/>
        <v/>
      </c>
      <c r="M113" s="942" t="str">
        <f t="shared" si="30"/>
        <v/>
      </c>
      <c r="N113" s="942" t="str">
        <f t="shared" si="31"/>
        <v/>
      </c>
      <c r="O113" s="942" t="str">
        <f>IF(C113="","",IF(C113&lt;0,0,IF(AND(C113=1,start_time&lt;1),-(SUM(B280:E280)*output_kgyear*E113*percnt_var*start_time+SUM(B280:E280)*output_kgyear*E113*(1-start_time)),IF(C113&lt;=start_time,-SUM(B280:E280)*output_kgyear*E113*percnt_var,-SUM(B280:E280)*output_kgyear*E113))))</f>
        <v/>
      </c>
      <c r="P113" s="942" t="str">
        <f t="shared" si="33"/>
        <v/>
      </c>
      <c r="Q113" s="942" t="str">
        <f>IF(C113="","",IF(C113&lt;0,0,IF(AND(C113=1,start_time&lt;1),SUM(K280:N280,T280:V280)*output_kgyear*E113*percnt_revs*start_time+SUM(K280:N280,T280:V280)*output_kgyear*E113*(1-start_time),IF(C113&lt;=start_time,SUM(K280:N280,T280:V280)*output_kgyear*E113*percnt_revs,SUM(K280:N280,T280:V280)*output_kgyear*E113))))</f>
        <v/>
      </c>
      <c r="R113" s="942"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942" t="str">
        <f>IF(B113="","",IF($B$31=0,"",-'Debt Financing Calculations'!E62))</f>
        <v/>
      </c>
      <c r="T113" s="942" t="str">
        <f t="shared" si="35"/>
        <v/>
      </c>
      <c r="U113" s="942" t="str">
        <f>IF(C113="","",IF(C113&lt;-1,0,IF(C113=anal_period,-LOOKUP(C113,depr_yr,depr_cost)-Depreciation!$C$141-Depreciation!$B$166,-LOOKUP(C113,depr_yr,depr_cost))))</f>
        <v/>
      </c>
      <c r="V113" s="942" t="str">
        <f t="shared" si="36"/>
        <v/>
      </c>
      <c r="W113" s="943" t="str">
        <f t="shared" si="37"/>
        <v/>
      </c>
      <c r="X113" s="942" t="str">
        <f t="shared" si="38"/>
        <v/>
      </c>
      <c r="Y113" s="942" t="str">
        <f t="shared" si="39"/>
        <v/>
      </c>
      <c r="Z113" s="942" t="str">
        <f>IF(C113="","",IF($B$31=0,"",-'Debt Financing Calculations'!F62))</f>
        <v/>
      </c>
      <c r="AA113" s="942" t="str">
        <f t="shared" si="40"/>
        <v/>
      </c>
      <c r="AB113" s="942" t="str">
        <f t="shared" si="23"/>
        <v/>
      </c>
      <c r="AC113" s="944" t="str">
        <f t="shared" si="41"/>
        <v/>
      </c>
      <c r="AE113" s="939" t="str">
        <f t="shared" si="42"/>
        <v/>
      </c>
      <c r="AF113" s="935" t="str">
        <f t="shared" si="43"/>
        <v/>
      </c>
    </row>
    <row r="114" spans="1:33" ht="14" thickTop="1">
      <c r="E114" s="958" t="s">
        <v>149</v>
      </c>
      <c r="F114" s="959">
        <f t="shared" ref="F114:AC114" ca="1" si="44">SUM(F65:F113)</f>
        <v>9968564874.5411339</v>
      </c>
      <c r="G114" s="959">
        <f t="shared" ca="1" si="44"/>
        <v>-155187194.49100253</v>
      </c>
      <c r="H114" s="959">
        <f t="shared" ca="1" si="44"/>
        <v>-103458129.66066836</v>
      </c>
      <c r="I114" s="959">
        <f t="shared" ca="1" si="44"/>
        <v>-80882799.159097016</v>
      </c>
      <c r="J114" s="959">
        <f t="shared" ca="1" si="44"/>
        <v>0</v>
      </c>
      <c r="K114" s="959">
        <f t="shared" ca="1" si="44"/>
        <v>-4444856.7300741849</v>
      </c>
      <c r="L114" s="959">
        <f t="shared" ca="1" si="44"/>
        <v>57998981.590077065</v>
      </c>
      <c r="M114" s="959">
        <f t="shared" ca="1" si="44"/>
        <v>-57019100.232308038</v>
      </c>
      <c r="N114" s="959">
        <f t="shared" ca="1" si="44"/>
        <v>-786742430.94688106</v>
      </c>
      <c r="O114" s="959">
        <f t="shared" ca="1" si="44"/>
        <v>-8645993559.6327438</v>
      </c>
      <c r="P114" s="959">
        <f t="shared" ca="1" si="44"/>
        <v>-155649827.26775596</v>
      </c>
      <c r="Q114" s="959">
        <f t="shared" ca="1" si="44"/>
        <v>0</v>
      </c>
      <c r="R114" s="959">
        <f t="shared" ca="1" si="44"/>
        <v>-95845201.565324619</v>
      </c>
      <c r="S114" s="959">
        <f t="shared" ca="1" si="44"/>
        <v>-246902826.43518484</v>
      </c>
      <c r="T114" s="959">
        <f t="shared" ca="1" si="44"/>
        <v>38410910.051015139</v>
      </c>
      <c r="U114" s="959">
        <f t="shared" ca="1" si="44"/>
        <v>-339528123.31076789</v>
      </c>
      <c r="V114" s="959">
        <f t="shared" ca="1" si="44"/>
        <v>-301117213.25975281</v>
      </c>
      <c r="W114" s="959">
        <f t="shared" si="44"/>
        <v>11.068200000000001</v>
      </c>
      <c r="X114" s="959">
        <f t="shared" ca="1" si="44"/>
        <v>77507570.693060353</v>
      </c>
      <c r="Y114" s="959">
        <f t="shared" ca="1" si="44"/>
        <v>115918480.7440753</v>
      </c>
      <c r="Z114" s="959">
        <f t="shared" ca="1" si="44"/>
        <v>-155187194.49100253</v>
      </c>
      <c r="AA114" s="959">
        <f t="shared" ca="1" si="44"/>
        <v>-228054499.29676664</v>
      </c>
      <c r="AB114" s="959">
        <f t="shared" ca="1" si="44"/>
        <v>1991144993.1081591</v>
      </c>
      <c r="AC114" s="960">
        <f t="shared" ca="1" si="44"/>
        <v>-305562069.98982698</v>
      </c>
    </row>
    <row r="115" spans="1:33" ht="14" thickBot="1">
      <c r="E115" s="961" t="s">
        <v>150</v>
      </c>
      <c r="F115" s="942">
        <f t="shared" ref="F115:AC115" ca="1" si="45">NPV(nominal_irr,F65:F113)</f>
        <v>1480641636.3873367</v>
      </c>
      <c r="G115" s="942">
        <f t="shared" ca="1" si="45"/>
        <v>-141012607.21386483</v>
      </c>
      <c r="H115" s="942">
        <f t="shared" ca="1" si="45"/>
        <v>-94008404.809243232</v>
      </c>
      <c r="I115" s="942">
        <f t="shared" ca="1" si="45"/>
        <v>-12013608.940677766</v>
      </c>
      <c r="J115" s="942">
        <f t="shared" ca="1" si="45"/>
        <v>-17466054.254595984</v>
      </c>
      <c r="K115" s="942">
        <f t="shared" ca="1" si="45"/>
        <v>-4038869.561729169</v>
      </c>
      <c r="L115" s="942">
        <f t="shared" ca="1" si="45"/>
        <v>943428.45198970055</v>
      </c>
      <c r="M115" s="942">
        <f t="shared" ca="1" si="45"/>
        <v>-927489.41431784327</v>
      </c>
      <c r="N115" s="942">
        <f t="shared" ca="1" si="45"/>
        <v>-116855697.38805178</v>
      </c>
      <c r="O115" s="942">
        <f t="shared" ca="1" si="45"/>
        <v>-1126862870.0279551</v>
      </c>
      <c r="P115" s="942">
        <f t="shared" ca="1" si="45"/>
        <v>-23118835.845440075</v>
      </c>
      <c r="Q115" s="942">
        <f t="shared" ca="1" si="45"/>
        <v>0</v>
      </c>
      <c r="R115" s="942">
        <f t="shared" ca="1" si="45"/>
        <v>-14235990.623684304</v>
      </c>
      <c r="S115" s="942">
        <f t="shared" ca="1" si="45"/>
        <v>-56193059.48990459</v>
      </c>
      <c r="T115" s="942">
        <f t="shared" ca="1" si="45"/>
        <v>143391122.04997233</v>
      </c>
      <c r="U115" s="942">
        <f t="shared" ca="1" si="45"/>
        <v>-91565698.41067329</v>
      </c>
      <c r="V115" s="942">
        <f t="shared" ca="1" si="45"/>
        <v>51825423.63929908</v>
      </c>
      <c r="W115" s="942">
        <f t="shared" ca="1" si="45"/>
        <v>2.5190315964626389</v>
      </c>
      <c r="X115" s="942">
        <f t="shared" ca="1" si="45"/>
        <v>-13339864.044755565</v>
      </c>
      <c r="Y115" s="942">
        <f t="shared" ca="1" si="45"/>
        <v>130051258.00521679</v>
      </c>
      <c r="Z115" s="942">
        <f t="shared" ca="1" si="45"/>
        <v>-2524320.4389699106</v>
      </c>
      <c r="AA115" s="942">
        <f t="shared" ca="1" si="45"/>
        <v>6.9223809293375993E-7</v>
      </c>
      <c r="AB115" s="942">
        <f t="shared" ca="1" si="45"/>
        <v>36904112.603385627</v>
      </c>
      <c r="AC115" s="944">
        <f t="shared" ca="1" si="45"/>
        <v>13339864.044756265</v>
      </c>
    </row>
    <row r="116" spans="1:33" ht="14" thickBot="1">
      <c r="D116" s="179"/>
      <c r="E116" s="962" t="s">
        <v>1114</v>
      </c>
      <c r="F116" s="963">
        <f t="shared" ref="F116:AC116" ca="1" si="46">+F65+NPV($X$59,F66:F113)</f>
        <v>1629475733.6769915</v>
      </c>
      <c r="G116" s="963">
        <f t="shared" ca="1" si="46"/>
        <v>-155187194.49100253</v>
      </c>
      <c r="H116" s="963">
        <f ca="1">+H65+NPV($X$59,H66:H113)</f>
        <v>-103458129.66066836</v>
      </c>
      <c r="I116" s="963">
        <f t="shared" ca="1" si="46"/>
        <v>-13221216.911394697</v>
      </c>
      <c r="J116" s="963">
        <f t="shared" ca="1" si="46"/>
        <v>-19221742.028267968</v>
      </c>
      <c r="K116" s="963">
        <f t="shared" ca="1" si="46"/>
        <v>-4444856.7300741849</v>
      </c>
      <c r="L116" s="963">
        <f t="shared" ca="1" si="46"/>
        <v>1038261.8799837052</v>
      </c>
      <c r="M116" s="963">
        <f t="shared" ca="1" si="46"/>
        <v>-1020720.6502450728</v>
      </c>
      <c r="N116" s="963">
        <f t="shared" ca="1" si="46"/>
        <v>-128602032.08949874</v>
      </c>
      <c r="O116" s="963">
        <f t="shared" ca="1" si="46"/>
        <v>-1240135125.723165</v>
      </c>
      <c r="P116" s="963">
        <f t="shared" ca="1" si="46"/>
        <v>-25442741.224623706</v>
      </c>
      <c r="Q116" s="963">
        <f t="shared" ca="1" si="46"/>
        <v>0</v>
      </c>
      <c r="R116" s="963">
        <f t="shared" ca="1" si="46"/>
        <v>-15666992.401177052</v>
      </c>
      <c r="S116" s="963">
        <f t="shared" ca="1" si="46"/>
        <v>-61841585.829829805</v>
      </c>
      <c r="T116" s="963">
        <f t="shared" ca="1" si="46"/>
        <v>157804797.63843563</v>
      </c>
      <c r="U116" s="963">
        <f t="shared" ca="1" si="46"/>
        <v>-100769882.41491413</v>
      </c>
      <c r="V116" s="963">
        <f t="shared" ca="1" si="46"/>
        <v>57034915.223521382</v>
      </c>
      <c r="W116" s="963">
        <f t="shared" ca="1" si="46"/>
        <v>2.7722446525390634</v>
      </c>
      <c r="X116" s="963">
        <f t="shared" ca="1" si="46"/>
        <v>-14680787.178534409</v>
      </c>
      <c r="Y116" s="963">
        <f t="shared" ca="1" si="46"/>
        <v>143124010.45990101</v>
      </c>
      <c r="Z116" s="963">
        <f t="shared" ca="1" si="46"/>
        <v>-2778065.1294951662</v>
      </c>
      <c r="AA116" s="963">
        <f t="shared" ca="1" si="46"/>
        <v>7.4505805969238281E-7</v>
      </c>
      <c r="AB116" s="963">
        <f t="shared" ca="1" si="46"/>
        <v>40613714.002278</v>
      </c>
      <c r="AC116" s="964">
        <f t="shared" ca="1" si="46"/>
        <v>14680787.178535134</v>
      </c>
      <c r="AD116" s="965"/>
      <c r="AE116" s="966">
        <f ca="1">+AE65+NPV(real_irr,AE66:AE113)</f>
        <v>1622186857.4734645</v>
      </c>
      <c r="AF116" s="967">
        <f ca="1">+AF65+NPV($X$59,AF66:AF113)</f>
        <v>0</v>
      </c>
      <c r="AG116" s="968"/>
    </row>
    <row r="117" spans="1:33" ht="18" thickTop="1" thickBot="1">
      <c r="A117" s="44" t="s">
        <v>79</v>
      </c>
      <c r="B117" s="139"/>
      <c r="C117" s="139"/>
      <c r="D117" s="139"/>
      <c r="E117" s="969" t="s">
        <v>1170</v>
      </c>
      <c r="F117" s="980"/>
      <c r="G117" s="980"/>
      <c r="H117" s="980">
        <f ca="1">-H116/$AE$116*(1+inflation_rate)^construct/INFLATION_FACTOR</f>
        <v>6.8763896877743688E-2</v>
      </c>
      <c r="I117" s="980">
        <f ca="1">-I116/$AE$116*(1+inflation_rate)^construct/INFLATION_FACTOR</f>
        <v>8.787539454611408E-3</v>
      </c>
      <c r="J117" s="980">
        <f ca="1">-J116/$AE$116*(1+inflation_rate)^construct/INFLATION_FACTOR</f>
        <v>1.2775814631268211E-2</v>
      </c>
      <c r="K117" s="980">
        <f ca="1">-K116/$AE$116*(1+inflation_rate)^construct/INFLATION_FACTOR</f>
        <v>2.9542934018394833E-3</v>
      </c>
      <c r="L117" s="980"/>
      <c r="M117" s="980">
        <f ca="1">-M116/$AE$116*(1+inflation_rate)^construct/INFLATION_FACTOR</f>
        <v>6.784264297513133E-4</v>
      </c>
      <c r="N117" s="980">
        <f ca="1">-N116/$AE$116*(1+inflation_rate)^construct/INFLATION_FACTOR</f>
        <v>8.5475901235362126E-2</v>
      </c>
      <c r="O117" s="980">
        <f ca="1">-O116/$AE$116*(1+inflation_rate)^construct/INFLATION_FACTOR</f>
        <v>0.82426121735810753</v>
      </c>
      <c r="P117" s="980">
        <f ca="1">-P116/$AE$116*(1+inflation_rate)^construct/INFLATION_FACTOR</f>
        <v>1.6910628865952383E-2</v>
      </c>
      <c r="Q117" s="980"/>
      <c r="R117" s="980">
        <f ca="1">-R116/$AE$116*(1+inflation_rate)^construct/INFLATION_FACTOR</f>
        <v>1.0413134795616728E-2</v>
      </c>
      <c r="S117" s="980">
        <f ca="1">-S116/$AE$116*(1+inflation_rate)^construct/INFLATION_FACTOR</f>
        <v>4.1103279604089063E-2</v>
      </c>
      <c r="T117" s="980"/>
      <c r="U117" s="980"/>
      <c r="V117" s="980"/>
      <c r="W117" s="980"/>
      <c r="X117" s="980">
        <f ca="1">-X116/$AE$116*(1+inflation_rate)^construct/INFLATION_FACTOR</f>
        <v>9.7576491952823911E-3</v>
      </c>
      <c r="Y117" s="980"/>
      <c r="Z117" s="980">
        <f ca="1">-Z116/$AE$116*(1+inflation_rate)^construct/INFLATION_FACTOR</f>
        <v>1.8464530985706127E-3</v>
      </c>
      <c r="AA117" s="980"/>
      <c r="AB117" s="980"/>
      <c r="AC117" s="981"/>
      <c r="AD117" s="982"/>
      <c r="AE117" s="983"/>
      <c r="AF117" s="983"/>
      <c r="AG117" s="981">
        <f ca="1">+SUM(F117:AC117)</f>
        <v>1.0837282349481951</v>
      </c>
    </row>
    <row r="118" spans="1:33" ht="15" customHeight="1" thickTop="1" thickBot="1">
      <c r="A118" s="49" t="s">
        <v>80</v>
      </c>
      <c r="B118" s="51" t="s">
        <v>151</v>
      </c>
      <c r="C118" s="51" t="s">
        <v>152</v>
      </c>
      <c r="D118" s="869" t="s">
        <v>153</v>
      </c>
      <c r="E118" s="970" t="s">
        <v>1171</v>
      </c>
      <c r="F118" s="984">
        <f ca="1">F116/$AE$116*(1+inflation_rate)^construct/INFLATION_FACTOR</f>
        <v>1.0830381496636319</v>
      </c>
      <c r="G118" s="984"/>
      <c r="H118" s="984"/>
      <c r="I118" s="984"/>
      <c r="J118" s="984"/>
      <c r="K118" s="984"/>
      <c r="L118" s="984">
        <f ca="1">L116/$AE$116*(1+inflation_rate)^construct/INFLATION_FACTOR</f>
        <v>6.9008528456351935E-4</v>
      </c>
      <c r="M118" s="984"/>
      <c r="N118" s="984"/>
      <c r="O118" s="984"/>
      <c r="P118" s="984"/>
      <c r="Q118" s="984">
        <f ca="1">Q116/$AE$116*(1+inflation_rate)^construct/INFLATION_FACTOR</f>
        <v>0</v>
      </c>
      <c r="R118" s="984"/>
      <c r="S118" s="984"/>
      <c r="T118" s="984"/>
      <c r="U118" s="984"/>
      <c r="V118" s="984"/>
      <c r="W118" s="984"/>
      <c r="X118" s="984"/>
      <c r="Y118" s="984"/>
      <c r="Z118" s="984"/>
      <c r="AA118" s="984"/>
      <c r="AB118" s="984"/>
      <c r="AC118" s="985"/>
      <c r="AD118" s="986"/>
      <c r="AE118" s="987"/>
      <c r="AF118" s="987"/>
      <c r="AG118" s="985">
        <f ca="1">+SUM(F118:AC118)</f>
        <v>1.0837282349481954</v>
      </c>
    </row>
    <row r="119" spans="1:33" ht="15" customHeight="1">
      <c r="A119" s="182" t="s">
        <v>154</v>
      </c>
      <c r="B119" s="175">
        <f ca="1">(SUM(H115:K115)+L115*(1-total_tax_rate)+S115*(1-total_tax_rate)+U115*(-total_tax_rate)+Z115)/(1-total_tax_rate)</f>
        <v>-198640753.08788627</v>
      </c>
      <c r="C119" s="183">
        <f t="shared" ref="C119:C125" ca="1" si="47">B119/SUM($B$118:$B$125)</f>
        <v>0.13415856221128303</v>
      </c>
      <c r="D119" s="184">
        <f t="shared" ref="D119:D125" ca="1" si="48">H2_price_real*C119</f>
        <v>0.1452988409788411</v>
      </c>
      <c r="E119" s="180"/>
    </row>
    <row r="120" spans="1:33" ht="15" customHeight="1">
      <c r="A120" s="182" t="s">
        <v>84</v>
      </c>
      <c r="B120" s="175">
        <f ca="1">M115</f>
        <v>-927489.41431784327</v>
      </c>
      <c r="C120" s="183">
        <f t="shared" ca="1" si="47"/>
        <v>6.2641046389918771E-4</v>
      </c>
      <c r="D120" s="184">
        <f t="shared" ca="1" si="48"/>
        <v>6.7842642975131297E-4</v>
      </c>
      <c r="E120" s="180"/>
      <c r="V120" s="141"/>
    </row>
    <row r="121" spans="1:33" ht="15" customHeight="1">
      <c r="A121" s="182" t="s">
        <v>85</v>
      </c>
      <c r="B121" s="175">
        <f ca="1">N115</f>
        <v>-116855697.38805178</v>
      </c>
      <c r="C121" s="183">
        <f t="shared" ca="1" si="47"/>
        <v>7.892233644946775E-2</v>
      </c>
      <c r="D121" s="184">
        <f t="shared" ca="1" si="48"/>
        <v>8.5475901235362098E-2</v>
      </c>
      <c r="E121" s="180"/>
      <c r="V121" s="141"/>
    </row>
    <row r="122" spans="1:33" ht="15" customHeight="1">
      <c r="A122" s="182" t="s">
        <v>1001</v>
      </c>
      <c r="B122" s="175">
        <f ca="1">O115</f>
        <v>-1126862870.0279551</v>
      </c>
      <c r="C122" s="183">
        <f t="shared" ca="1" si="47"/>
        <v>0.76106388091140231</v>
      </c>
      <c r="D122" s="184">
        <f t="shared" ca="1" si="48"/>
        <v>0.8242612173581072</v>
      </c>
      <c r="E122" s="180"/>
      <c r="V122" s="141"/>
    </row>
    <row r="123" spans="1:33" ht="15" customHeight="1">
      <c r="A123" s="182" t="s">
        <v>86</v>
      </c>
      <c r="B123" s="175">
        <f ca="1">P115</f>
        <v>-23118835.845440075</v>
      </c>
      <c r="C123" s="183">
        <f t="shared" ca="1" si="47"/>
        <v>1.5614065738316299E-2</v>
      </c>
      <c r="D123" s="184">
        <f t="shared" ca="1" si="48"/>
        <v>1.691062886595238E-2</v>
      </c>
      <c r="E123" s="180"/>
      <c r="V123" s="141"/>
    </row>
    <row r="124" spans="1:33" ht="15" customHeight="1">
      <c r="A124" s="182" t="s">
        <v>87</v>
      </c>
      <c r="B124" s="175">
        <f ca="1">Q115</f>
        <v>0</v>
      </c>
      <c r="C124" s="183">
        <f t="shared" ca="1" si="47"/>
        <v>0</v>
      </c>
      <c r="D124" s="184">
        <f t="shared" ca="1" si="48"/>
        <v>0</v>
      </c>
      <c r="E124" s="180"/>
      <c r="V124" s="141"/>
    </row>
    <row r="125" spans="1:33" ht="29.25" customHeight="1" thickBot="1">
      <c r="A125" s="185" t="s">
        <v>88</v>
      </c>
      <c r="B125" s="178">
        <f ca="1">R115</f>
        <v>-14235990.623684304</v>
      </c>
      <c r="C125" s="186">
        <f t="shared" ca="1" si="47"/>
        <v>9.6147442256312252E-3</v>
      </c>
      <c r="D125" s="187">
        <f t="shared" ca="1" si="48"/>
        <v>1.0413134795616723E-2</v>
      </c>
      <c r="E125" s="180"/>
      <c r="V125" s="141"/>
    </row>
    <row r="126" spans="1:33" ht="15" customHeight="1" thickTop="1">
      <c r="D126" s="179"/>
      <c r="E126" s="180"/>
      <c r="K126"/>
      <c r="L126"/>
      <c r="M126"/>
      <c r="V126" s="141"/>
    </row>
    <row r="127" spans="1:33" ht="15" customHeight="1">
      <c r="D127" s="179"/>
      <c r="E127" s="180"/>
      <c r="K127"/>
      <c r="L127"/>
      <c r="M127"/>
      <c r="V127" s="141"/>
    </row>
    <row r="128" spans="1:33" ht="42.75" customHeight="1" thickBot="1">
      <c r="A128" s="214" t="s">
        <v>261</v>
      </c>
      <c r="B128" s="386">
        <f>(1+inflation_rate)^(startup_year-ref_year)</f>
        <v>0.9813542688910698</v>
      </c>
      <c r="P128" s="716"/>
    </row>
    <row r="129" spans="1:22" ht="51.75" customHeight="1" thickBot="1">
      <c r="A129" s="188" t="s">
        <v>155</v>
      </c>
      <c r="B129" s="189"/>
      <c r="C129" s="189"/>
      <c r="D129" s="189"/>
      <c r="E129" s="189"/>
      <c r="F129" s="189"/>
      <c r="G129" s="189"/>
      <c r="H129" s="189"/>
      <c r="I129" s="189"/>
      <c r="J129" s="189"/>
      <c r="K129" s="189"/>
      <c r="L129" s="189"/>
      <c r="M129" s="189"/>
      <c r="N129" s="189"/>
      <c r="O129" s="189"/>
      <c r="P129" s="715"/>
      <c r="Q129" s="189"/>
      <c r="R129" s="189"/>
      <c r="S129" s="189"/>
      <c r="T129" s="189"/>
      <c r="U129" s="189"/>
      <c r="V129" s="222"/>
    </row>
    <row r="130" spans="1:22" ht="32" customHeight="1" thickTop="1" thickBot="1">
      <c r="A130" s="343"/>
      <c r="B130" s="190" t="s">
        <v>67</v>
      </c>
      <c r="C130" s="216"/>
      <c r="D130" s="216"/>
      <c r="E130" s="139"/>
      <c r="F130" s="191" t="s">
        <v>68</v>
      </c>
      <c r="G130" s="216"/>
      <c r="H130" s="216"/>
      <c r="I130" s="217"/>
      <c r="J130" s="518" t="s">
        <v>999</v>
      </c>
      <c r="K130" s="219" t="s">
        <v>69</v>
      </c>
      <c r="L130" s="139"/>
      <c r="M130" s="139"/>
      <c r="N130" s="181"/>
      <c r="O130" s="364" t="s">
        <v>70</v>
      </c>
      <c r="P130" s="369"/>
      <c r="Q130" s="369"/>
      <c r="R130" s="370"/>
      <c r="S130" s="190" t="s">
        <v>73</v>
      </c>
      <c r="T130" s="380"/>
      <c r="U130" s="380"/>
      <c r="V130" s="381"/>
    </row>
    <row r="131" spans="1:22" ht="30.75" customHeight="1" thickTop="1" thickBot="1">
      <c r="A131" s="344" t="s">
        <v>263</v>
      </c>
      <c r="B131" s="346" t="str">
        <f>Input_Sheet_Template!$B$75</f>
        <v>Industrial Electricity</v>
      </c>
      <c r="C131" s="347" t="str">
        <f>Input_Sheet_Template!$B$77</f>
        <v>Industrial Natural Gas</v>
      </c>
      <c r="D131" s="347"/>
      <c r="E131" s="347"/>
      <c r="F131" s="348"/>
      <c r="G131" s="347"/>
      <c r="H131" s="347"/>
      <c r="I131" s="349"/>
      <c r="J131" s="526" t="str">
        <f ca="1">IF(CO2_CashFlow_eUse&gt;0,'HyARC Physical Property Data'!A77,"")</f>
        <v/>
      </c>
      <c r="K131" s="520"/>
      <c r="L131" s="350"/>
      <c r="M131" s="350"/>
      <c r="N131" s="351"/>
      <c r="O131" s="365" t="s">
        <v>71</v>
      </c>
      <c r="P131" s="371" t="str">
        <f>Input_Sheet_Template!$B$138</f>
        <v>Process Water</v>
      </c>
      <c r="Q131" s="371"/>
      <c r="R131" s="372"/>
      <c r="S131" s="365" t="s">
        <v>71</v>
      </c>
      <c r="T131" s="371"/>
      <c r="U131" s="371"/>
      <c r="V131" s="372"/>
    </row>
    <row r="132" spans="1:22" ht="31.5" customHeight="1" thickBot="1">
      <c r="A132" s="345" t="s">
        <v>930</v>
      </c>
      <c r="B132" s="352">
        <f>Input_Sheet_Template!$C$75</f>
        <v>3.5999999999999995E-3</v>
      </c>
      <c r="C132" s="353">
        <f>Input_Sheet_Template!$C$77</f>
        <v>1.0549999999999999</v>
      </c>
      <c r="D132" s="353"/>
      <c r="E132" s="353"/>
      <c r="F132" s="354"/>
      <c r="G132" s="353"/>
      <c r="H132" s="353"/>
      <c r="I132" s="355"/>
      <c r="J132" s="527">
        <f ca="1">IF(J131="",0,VLOOKUP(J131,MASTER_PROPERTY_TABLE,9,FALSE))</f>
        <v>0</v>
      </c>
      <c r="K132" s="521"/>
      <c r="L132" s="356"/>
      <c r="M132" s="356"/>
      <c r="N132" s="357"/>
      <c r="O132" s="366" t="s">
        <v>264</v>
      </c>
      <c r="P132" s="717">
        <f>Input_Sheet_Template!$D$138</f>
        <v>4.3436350988770744</v>
      </c>
      <c r="Q132" s="717"/>
      <c r="R132" s="718"/>
      <c r="S132" s="366" t="s">
        <v>264</v>
      </c>
      <c r="T132" s="373"/>
      <c r="U132" s="373"/>
      <c r="V132" s="374"/>
    </row>
    <row r="133" spans="1:22" ht="16.5" customHeight="1" thickBot="1">
      <c r="A133" s="345" t="s">
        <v>264</v>
      </c>
      <c r="B133" s="352">
        <f>feedstockIndustrial_Electricity_Usage</f>
        <v>0.13117360628043326</v>
      </c>
      <c r="C133" s="353">
        <f>feedstockIndustrial_Natural_Gas_Usage</f>
        <v>0.15775742767175938</v>
      </c>
      <c r="D133" s="353"/>
      <c r="E133" s="353"/>
      <c r="F133" s="354"/>
      <c r="G133" s="353"/>
      <c r="H133" s="353"/>
      <c r="I133" s="355"/>
      <c r="J133" s="527">
        <f ca="1" xml:space="preserve"> CO2_eUse_kWhpkg</f>
        <v>0</v>
      </c>
      <c r="K133" s="521"/>
      <c r="L133" s="356"/>
      <c r="M133" s="356"/>
      <c r="N133" s="357"/>
      <c r="O133" s="366" t="s">
        <v>72</v>
      </c>
      <c r="P133" s="373">
        <f>Input_Sheet_Template!$C$138</f>
        <v>2.374951094500801E-3</v>
      </c>
      <c r="Q133" s="373"/>
      <c r="R133" s="374"/>
      <c r="S133" s="366" t="s">
        <v>74</v>
      </c>
      <c r="T133" s="373"/>
      <c r="U133" s="373"/>
      <c r="V133" s="374"/>
    </row>
    <row r="134" spans="1:22" ht="16.5" customHeight="1" thickBot="1">
      <c r="A134" s="345" t="s">
        <v>265</v>
      </c>
      <c r="B134" s="352">
        <f>feedstockIndustrial_Electricity_Price</f>
        <v>6.9980611257164108E-2</v>
      </c>
      <c r="C134" s="353">
        <f>feedstockIndustrial_Natural_Gas_Price</f>
        <v>3.7336748144174337</v>
      </c>
      <c r="D134" s="353"/>
      <c r="E134" s="353"/>
      <c r="F134" s="354"/>
      <c r="G134" s="353"/>
      <c r="H134" s="353"/>
      <c r="I134" s="355"/>
      <c r="J134" s="527">
        <f ca="1">IF(J131="",0,CO2_eCost)</f>
        <v>0</v>
      </c>
      <c r="K134" s="521"/>
      <c r="L134" s="356"/>
      <c r="M134" s="356"/>
      <c r="N134" s="357"/>
      <c r="O134" s="367" t="s">
        <v>266</v>
      </c>
      <c r="P134" s="375" t="str">
        <f>Input_Sheet_Template!$F$138</f>
        <v>Yes</v>
      </c>
      <c r="Q134" s="375"/>
      <c r="R134" s="376"/>
      <c r="S134" s="367" t="s">
        <v>266</v>
      </c>
      <c r="T134" s="382"/>
      <c r="U134" s="382"/>
      <c r="V134" s="383"/>
    </row>
    <row r="135" spans="1:22" ht="16.5" customHeight="1" thickBot="1">
      <c r="A135" s="387" t="s">
        <v>266</v>
      </c>
      <c r="B135" s="358" t="str">
        <f>Input_Sheet_Template!$G$75</f>
        <v>yes</v>
      </c>
      <c r="C135" s="359" t="str">
        <f>Input_Sheet_Template!$G$77</f>
        <v>yes</v>
      </c>
      <c r="D135" s="359"/>
      <c r="E135" s="359"/>
      <c r="F135" s="360"/>
      <c r="G135" s="359"/>
      <c r="H135" s="359"/>
      <c r="I135" s="361"/>
      <c r="J135" s="528" t="str">
        <f ca="1">IF(J131="","","yes")</f>
        <v/>
      </c>
      <c r="K135" s="522"/>
      <c r="L135" s="362"/>
      <c r="M135" s="362"/>
      <c r="N135" s="363"/>
      <c r="O135" s="368"/>
      <c r="P135" s="377"/>
      <c r="Q135" s="377"/>
      <c r="R135" s="378"/>
      <c r="S135" s="379"/>
      <c r="T135" s="384"/>
      <c r="U135" s="384"/>
      <c r="V135" s="385"/>
    </row>
    <row r="136" spans="1:22" ht="30" customHeight="1" thickBot="1">
      <c r="A136" s="345" t="s">
        <v>528</v>
      </c>
      <c r="B136" s="462">
        <f ca="1">IF(B131="",0,VLOOKUP(B131,MASTER_PROPERTY_TABLE,11,FALSE)*B132*B133)</f>
        <v>0</v>
      </c>
      <c r="C136" s="463">
        <f ca="1">IF(C131="",0,VLOOKUP(C131,MASTER_PROPERTY_TABLE,11,FALSE)*C132*C133)</f>
        <v>9.3727919252335106</v>
      </c>
      <c r="D136" s="463">
        <f>IF(D131="",0,VLOOKUP(D131,MASTER_PROPERTY_TABLE,11,FALSE)*D132*D133)</f>
        <v>0</v>
      </c>
      <c r="E136" s="464">
        <f>IF(E131="",0,VLOOKUP(E131,MASTER_PROPERTY_TABLE,11,FALSE)*E132*E133)</f>
        <v>0</v>
      </c>
      <c r="F136" s="462">
        <f>IF(F131="",,VLOOKUP(F131,MASTER_PROPERTY_TABLE,11,FALSE)*F132*F133)</f>
        <v>0</v>
      </c>
      <c r="G136" s="463">
        <f>IF(G131="",,VLOOKUP(G131,MASTER_PROPERTY_TABLE,11,FALSE)*G132*G133)</f>
        <v>0</v>
      </c>
      <c r="H136" s="463">
        <f>IF(H131="",,VLOOKUP(H131,MASTER_PROPERTY_TABLE,11,FALSE)*H132*H133)</f>
        <v>0</v>
      </c>
      <c r="I136" s="463">
        <f>IF(I131="",,VLOOKUP(I131,MASTER_PROPERTY_TABLE,11,FALSE)*I132*I133)</f>
        <v>0</v>
      </c>
      <c r="J136" s="464">
        <f ca="1">IF($J$131="",0,VLOOKUP($J$131,MASTER_PROPERTY_TABLE,12,FALSE)*$J$132*$J$133)</f>
        <v>0</v>
      </c>
      <c r="K136" s="353"/>
      <c r="L136" s="356"/>
      <c r="M136" s="356"/>
      <c r="N136" s="357"/>
      <c r="O136" s="390"/>
      <c r="P136" s="388"/>
      <c r="Q136" s="388"/>
      <c r="R136" s="389"/>
      <c r="S136" s="391"/>
      <c r="T136" s="392"/>
      <c r="U136" s="392"/>
      <c r="V136" s="393"/>
    </row>
    <row r="137" spans="1:22" ht="30" customHeight="1" thickBot="1">
      <c r="A137" s="461" t="s">
        <v>931</v>
      </c>
      <c r="B137" s="394">
        <f ca="1">IF(B131="",0,IF(VLOOKUP(B131,MASTER_PROPERTY_TABLE,12,FALSE)="English",mmBTU_to_GJ,1))</f>
        <v>1</v>
      </c>
      <c r="C137" s="395">
        <f ca="1">IF(C131="",0,IF(VLOOKUP(C131,MASTER_PROPERTY_TABLE,12,FALSE)="English",mmBTU_to_GJ,1))</f>
        <v>1</v>
      </c>
      <c r="D137" s="395">
        <f>IF(D131="",0,IF(VLOOKUP(D131,MASTER_PROPERTY_TABLE,12,FALSE)="English",mmBTU_to_GJ,1))</f>
        <v>0</v>
      </c>
      <c r="E137" s="396">
        <f>IF(E131="",,IF(VLOOKUP(E131,MASTER_PROPERTY_TABLE,12,FALSE)="English",mmBTU_to_GJ,1))</f>
        <v>0</v>
      </c>
      <c r="F137" s="394">
        <f>IF(F131="",,IF(VLOOKUP(F131,MASTER_PROPERTY_TABLE,12,FALSE)="English",mmBTU_to_GJ,1))</f>
        <v>0</v>
      </c>
      <c r="G137" s="395">
        <f>IF(G131="",,IF(VLOOKUP(G131,MASTER_PROPERTY_TABLE,12,FALSE)="English",mmBTU_to_GJ,1))</f>
        <v>0</v>
      </c>
      <c r="H137" s="395">
        <f>IF(H131="",,IF(VLOOKUP(H131,MASTER_PROPERTY_TABLE,12,FALSE)="English",mmBTU_to_GJ,1))</f>
        <v>0</v>
      </c>
      <c r="I137" s="395">
        <f>IF(I131="",,IF(VLOOKUP(I131,MASTER_PROPERTY_TABLE,12,FALSE)="English",mmBTU_to_GJ,1))</f>
        <v>0</v>
      </c>
      <c r="J137" s="396">
        <f ca="1">IF($J$131="",0,IF(VLOOKUP($J$131,MASTER_PROPERTY_TABLE,12,FALSE)="English",mmBTU_to_GJ,1))</f>
        <v>0</v>
      </c>
      <c r="K137" s="395">
        <f>IF(K131="",,IF(VLOOKUP(K131,MASTER_PROPERTY_TABLE,12,FALSE)="English",mmBTU_to_GJ,1))</f>
        <v>0</v>
      </c>
      <c r="L137" s="395">
        <f>IF(L131="",,IF(VLOOKUP(L131,MASTER_PROPERTY_TABLE,12,FALSE)="English",mmBTU_to_GJ,1))</f>
        <v>0</v>
      </c>
      <c r="M137" s="395">
        <f>IF(M131="",,IF(VLOOKUP(M131,MASTER_PROPERTY_TABLE,12,FALSE)="English",mmBTU_to_GJ,1))</f>
        <v>0</v>
      </c>
      <c r="N137" s="395">
        <f>IF(N131="",,IF(VLOOKUP(N131,MASTER_PROPERTY_TABLE,12,FALSE)="English",mmBTU_to_GJ,1))</f>
        <v>0</v>
      </c>
      <c r="O137" s="460"/>
      <c r="P137" s="458"/>
      <c r="Q137" s="458"/>
      <c r="R137" s="459"/>
      <c r="S137" s="379"/>
      <c r="T137" s="384"/>
      <c r="U137" s="384"/>
      <c r="V137" s="385"/>
    </row>
    <row r="138" spans="1:22" ht="38.25" customHeight="1" thickTop="1">
      <c r="A138" s="192" t="s">
        <v>1031</v>
      </c>
      <c r="B138" s="223" t="str">
        <f t="shared" ref="B138:N138" si="49">IF(B$131="","",B$131&amp;" ($/kg of H2)")</f>
        <v>Industrial Electricity ($/kg of H2)</v>
      </c>
      <c r="C138" s="223" t="str">
        <f t="shared" si="49"/>
        <v>Industrial Natural Gas ($/kg of H2)</v>
      </c>
      <c r="D138" s="223" t="str">
        <f t="shared" si="49"/>
        <v/>
      </c>
      <c r="E138" s="223" t="str">
        <f t="shared" si="49"/>
        <v/>
      </c>
      <c r="F138" s="223" t="str">
        <f t="shared" si="49"/>
        <v/>
      </c>
      <c r="G138" s="223" t="str">
        <f t="shared" si="49"/>
        <v/>
      </c>
      <c r="H138" s="223" t="str">
        <f t="shared" si="49"/>
        <v/>
      </c>
      <c r="I138" s="519" t="str">
        <f t="shared" si="49"/>
        <v/>
      </c>
      <c r="J138" s="525"/>
      <c r="K138" s="523" t="str">
        <f t="shared" si="49"/>
        <v/>
      </c>
      <c r="L138" s="223" t="str">
        <f t="shared" si="49"/>
        <v/>
      </c>
      <c r="M138" s="223" t="str">
        <f t="shared" si="49"/>
        <v/>
      </c>
      <c r="N138" s="223" t="str">
        <f t="shared" si="49"/>
        <v/>
      </c>
      <c r="O138" s="223"/>
      <c r="P138" s="223" t="str">
        <f>IF(P$131="","",P$131&amp;" ($/kg of H2)")</f>
        <v>Process Water ($/kg of H2)</v>
      </c>
      <c r="Q138" s="223" t="str">
        <f>IF(Q$131="","",Q$131&amp;" ($/kg of H2)")</f>
        <v/>
      </c>
      <c r="R138" s="223" t="str">
        <f>IF(R$131="","",R$131&amp;" ($/kg of H2)")</f>
        <v/>
      </c>
      <c r="S138" s="224"/>
      <c r="T138" s="223" t="str">
        <f>IF(T$131="","",T$131&amp;" ($/kg of H2)")</f>
        <v/>
      </c>
      <c r="U138" s="223" t="str">
        <f>IF(U$131="","",U$131&amp;" ($/kg of H2)")</f>
        <v/>
      </c>
      <c r="V138" s="223" t="str">
        <f>IF(V$131="","",V$131&amp;" ($/kg of H2)")</f>
        <v/>
      </c>
    </row>
    <row r="139" spans="1:22" ht="15" customHeight="1">
      <c r="A139" s="193">
        <f t="shared" ref="A139:A182" si="50">IF(A65="","",A65)</f>
        <v>2012</v>
      </c>
      <c r="B139" s="195">
        <f ca="1">IF($A139="","",IF($B$131="","",IF($B$135="no",INFLATION_FACTOR*$B$133*$B$134,INFLATION_FACTOR*$B$133*$B$132*INDEX(FEEDPRICETABLE,MATCH($B$131,List_Energy_Feedstocks,0),MATCH($A139,Feedstock_Year,0)))))</f>
        <v>9.0920235768984781E-3</v>
      </c>
      <c r="C139" s="195">
        <f t="shared" ref="C139:C182" ca="1" si="51">IF($A139="","",IF($C$131="","",IF($C$135="no",INFLATION_FACTOR*$C$133*$C$134,INFLATION_FACTOR*$C$133*$C$132*INDEX(FEEDPRICETABLE,MATCH($C$131,List_Energy_Feedstocks,0),MATCH($A139,Feedstock_Year,0)))))</f>
        <v>0.6793012964984283</v>
      </c>
      <c r="D139" s="195" t="str">
        <f t="shared" ref="D139:D182" si="52">IF($A139="","",IF($D$131="","",IF($D$135="no",INFLATION_FACTOR*$D$133*$D$134,INFLATION_FACTOR*$D$133*$D$132*INDEX(FEEDPRICETABLE,MATCH($D$131,List_Energy_Feedstocks,0),MATCH($A139,Feedstock_Year,0)))))</f>
        <v/>
      </c>
      <c r="E139" s="220" t="str">
        <f t="shared" ref="E139:E182" si="53">IF($A139="","",IF($E$131="","",IF($E$135="no",INFLATION_FACTOR*$E$133*$E$134,INFLATION_FACTOR*$E$133*$E$132*INDEX(FEEDPRICETABLE,MATCH($E$131,List_Energy_Feedstocks,0),MATCH($A139,Feedstock_Year,0)))))</f>
        <v/>
      </c>
      <c r="F139" s="194" t="str">
        <f>IF($A139="","",IF($F$131="","",IF($F$135="no",INFLATION_FACTOR*$F$133*$F$134,INFLATION_FACTOR*$F$133*$F$132*INDEX(FEEDPRICETABLE,MATCH($F$131,List_Energy_Feedstocks,0),MATCH($A139,Feedstock_Year,0)))))</f>
        <v/>
      </c>
      <c r="G139" s="195" t="str">
        <f t="shared" ref="G139:G182" si="54">IF($A139="","",IF($G$131="","",IF($G$135="no",INFLATION_FACTOR*$G$133*$G$134,INFLATION_FACTOR*$G$133*$G$132*INDEX(FEEDPRICETABLE,MATCH($G$131,List_Energy_Feedstocks,0),MATCH($A139,Feedstock_Year,0)))))</f>
        <v/>
      </c>
      <c r="H139" s="195" t="str">
        <f t="shared" ref="H139:H182" si="55">IF($A139="","",IF($H$131="","",IF($H$135="no",INFLATION_FACTOR*$H$133*$H$134,INFLATION_FACTOR*$H$133*$H$132*INDEX(FEEDPRICETABLE,MATCH(H$131,List_Energy_Feedstocks,0),MATCH($A139,Feedstock_Year,0)))))</f>
        <v/>
      </c>
      <c r="I139" s="220" t="str">
        <f t="shared" ref="I139:I182" si="56">IF($A139="","",IF($I$131="","",IF($I$135="no",INFLATION_FACTOR*$I$133*$I$134,INFLATION_FACTOR*$I$133*$I$132*INDEX(FEEDPRICETABLE,MATCH($I$131,List_Energy_Feedstocks,0),MATCH($A139,Feedstock_Year,0)))))</f>
        <v/>
      </c>
      <c r="J139" s="524" t="str">
        <f t="shared" ref="J139:J182" ca="1" si="57">IF($A139="","",IF($J$131="","",IF($J$135="no",INFLATION_FACTOR*$J$133*$J$134,INFLATION_FACTOR*$J$133*$J$132*INDEX(FEEDPRICETABLE,MATCH($J$131,List_Energy_Feedstocks,0),MATCH($A139,Feedstock_Year,0)))))</f>
        <v/>
      </c>
      <c r="K139" s="218" t="str">
        <f t="shared" ref="K139:K182" si="58">IF($A139="","",IF($K$131="","",IF($K$135="no",INFLATION_FACTOR*$K$133*$K$134,INFLATION_FACTOR*$K$133*$K$132*INDEX(FEEDPRICETABLE,MATCH($K$131,List_Energy_Feedstocks,0),MATCH($A139,Feedstock_Year,0)))))</f>
        <v/>
      </c>
      <c r="L139" s="218" t="str">
        <f t="shared" ref="L139:L182" si="59">IF($A139="","",IF($L$131="","",IF($L$135="no",INFLATION_FACTOR*$L$133*$L$134,INFLATION_FACTOR*$L$133*$L$132*INDEX(FEEDPRICETABLE,MATCH($L$131,List_Energy_Feedstocks,0),MATCH($A139,Feedstock_Year,0)))))</f>
        <v/>
      </c>
      <c r="M139" s="195" t="str">
        <f t="shared" ref="M139:M182" si="60">IF($A139="","",IF(M$131="","",IF($M$135="no",INFLATION_FACTOR*$M$133*$M$134,INFLATION_FACTOR*$M$133*$M$132*INDEX(FEEDPRICETABLE,MATCH($M$131,List_Energy_Feedstocks,0),MATCH($A139,Feedstock_Year,0)))))</f>
        <v/>
      </c>
      <c r="N139" s="221" t="str">
        <f t="shared" ref="N139:N182" si="61">IF($A139="","",IF($N$131="","",IF($N$135="no",INFLATION_FACTOR*$N$133*$N$134,INFLATION_FACTOR*$N$133*$N$132*INDEX(FEEDPRICETABLE,MATCH($N$131,List_Energy_Feedstocks,0),MATCH($A139,Feedstock_Year,0)))))</f>
        <v/>
      </c>
      <c r="O139" s="225"/>
      <c r="P139" s="215">
        <f ca="1">IF(OR($A139="",$P$131=""),"",IF($P$134="No",INFLATION_FACTOR*$P$132*$P$133,INFLATION_FACTOR*$P$132*INDEX(Tbl_Other_Inputs_and_Byproducts,MATCH($P$131,Other_Inputs_List,0),MATCH($A139,Other_Inputs_years,0))))</f>
        <v>1.0123573044347599E-2</v>
      </c>
      <c r="Q139" s="215" t="str">
        <f>IF(OR($A139="",$Q$131=""),"",IF($Q$134="No",INFLATION_FACTOR*$Q$132*$Q$133,INFLATION_FACTOR*$Q$132*INDEX(Tbl_Other_Inputs_and_Byproducts,MATCH($Q$131,Other_Inputs_List,0),MATCH($A139,Other_Inputs_years,0))))</f>
        <v/>
      </c>
      <c r="R139" s="215" t="str">
        <f t="shared" ref="R139:R182" si="62">IF(OR($A139="",$R$131=""),"",IF($R$134="No",INFLATION_FACTOR*$R$132*$R$133,INFLATION_FACTOR*$R$132*INDEX(Tbl_Other_Inputs_and_Byproducts,MATCH($R$131,Other_Inputs_List,0),MATCH($A139,Other_Inputs_years,0))))</f>
        <v/>
      </c>
      <c r="S139" s="225"/>
      <c r="T139" s="215" t="str">
        <f t="shared" ref="T139:T182" si="63">IF(OR($A139="",$T$131=""),"",IF($T$134="No",INFLATION_FACTOR*$T$132*$T$133,INFLATION_FACTOR*$T$132*INDEX(Tbl_Other_Inputs_and_Byproducts,MATCH($T$131,Other_Inputs_List,0),MATCH($A139,Other_Inputs_years,0))))</f>
        <v/>
      </c>
      <c r="U139" s="215" t="str">
        <f t="shared" ref="U139:U182" si="64">IF(OR($A139="",$U$131=""),"",IF($U$134="No",INFLATION_FACTOR*$U$132*$U$133,INFLATION_FACTOR*$U$132*INDEX(Tbl_Other_Inputs_and_Byproducts,MATCH($U$131,Other_Inputs_List,0),MATCH($A139,Other_Inputs_years,0))))</f>
        <v/>
      </c>
      <c r="V139" s="215" t="str">
        <f t="shared" ref="V139:V182" si="65">IF(OR($A139="",$V$131=""),"",IF($V$134="No",INFLATION_FACTOR*$V$132*$V$133,INFLATION_FACTOR*$V$132*INDEX(Tbl_Other_Inputs_and_Byproducts,MATCH($V$131,Other_Inputs_List,0),MATCH($A139,Other_Inputs_years,0))))</f>
        <v/>
      </c>
    </row>
    <row r="140" spans="1:22" ht="15" customHeight="1">
      <c r="A140" s="193">
        <f t="shared" si="50"/>
        <v>2013</v>
      </c>
      <c r="B140" s="195">
        <f t="shared" ref="B140:B182" ca="1" si="66">IF($A140="","",IF($B$131="","",IF($B$135="no",INFLATION_FACTOR*$B$133*$B$134,INFLATION_FACTOR*$B$133*$B$132*INDEX(FEEDPRICETABLE,MATCH($B$131,List_Energy_Feedstocks,0),MATCH($A140,Feedstock_Year,0)))))</f>
        <v>9.2428310740541499E-3</v>
      </c>
      <c r="C140" s="195">
        <f t="shared" ca="1" si="51"/>
        <v>0.79946558457829353</v>
      </c>
      <c r="D140" s="195" t="str">
        <f t="shared" si="52"/>
        <v/>
      </c>
      <c r="E140" s="220" t="str">
        <f t="shared" si="53"/>
        <v/>
      </c>
      <c r="F140" s="194" t="str">
        <f t="shared" ref="F140:F182" si="67">IF($A140="","",IF($F$131="","",IF($F$135="no",INFLATION_FACTOR*$F$133*$F$134,INFLATION_FACTOR*$F$133*$F$132*INDEX(FEEDPRICETABLE,MATCH($F$131,List_Energy_Feedstocks,0),MATCH($A140,Feedstock_Year,0)))))</f>
        <v/>
      </c>
      <c r="G140" s="195" t="str">
        <f t="shared" si="54"/>
        <v/>
      </c>
      <c r="H140" s="195" t="str">
        <f t="shared" si="55"/>
        <v/>
      </c>
      <c r="I140" s="220" t="str">
        <f t="shared" si="56"/>
        <v/>
      </c>
      <c r="J140" s="524" t="str">
        <f t="shared" ca="1" si="57"/>
        <v/>
      </c>
      <c r="K140" s="218" t="str">
        <f t="shared" si="58"/>
        <v/>
      </c>
      <c r="L140" s="218" t="str">
        <f t="shared" si="59"/>
        <v/>
      </c>
      <c r="M140" s="195" t="str">
        <f t="shared" si="60"/>
        <v/>
      </c>
      <c r="N140" s="221" t="str">
        <f t="shared" si="61"/>
        <v/>
      </c>
      <c r="O140" s="226"/>
      <c r="P140" s="215">
        <f t="shared" ref="P140:P182" ca="1" si="68">IF(OR($A140="",$P$131=""),"",IF($P$134="No",INFLATION_FACTOR*$P$132*$P$133,INFLATION_FACTOR*$P$132*INDEX(Tbl_Other_Inputs_and_Byproducts,MATCH($P$131,Other_Inputs_List,0),MATCH($A140,Other_Inputs_years,0))))</f>
        <v>1.0123573044347599E-2</v>
      </c>
      <c r="Q140" s="215" t="str">
        <f t="shared" ref="Q140:Q182" si="69">IF(OR($A140="",$Q$131=""),"",IF($Q$134="No",INFLATION_FACTOR*$Q$132*$Q$133,INFLATION_FACTOR*$Q$132*INDEX(Tbl_Other_Inputs_and_Byproducts,MATCH($Q$131,Other_Inputs_List,0),MATCH($A140,Other_Inputs_years,0))))</f>
        <v/>
      </c>
      <c r="R140" s="215" t="str">
        <f t="shared" si="62"/>
        <v/>
      </c>
      <c r="S140" s="225"/>
      <c r="T140" s="215" t="str">
        <f t="shared" si="63"/>
        <v/>
      </c>
      <c r="U140" s="215" t="str">
        <f t="shared" si="64"/>
        <v/>
      </c>
      <c r="V140" s="215" t="str">
        <f t="shared" si="65"/>
        <v/>
      </c>
    </row>
    <row r="141" spans="1:22" ht="15" customHeight="1">
      <c r="A141" s="193">
        <f t="shared" si="50"/>
        <v>2014</v>
      </c>
      <c r="B141" s="195">
        <f t="shared" ca="1" si="66"/>
        <v>9.3567669983910858E-3</v>
      </c>
      <c r="C141" s="195">
        <f t="shared" ca="1" si="51"/>
        <v>0.95126119369470508</v>
      </c>
      <c r="D141" s="195" t="str">
        <f t="shared" si="52"/>
        <v/>
      </c>
      <c r="E141" s="220" t="str">
        <f t="shared" si="53"/>
        <v/>
      </c>
      <c r="F141" s="194" t="str">
        <f t="shared" si="67"/>
        <v/>
      </c>
      <c r="G141" s="195" t="str">
        <f t="shared" si="54"/>
        <v/>
      </c>
      <c r="H141" s="195" t="str">
        <f t="shared" si="55"/>
        <v/>
      </c>
      <c r="I141" s="220" t="str">
        <f t="shared" si="56"/>
        <v/>
      </c>
      <c r="J141" s="524" t="str">
        <f t="shared" ca="1" si="57"/>
        <v/>
      </c>
      <c r="K141" s="218" t="str">
        <f t="shared" si="58"/>
        <v/>
      </c>
      <c r="L141" s="218" t="str">
        <f t="shared" si="59"/>
        <v/>
      </c>
      <c r="M141" s="195" t="str">
        <f t="shared" si="60"/>
        <v/>
      </c>
      <c r="N141" s="221" t="str">
        <f t="shared" si="61"/>
        <v/>
      </c>
      <c r="O141" s="226"/>
      <c r="P141" s="215">
        <f t="shared" ca="1" si="68"/>
        <v>1.0123573044347599E-2</v>
      </c>
      <c r="Q141" s="215" t="str">
        <f t="shared" si="69"/>
        <v/>
      </c>
      <c r="R141" s="215" t="str">
        <f t="shared" si="62"/>
        <v/>
      </c>
      <c r="S141" s="225"/>
      <c r="T141" s="215" t="str">
        <f t="shared" si="63"/>
        <v/>
      </c>
      <c r="U141" s="215" t="str">
        <f t="shared" si="64"/>
        <v/>
      </c>
      <c r="V141" s="215" t="str">
        <f t="shared" si="65"/>
        <v/>
      </c>
    </row>
    <row r="142" spans="1:22" ht="15" customHeight="1">
      <c r="A142" s="193">
        <f t="shared" si="50"/>
        <v>2015</v>
      </c>
      <c r="B142" s="195">
        <f t="shared" ca="1" si="66"/>
        <v>9.0084486244468125E-3</v>
      </c>
      <c r="C142" s="195">
        <f t="shared" ca="1" si="51"/>
        <v>0.57803232039777042</v>
      </c>
      <c r="D142" s="195" t="str">
        <f t="shared" si="52"/>
        <v/>
      </c>
      <c r="E142" s="220" t="str">
        <f t="shared" si="53"/>
        <v/>
      </c>
      <c r="F142" s="194" t="str">
        <f t="shared" si="67"/>
        <v/>
      </c>
      <c r="G142" s="195" t="str">
        <f t="shared" si="54"/>
        <v/>
      </c>
      <c r="H142" s="195" t="str">
        <f t="shared" si="55"/>
        <v/>
      </c>
      <c r="I142" s="220" t="str">
        <f t="shared" si="56"/>
        <v/>
      </c>
      <c r="J142" s="524" t="str">
        <f t="shared" ca="1" si="57"/>
        <v/>
      </c>
      <c r="K142" s="218" t="str">
        <f t="shared" si="58"/>
        <v/>
      </c>
      <c r="L142" s="218" t="str">
        <f t="shared" si="59"/>
        <v/>
      </c>
      <c r="M142" s="195" t="str">
        <f t="shared" si="60"/>
        <v/>
      </c>
      <c r="N142" s="221" t="str">
        <f t="shared" si="61"/>
        <v/>
      </c>
      <c r="O142" s="226"/>
      <c r="P142" s="215">
        <f t="shared" ca="1" si="68"/>
        <v>1.0123573044347599E-2</v>
      </c>
      <c r="Q142" s="215" t="str">
        <f t="shared" si="69"/>
        <v/>
      </c>
      <c r="R142" s="215" t="str">
        <f t="shared" si="62"/>
        <v/>
      </c>
      <c r="S142" s="225"/>
      <c r="T142" s="215" t="str">
        <f t="shared" si="63"/>
        <v/>
      </c>
      <c r="U142" s="215" t="str">
        <f t="shared" si="64"/>
        <v/>
      </c>
      <c r="V142" s="215" t="str">
        <f t="shared" si="65"/>
        <v/>
      </c>
    </row>
    <row r="143" spans="1:22" ht="15" customHeight="1">
      <c r="A143" s="193">
        <f t="shared" si="50"/>
        <v>2016</v>
      </c>
      <c r="B143" s="195">
        <f t="shared" ca="1" si="66"/>
        <v>8.7019953893064435E-3</v>
      </c>
      <c r="C143" s="195">
        <f t="shared" ca="1" si="51"/>
        <v>0.54174214272435572</v>
      </c>
      <c r="D143" s="195" t="str">
        <f t="shared" si="52"/>
        <v/>
      </c>
      <c r="E143" s="220" t="str">
        <f t="shared" si="53"/>
        <v/>
      </c>
      <c r="F143" s="194" t="str">
        <f t="shared" si="67"/>
        <v/>
      </c>
      <c r="G143" s="195" t="str">
        <f t="shared" si="54"/>
        <v/>
      </c>
      <c r="H143" s="195" t="str">
        <f t="shared" si="55"/>
        <v/>
      </c>
      <c r="I143" s="220" t="str">
        <f t="shared" si="56"/>
        <v/>
      </c>
      <c r="J143" s="524" t="str">
        <f t="shared" ca="1" si="57"/>
        <v/>
      </c>
      <c r="K143" s="218" t="str">
        <f t="shared" si="58"/>
        <v/>
      </c>
      <c r="L143" s="218" t="str">
        <f t="shared" si="59"/>
        <v/>
      </c>
      <c r="M143" s="195" t="str">
        <f t="shared" si="60"/>
        <v/>
      </c>
      <c r="N143" s="221" t="str">
        <f t="shared" si="61"/>
        <v/>
      </c>
      <c r="O143" s="226"/>
      <c r="P143" s="215">
        <f t="shared" ca="1" si="68"/>
        <v>1.0123573044347599E-2</v>
      </c>
      <c r="Q143" s="215" t="str">
        <f t="shared" si="69"/>
        <v/>
      </c>
      <c r="R143" s="215" t="str">
        <f t="shared" si="62"/>
        <v/>
      </c>
      <c r="S143" s="225"/>
      <c r="T143" s="215" t="str">
        <f t="shared" si="63"/>
        <v/>
      </c>
      <c r="U143" s="215" t="str">
        <f t="shared" si="64"/>
        <v/>
      </c>
      <c r="V143" s="215" t="str">
        <f t="shared" si="65"/>
        <v/>
      </c>
    </row>
    <row r="144" spans="1:22" ht="15" customHeight="1">
      <c r="A144" s="193">
        <f t="shared" si="50"/>
        <v>2017</v>
      </c>
      <c r="B144" s="195">
        <f t="shared" ca="1" si="66"/>
        <v>9.0540654010671188E-3</v>
      </c>
      <c r="C144" s="195">
        <f t="shared" ca="1" si="51"/>
        <v>0.63187088059812413</v>
      </c>
      <c r="D144" s="195" t="str">
        <f t="shared" si="52"/>
        <v/>
      </c>
      <c r="E144" s="220" t="str">
        <f t="shared" si="53"/>
        <v/>
      </c>
      <c r="F144" s="194" t="str">
        <f t="shared" si="67"/>
        <v/>
      </c>
      <c r="G144" s="195" t="str">
        <f t="shared" si="54"/>
        <v/>
      </c>
      <c r="H144" s="195" t="str">
        <f t="shared" si="55"/>
        <v/>
      </c>
      <c r="I144" s="220" t="str">
        <f t="shared" si="56"/>
        <v/>
      </c>
      <c r="J144" s="524" t="str">
        <f t="shared" ca="1" si="57"/>
        <v/>
      </c>
      <c r="K144" s="218" t="str">
        <f t="shared" si="58"/>
        <v/>
      </c>
      <c r="L144" s="218" t="str">
        <f t="shared" si="59"/>
        <v/>
      </c>
      <c r="M144" s="195" t="str">
        <f t="shared" si="60"/>
        <v/>
      </c>
      <c r="N144" s="221" t="str">
        <f t="shared" si="61"/>
        <v/>
      </c>
      <c r="O144" s="226"/>
      <c r="P144" s="215">
        <f t="shared" ca="1" si="68"/>
        <v>1.0123573044347599E-2</v>
      </c>
      <c r="Q144" s="215" t="str">
        <f t="shared" si="69"/>
        <v/>
      </c>
      <c r="R144" s="215" t="str">
        <f t="shared" si="62"/>
        <v/>
      </c>
      <c r="S144" s="225"/>
      <c r="T144" s="215" t="str">
        <f t="shared" si="63"/>
        <v/>
      </c>
      <c r="U144" s="215" t="str">
        <f t="shared" si="64"/>
        <v/>
      </c>
      <c r="V144" s="215" t="str">
        <f t="shared" si="65"/>
        <v/>
      </c>
    </row>
    <row r="145" spans="1:22" ht="15" customHeight="1">
      <c r="A145" s="193">
        <f t="shared" si="50"/>
        <v>2018</v>
      </c>
      <c r="B145" s="195">
        <f t="shared" ca="1" si="66"/>
        <v>8.8488607384933672E-3</v>
      </c>
      <c r="C145" s="195">
        <f t="shared" ca="1" si="51"/>
        <v>0.69095866055502764</v>
      </c>
      <c r="D145" s="195" t="str">
        <f t="shared" si="52"/>
        <v/>
      </c>
      <c r="E145" s="220" t="str">
        <f t="shared" si="53"/>
        <v/>
      </c>
      <c r="F145" s="194" t="str">
        <f t="shared" si="67"/>
        <v/>
      </c>
      <c r="G145" s="195" t="str">
        <f t="shared" si="54"/>
        <v/>
      </c>
      <c r="H145" s="195" t="str">
        <f t="shared" si="55"/>
        <v/>
      </c>
      <c r="I145" s="220" t="str">
        <f t="shared" si="56"/>
        <v/>
      </c>
      <c r="J145" s="524" t="str">
        <f t="shared" ca="1" si="57"/>
        <v/>
      </c>
      <c r="K145" s="218" t="str">
        <f t="shared" si="58"/>
        <v/>
      </c>
      <c r="L145" s="218" t="str">
        <f t="shared" si="59"/>
        <v/>
      </c>
      <c r="M145" s="195" t="str">
        <f t="shared" si="60"/>
        <v/>
      </c>
      <c r="N145" s="221" t="str">
        <f t="shared" si="61"/>
        <v/>
      </c>
      <c r="O145" s="226"/>
      <c r="P145" s="215">
        <f t="shared" ca="1" si="68"/>
        <v>1.0123573044347599E-2</v>
      </c>
      <c r="Q145" s="215" t="str">
        <f t="shared" si="69"/>
        <v/>
      </c>
      <c r="R145" s="215" t="str">
        <f t="shared" si="62"/>
        <v/>
      </c>
      <c r="S145" s="225"/>
      <c r="T145" s="215" t="str">
        <f t="shared" si="63"/>
        <v/>
      </c>
      <c r="U145" s="215" t="str">
        <f t="shared" si="64"/>
        <v/>
      </c>
      <c r="V145" s="215" t="str">
        <f t="shared" si="65"/>
        <v/>
      </c>
    </row>
    <row r="146" spans="1:22" ht="15" customHeight="1">
      <c r="A146" s="193">
        <f t="shared" si="50"/>
        <v>2019</v>
      </c>
      <c r="B146" s="195">
        <f t="shared" ca="1" si="66"/>
        <v>8.9629508834574104E-3</v>
      </c>
      <c r="C146" s="195">
        <f t="shared" ca="1" si="51"/>
        <v>0.75744501048376733</v>
      </c>
      <c r="D146" s="195" t="str">
        <f t="shared" si="52"/>
        <v/>
      </c>
      <c r="E146" s="220" t="str">
        <f t="shared" si="53"/>
        <v/>
      </c>
      <c r="F146" s="194" t="str">
        <f t="shared" si="67"/>
        <v/>
      </c>
      <c r="G146" s="195" t="str">
        <f t="shared" si="54"/>
        <v/>
      </c>
      <c r="H146" s="195" t="str">
        <f t="shared" si="55"/>
        <v/>
      </c>
      <c r="I146" s="220" t="str">
        <f t="shared" si="56"/>
        <v/>
      </c>
      <c r="J146" s="524" t="str">
        <f t="shared" ca="1" si="57"/>
        <v/>
      </c>
      <c r="K146" s="218" t="str">
        <f t="shared" si="58"/>
        <v/>
      </c>
      <c r="L146" s="218" t="str">
        <f t="shared" si="59"/>
        <v/>
      </c>
      <c r="M146" s="195" t="str">
        <f t="shared" si="60"/>
        <v/>
      </c>
      <c r="N146" s="221" t="str">
        <f t="shared" si="61"/>
        <v/>
      </c>
      <c r="O146" s="226"/>
      <c r="P146" s="215">
        <f t="shared" ca="1" si="68"/>
        <v>1.0123573044347599E-2</v>
      </c>
      <c r="Q146" s="215" t="str">
        <f t="shared" si="69"/>
        <v/>
      </c>
      <c r="R146" s="215" t="str">
        <f t="shared" si="62"/>
        <v/>
      </c>
      <c r="S146" s="225"/>
      <c r="T146" s="215" t="str">
        <f t="shared" si="63"/>
        <v/>
      </c>
      <c r="U146" s="215" t="str">
        <f t="shared" si="64"/>
        <v/>
      </c>
      <c r="V146" s="215" t="str">
        <f t="shared" si="65"/>
        <v/>
      </c>
    </row>
    <row r="147" spans="1:22" ht="15" customHeight="1">
      <c r="A147" s="193">
        <f t="shared" si="50"/>
        <v>2020</v>
      </c>
      <c r="B147" s="195">
        <f t="shared" ca="1" si="66"/>
        <v>9.1297108576505019E-3</v>
      </c>
      <c r="C147" s="195">
        <f t="shared" ca="1" si="51"/>
        <v>0.82316722956673827</v>
      </c>
      <c r="D147" s="195" t="str">
        <f t="shared" si="52"/>
        <v/>
      </c>
      <c r="E147" s="220" t="str">
        <f t="shared" si="53"/>
        <v/>
      </c>
      <c r="F147" s="194" t="str">
        <f t="shared" si="67"/>
        <v/>
      </c>
      <c r="G147" s="195" t="str">
        <f t="shared" si="54"/>
        <v/>
      </c>
      <c r="H147" s="195" t="str">
        <f t="shared" si="55"/>
        <v/>
      </c>
      <c r="I147" s="220" t="str">
        <f t="shared" si="56"/>
        <v/>
      </c>
      <c r="J147" s="524" t="str">
        <f t="shared" ca="1" si="57"/>
        <v/>
      </c>
      <c r="K147" s="218" t="str">
        <f t="shared" si="58"/>
        <v/>
      </c>
      <c r="L147" s="218" t="str">
        <f t="shared" si="59"/>
        <v/>
      </c>
      <c r="M147" s="195" t="str">
        <f t="shared" si="60"/>
        <v/>
      </c>
      <c r="N147" s="221" t="str">
        <f t="shared" si="61"/>
        <v/>
      </c>
      <c r="O147" s="226"/>
      <c r="P147" s="215">
        <f t="shared" ca="1" si="68"/>
        <v>1.0123573044347599E-2</v>
      </c>
      <c r="Q147" s="215" t="str">
        <f t="shared" si="69"/>
        <v/>
      </c>
      <c r="R147" s="215" t="str">
        <f t="shared" si="62"/>
        <v/>
      </c>
      <c r="S147" s="225"/>
      <c r="T147" s="215" t="str">
        <f t="shared" si="63"/>
        <v/>
      </c>
      <c r="U147" s="215" t="str">
        <f t="shared" si="64"/>
        <v/>
      </c>
      <c r="V147" s="215" t="str">
        <f t="shared" si="65"/>
        <v/>
      </c>
    </row>
    <row r="148" spans="1:22" ht="15" customHeight="1">
      <c r="A148" s="193">
        <f t="shared" si="50"/>
        <v>2021</v>
      </c>
      <c r="B148" s="195">
        <f t="shared" ca="1" si="66"/>
        <v>9.1799943103517516E-3</v>
      </c>
      <c r="C148" s="195">
        <f t="shared" ca="1" si="51"/>
        <v>0.8240401902311002</v>
      </c>
      <c r="D148" s="195" t="str">
        <f t="shared" si="52"/>
        <v/>
      </c>
      <c r="E148" s="220" t="str">
        <f t="shared" si="53"/>
        <v/>
      </c>
      <c r="F148" s="194" t="str">
        <f t="shared" si="67"/>
        <v/>
      </c>
      <c r="G148" s="195" t="str">
        <f t="shared" si="54"/>
        <v/>
      </c>
      <c r="H148" s="195" t="str">
        <f t="shared" si="55"/>
        <v/>
      </c>
      <c r="I148" s="220" t="str">
        <f t="shared" si="56"/>
        <v/>
      </c>
      <c r="J148" s="524" t="str">
        <f t="shared" ca="1" si="57"/>
        <v/>
      </c>
      <c r="K148" s="218" t="str">
        <f t="shared" si="58"/>
        <v/>
      </c>
      <c r="L148" s="218" t="str">
        <f t="shared" si="59"/>
        <v/>
      </c>
      <c r="M148" s="195" t="str">
        <f t="shared" si="60"/>
        <v/>
      </c>
      <c r="N148" s="221" t="str">
        <f t="shared" si="61"/>
        <v/>
      </c>
      <c r="O148" s="226"/>
      <c r="P148" s="215">
        <f t="shared" ca="1" si="68"/>
        <v>1.0123573044347599E-2</v>
      </c>
      <c r="Q148" s="215" t="str">
        <f t="shared" si="69"/>
        <v/>
      </c>
      <c r="R148" s="215" t="str">
        <f t="shared" si="62"/>
        <v/>
      </c>
      <c r="S148" s="225"/>
      <c r="T148" s="215" t="str">
        <f t="shared" si="63"/>
        <v/>
      </c>
      <c r="U148" s="215" t="str">
        <f t="shared" si="64"/>
        <v/>
      </c>
      <c r="V148" s="215" t="str">
        <f t="shared" si="65"/>
        <v/>
      </c>
    </row>
    <row r="149" spans="1:22" ht="15" customHeight="1">
      <c r="A149" s="193">
        <f t="shared" si="50"/>
        <v>2022</v>
      </c>
      <c r="B149" s="195">
        <f t="shared" ca="1" si="66"/>
        <v>9.4763033880761408E-3</v>
      </c>
      <c r="C149" s="195">
        <f t="shared" ca="1" si="51"/>
        <v>0.81493053066479815</v>
      </c>
      <c r="D149" s="195" t="str">
        <f t="shared" si="52"/>
        <v/>
      </c>
      <c r="E149" s="220" t="str">
        <f t="shared" si="53"/>
        <v/>
      </c>
      <c r="F149" s="194" t="str">
        <f t="shared" si="67"/>
        <v/>
      </c>
      <c r="G149" s="195" t="str">
        <f t="shared" si="54"/>
        <v/>
      </c>
      <c r="H149" s="195" t="str">
        <f t="shared" si="55"/>
        <v/>
      </c>
      <c r="I149" s="220" t="str">
        <f t="shared" si="56"/>
        <v/>
      </c>
      <c r="J149" s="524" t="str">
        <f t="shared" ca="1" si="57"/>
        <v/>
      </c>
      <c r="K149" s="218" t="str">
        <f t="shared" si="58"/>
        <v/>
      </c>
      <c r="L149" s="218" t="str">
        <f t="shared" si="59"/>
        <v/>
      </c>
      <c r="M149" s="195" t="str">
        <f t="shared" si="60"/>
        <v/>
      </c>
      <c r="N149" s="221" t="str">
        <f t="shared" si="61"/>
        <v/>
      </c>
      <c r="O149" s="226"/>
      <c r="P149" s="215">
        <f t="shared" ca="1" si="68"/>
        <v>1.0123573044347599E-2</v>
      </c>
      <c r="Q149" s="215" t="str">
        <f t="shared" si="69"/>
        <v/>
      </c>
      <c r="R149" s="215" t="str">
        <f t="shared" si="62"/>
        <v/>
      </c>
      <c r="S149" s="225"/>
      <c r="T149" s="215" t="str">
        <f t="shared" si="63"/>
        <v/>
      </c>
      <c r="U149" s="215" t="str">
        <f t="shared" si="64"/>
        <v/>
      </c>
      <c r="V149" s="215" t="str">
        <f t="shared" si="65"/>
        <v/>
      </c>
    </row>
    <row r="150" spans="1:22" ht="15" customHeight="1">
      <c r="A150" s="193">
        <f t="shared" si="50"/>
        <v>2023</v>
      </c>
      <c r="B150" s="195">
        <f t="shared" ca="1" si="66"/>
        <v>9.5063375596605004E-3</v>
      </c>
      <c r="C150" s="195">
        <f t="shared" ca="1" si="51"/>
        <v>0.8167970471979088</v>
      </c>
      <c r="D150" s="195" t="str">
        <f t="shared" si="52"/>
        <v/>
      </c>
      <c r="E150" s="220" t="str">
        <f t="shared" si="53"/>
        <v/>
      </c>
      <c r="F150" s="194" t="str">
        <f t="shared" si="67"/>
        <v/>
      </c>
      <c r="G150" s="195" t="str">
        <f t="shared" si="54"/>
        <v/>
      </c>
      <c r="H150" s="195" t="str">
        <f t="shared" si="55"/>
        <v/>
      </c>
      <c r="I150" s="220" t="str">
        <f t="shared" si="56"/>
        <v/>
      </c>
      <c r="J150" s="524" t="str">
        <f t="shared" ca="1" si="57"/>
        <v/>
      </c>
      <c r="K150" s="218" t="str">
        <f t="shared" si="58"/>
        <v/>
      </c>
      <c r="L150" s="218" t="str">
        <f t="shared" si="59"/>
        <v/>
      </c>
      <c r="M150" s="195" t="str">
        <f t="shared" si="60"/>
        <v/>
      </c>
      <c r="N150" s="221" t="str">
        <f t="shared" si="61"/>
        <v/>
      </c>
      <c r="O150" s="226"/>
      <c r="P150" s="215">
        <f t="shared" ca="1" si="68"/>
        <v>1.0123573044347599E-2</v>
      </c>
      <c r="Q150" s="215" t="str">
        <f t="shared" si="69"/>
        <v/>
      </c>
      <c r="R150" s="215" t="str">
        <f t="shared" si="62"/>
        <v/>
      </c>
      <c r="S150" s="225"/>
      <c r="T150" s="215" t="str">
        <f t="shared" si="63"/>
        <v/>
      </c>
      <c r="U150" s="215" t="str">
        <f t="shared" si="64"/>
        <v/>
      </c>
      <c r="V150" s="215" t="str">
        <f t="shared" si="65"/>
        <v/>
      </c>
    </row>
    <row r="151" spans="1:22" ht="15" customHeight="1">
      <c r="A151" s="193">
        <f t="shared" si="50"/>
        <v>2024</v>
      </c>
      <c r="B151" s="195">
        <f t="shared" ca="1" si="66"/>
        <v>9.4812773118384784E-3</v>
      </c>
      <c r="C151" s="195">
        <f t="shared" ca="1" si="51"/>
        <v>0.83080544187027017</v>
      </c>
      <c r="D151" s="195" t="str">
        <f t="shared" si="52"/>
        <v/>
      </c>
      <c r="E151" s="220" t="str">
        <f t="shared" si="53"/>
        <v/>
      </c>
      <c r="F151" s="194" t="str">
        <f t="shared" si="67"/>
        <v/>
      </c>
      <c r="G151" s="195" t="str">
        <f t="shared" si="54"/>
        <v/>
      </c>
      <c r="H151" s="195" t="str">
        <f t="shared" si="55"/>
        <v/>
      </c>
      <c r="I151" s="220" t="str">
        <f t="shared" si="56"/>
        <v/>
      </c>
      <c r="J151" s="524" t="str">
        <f t="shared" ca="1" si="57"/>
        <v/>
      </c>
      <c r="K151" s="218" t="str">
        <f t="shared" si="58"/>
        <v/>
      </c>
      <c r="L151" s="218" t="str">
        <f t="shared" si="59"/>
        <v/>
      </c>
      <c r="M151" s="195" t="str">
        <f t="shared" si="60"/>
        <v/>
      </c>
      <c r="N151" s="221" t="str">
        <f t="shared" si="61"/>
        <v/>
      </c>
      <c r="O151" s="226"/>
      <c r="P151" s="215">
        <f t="shared" ca="1" si="68"/>
        <v>1.0123573044347599E-2</v>
      </c>
      <c r="Q151" s="215" t="str">
        <f t="shared" si="69"/>
        <v/>
      </c>
      <c r="R151" s="215" t="str">
        <f t="shared" si="62"/>
        <v/>
      </c>
      <c r="S151" s="225"/>
      <c r="T151" s="215" t="str">
        <f t="shared" si="63"/>
        <v/>
      </c>
      <c r="U151" s="215" t="str">
        <f t="shared" si="64"/>
        <v/>
      </c>
      <c r="V151" s="215" t="str">
        <f t="shared" si="65"/>
        <v/>
      </c>
    </row>
    <row r="152" spans="1:22" ht="15" customHeight="1">
      <c r="A152" s="193">
        <f t="shared" si="50"/>
        <v>2025</v>
      </c>
      <c r="B152" s="195">
        <f t="shared" ca="1" si="66"/>
        <v>9.7089375447430241E-3</v>
      </c>
      <c r="C152" s="195">
        <f t="shared" ca="1" si="51"/>
        <v>0.84908405235496687</v>
      </c>
      <c r="D152" s="195" t="str">
        <f t="shared" si="52"/>
        <v/>
      </c>
      <c r="E152" s="220" t="str">
        <f t="shared" si="53"/>
        <v/>
      </c>
      <c r="F152" s="194" t="str">
        <f t="shared" si="67"/>
        <v/>
      </c>
      <c r="G152" s="195" t="str">
        <f t="shared" si="54"/>
        <v/>
      </c>
      <c r="H152" s="195" t="str">
        <f t="shared" si="55"/>
        <v/>
      </c>
      <c r="I152" s="220" t="str">
        <f t="shared" si="56"/>
        <v/>
      </c>
      <c r="J152" s="524" t="str">
        <f t="shared" ca="1" si="57"/>
        <v/>
      </c>
      <c r="K152" s="218" t="str">
        <f t="shared" si="58"/>
        <v/>
      </c>
      <c r="L152" s="218" t="str">
        <f t="shared" si="59"/>
        <v/>
      </c>
      <c r="M152" s="195" t="str">
        <f t="shared" si="60"/>
        <v/>
      </c>
      <c r="N152" s="221" t="str">
        <f t="shared" si="61"/>
        <v/>
      </c>
      <c r="O152" s="226"/>
      <c r="P152" s="215">
        <f t="shared" ca="1" si="68"/>
        <v>1.0123573044347599E-2</v>
      </c>
      <c r="Q152" s="215" t="str">
        <f t="shared" si="69"/>
        <v/>
      </c>
      <c r="R152" s="215" t="str">
        <f t="shared" si="62"/>
        <v/>
      </c>
      <c r="S152" s="225"/>
      <c r="T152" s="215" t="str">
        <f t="shared" si="63"/>
        <v/>
      </c>
      <c r="U152" s="215" t="str">
        <f t="shared" si="64"/>
        <v/>
      </c>
      <c r="V152" s="215" t="str">
        <f t="shared" si="65"/>
        <v/>
      </c>
    </row>
    <row r="153" spans="1:22" ht="15" customHeight="1">
      <c r="A153" s="193">
        <f t="shared" si="50"/>
        <v>2026</v>
      </c>
      <c r="B153" s="195">
        <f t="shared" ca="1" si="66"/>
        <v>9.8075357883384926E-3</v>
      </c>
      <c r="C153" s="195">
        <f t="shared" ca="1" si="51"/>
        <v>0.86798468020965935</v>
      </c>
      <c r="D153" s="195" t="str">
        <f t="shared" si="52"/>
        <v/>
      </c>
      <c r="E153" s="220" t="str">
        <f t="shared" si="53"/>
        <v/>
      </c>
      <c r="F153" s="194" t="str">
        <f t="shared" si="67"/>
        <v/>
      </c>
      <c r="G153" s="195" t="str">
        <f t="shared" si="54"/>
        <v/>
      </c>
      <c r="H153" s="195" t="str">
        <f t="shared" si="55"/>
        <v/>
      </c>
      <c r="I153" s="220" t="str">
        <f t="shared" si="56"/>
        <v/>
      </c>
      <c r="J153" s="524" t="str">
        <f t="shared" ca="1" si="57"/>
        <v/>
      </c>
      <c r="K153" s="218" t="str">
        <f t="shared" si="58"/>
        <v/>
      </c>
      <c r="L153" s="218" t="str">
        <f t="shared" si="59"/>
        <v/>
      </c>
      <c r="M153" s="195" t="str">
        <f t="shared" si="60"/>
        <v/>
      </c>
      <c r="N153" s="221" t="str">
        <f t="shared" si="61"/>
        <v/>
      </c>
      <c r="O153" s="226"/>
      <c r="P153" s="215">
        <f t="shared" ca="1" si="68"/>
        <v>1.0123573044347599E-2</v>
      </c>
      <c r="Q153" s="215" t="str">
        <f t="shared" si="69"/>
        <v/>
      </c>
      <c r="R153" s="215" t="str">
        <f t="shared" si="62"/>
        <v/>
      </c>
      <c r="S153" s="225"/>
      <c r="T153" s="215" t="str">
        <f t="shared" si="63"/>
        <v/>
      </c>
      <c r="U153" s="215" t="str">
        <f t="shared" si="64"/>
        <v/>
      </c>
      <c r="V153" s="215" t="str">
        <f t="shared" si="65"/>
        <v/>
      </c>
    </row>
    <row r="154" spans="1:22" ht="15" customHeight="1">
      <c r="A154" s="193">
        <f t="shared" si="50"/>
        <v>2027</v>
      </c>
      <c r="B154" s="195">
        <f t="shared" ca="1" si="66"/>
        <v>9.8640441127776333E-3</v>
      </c>
      <c r="C154" s="195">
        <f t="shared" ca="1" si="51"/>
        <v>0.88312580288009424</v>
      </c>
      <c r="D154" s="195" t="str">
        <f t="shared" si="52"/>
        <v/>
      </c>
      <c r="E154" s="220" t="str">
        <f t="shared" si="53"/>
        <v/>
      </c>
      <c r="F154" s="194" t="str">
        <f t="shared" si="67"/>
        <v/>
      </c>
      <c r="G154" s="195" t="str">
        <f t="shared" si="54"/>
        <v/>
      </c>
      <c r="H154" s="195" t="str">
        <f t="shared" si="55"/>
        <v/>
      </c>
      <c r="I154" s="220" t="str">
        <f t="shared" si="56"/>
        <v/>
      </c>
      <c r="J154" s="524" t="str">
        <f t="shared" ca="1" si="57"/>
        <v/>
      </c>
      <c r="K154" s="218" t="str">
        <f t="shared" si="58"/>
        <v/>
      </c>
      <c r="L154" s="218" t="str">
        <f t="shared" si="59"/>
        <v/>
      </c>
      <c r="M154" s="195" t="str">
        <f t="shared" si="60"/>
        <v/>
      </c>
      <c r="N154" s="221" t="str">
        <f t="shared" si="61"/>
        <v/>
      </c>
      <c r="O154" s="226"/>
      <c r="P154" s="215">
        <f t="shared" ca="1" si="68"/>
        <v>1.0123573044347599E-2</v>
      </c>
      <c r="Q154" s="215" t="str">
        <f t="shared" si="69"/>
        <v/>
      </c>
      <c r="R154" s="215" t="str">
        <f t="shared" si="62"/>
        <v/>
      </c>
      <c r="S154" s="225"/>
      <c r="T154" s="215" t="str">
        <f t="shared" si="63"/>
        <v/>
      </c>
      <c r="U154" s="215" t="str">
        <f t="shared" si="64"/>
        <v/>
      </c>
      <c r="V154" s="215" t="str">
        <f t="shared" si="65"/>
        <v/>
      </c>
    </row>
    <row r="155" spans="1:22" ht="15" customHeight="1">
      <c r="A155" s="193">
        <f t="shared" si="50"/>
        <v>2028</v>
      </c>
      <c r="B155" s="195">
        <f t="shared" ca="1" si="66"/>
        <v>9.9281358700812044E-3</v>
      </c>
      <c r="C155" s="195">
        <f t="shared" ca="1" si="51"/>
        <v>0.89813704188367327</v>
      </c>
      <c r="D155" s="195" t="str">
        <f t="shared" si="52"/>
        <v/>
      </c>
      <c r="E155" s="220" t="str">
        <f t="shared" si="53"/>
        <v/>
      </c>
      <c r="F155" s="194" t="str">
        <f t="shared" si="67"/>
        <v/>
      </c>
      <c r="G155" s="195" t="str">
        <f t="shared" si="54"/>
        <v/>
      </c>
      <c r="H155" s="195" t="str">
        <f t="shared" si="55"/>
        <v/>
      </c>
      <c r="I155" s="220" t="str">
        <f t="shared" si="56"/>
        <v/>
      </c>
      <c r="J155" s="524" t="str">
        <f t="shared" ca="1" si="57"/>
        <v/>
      </c>
      <c r="K155" s="218" t="str">
        <f t="shared" si="58"/>
        <v/>
      </c>
      <c r="L155" s="218" t="str">
        <f t="shared" si="59"/>
        <v/>
      </c>
      <c r="M155" s="195" t="str">
        <f t="shared" si="60"/>
        <v/>
      </c>
      <c r="N155" s="221" t="str">
        <f t="shared" si="61"/>
        <v/>
      </c>
      <c r="O155" s="226"/>
      <c r="P155" s="215">
        <f t="shared" ca="1" si="68"/>
        <v>1.0123573044347599E-2</v>
      </c>
      <c r="Q155" s="215" t="str">
        <f t="shared" si="69"/>
        <v/>
      </c>
      <c r="R155" s="215" t="str">
        <f t="shared" si="62"/>
        <v/>
      </c>
      <c r="S155" s="225"/>
      <c r="T155" s="215" t="str">
        <f t="shared" si="63"/>
        <v/>
      </c>
      <c r="U155" s="215" t="str">
        <f t="shared" si="64"/>
        <v/>
      </c>
      <c r="V155" s="215" t="str">
        <f t="shared" si="65"/>
        <v/>
      </c>
    </row>
    <row r="156" spans="1:22" ht="15" customHeight="1">
      <c r="A156" s="193">
        <f t="shared" si="50"/>
        <v>2029</v>
      </c>
      <c r="B156" s="195">
        <f t="shared" ca="1" si="66"/>
        <v>9.9784904792333106E-3</v>
      </c>
      <c r="C156" s="195">
        <f t="shared" ca="1" si="51"/>
        <v>0.91075015468550891</v>
      </c>
      <c r="D156" s="195" t="str">
        <f t="shared" si="52"/>
        <v/>
      </c>
      <c r="E156" s="220" t="str">
        <f t="shared" si="53"/>
        <v/>
      </c>
      <c r="F156" s="194" t="str">
        <f t="shared" si="67"/>
        <v/>
      </c>
      <c r="G156" s="195" t="str">
        <f t="shared" si="54"/>
        <v/>
      </c>
      <c r="H156" s="195" t="str">
        <f t="shared" si="55"/>
        <v/>
      </c>
      <c r="I156" s="220" t="str">
        <f t="shared" si="56"/>
        <v/>
      </c>
      <c r="J156" s="524" t="str">
        <f t="shared" ca="1" si="57"/>
        <v/>
      </c>
      <c r="K156" s="218" t="str">
        <f t="shared" si="58"/>
        <v/>
      </c>
      <c r="L156" s="218" t="str">
        <f t="shared" si="59"/>
        <v/>
      </c>
      <c r="M156" s="195" t="str">
        <f t="shared" si="60"/>
        <v/>
      </c>
      <c r="N156" s="221" t="str">
        <f t="shared" si="61"/>
        <v/>
      </c>
      <c r="O156" s="226"/>
      <c r="P156" s="215">
        <f t="shared" ca="1" si="68"/>
        <v>1.0123573044347599E-2</v>
      </c>
      <c r="Q156" s="215" t="str">
        <f t="shared" si="69"/>
        <v/>
      </c>
      <c r="R156" s="215" t="str">
        <f t="shared" si="62"/>
        <v/>
      </c>
      <c r="S156" s="225"/>
      <c r="T156" s="215" t="str">
        <f t="shared" si="63"/>
        <v/>
      </c>
      <c r="U156" s="215" t="str">
        <f t="shared" si="64"/>
        <v/>
      </c>
      <c r="V156" s="215" t="str">
        <f t="shared" si="65"/>
        <v/>
      </c>
    </row>
    <row r="157" spans="1:22" ht="15" customHeight="1">
      <c r="A157" s="193">
        <f t="shared" si="50"/>
        <v>2030</v>
      </c>
      <c r="B157" s="195">
        <f t="shared" ca="1" si="66"/>
        <v>1.0013473538051007E-2</v>
      </c>
      <c r="C157" s="195">
        <f t="shared" ca="1" si="51"/>
        <v>0.91390080115493499</v>
      </c>
      <c r="D157" s="195" t="str">
        <f t="shared" si="52"/>
        <v/>
      </c>
      <c r="E157" s="220" t="str">
        <f t="shared" si="53"/>
        <v/>
      </c>
      <c r="F157" s="194" t="str">
        <f t="shared" si="67"/>
        <v/>
      </c>
      <c r="G157" s="195" t="str">
        <f t="shared" si="54"/>
        <v/>
      </c>
      <c r="H157" s="195" t="str">
        <f t="shared" si="55"/>
        <v/>
      </c>
      <c r="I157" s="220" t="str">
        <f t="shared" si="56"/>
        <v/>
      </c>
      <c r="J157" s="524" t="str">
        <f t="shared" ca="1" si="57"/>
        <v/>
      </c>
      <c r="K157" s="218" t="str">
        <f t="shared" si="58"/>
        <v/>
      </c>
      <c r="L157" s="218" t="str">
        <f t="shared" si="59"/>
        <v/>
      </c>
      <c r="M157" s="195" t="str">
        <f t="shared" si="60"/>
        <v/>
      </c>
      <c r="N157" s="221" t="str">
        <f t="shared" si="61"/>
        <v/>
      </c>
      <c r="O157" s="226"/>
      <c r="P157" s="215">
        <f t="shared" ca="1" si="68"/>
        <v>1.0123573044347599E-2</v>
      </c>
      <c r="Q157" s="215" t="str">
        <f t="shared" si="69"/>
        <v/>
      </c>
      <c r="R157" s="215" t="str">
        <f t="shared" si="62"/>
        <v/>
      </c>
      <c r="S157" s="225"/>
      <c r="T157" s="215" t="str">
        <f t="shared" si="63"/>
        <v/>
      </c>
      <c r="U157" s="215" t="str">
        <f t="shared" si="64"/>
        <v/>
      </c>
      <c r="V157" s="215" t="str">
        <f t="shared" si="65"/>
        <v/>
      </c>
    </row>
    <row r="158" spans="1:22" ht="15" customHeight="1">
      <c r="A158" s="193">
        <f t="shared" si="50"/>
        <v>2031</v>
      </c>
      <c r="B158" s="195">
        <f t="shared" ca="1" si="66"/>
        <v>1.002615915198426E-2</v>
      </c>
      <c r="C158" s="195">
        <f t="shared" ca="1" si="51"/>
        <v>0.91782300924010496</v>
      </c>
      <c r="D158" s="195" t="str">
        <f t="shared" si="52"/>
        <v/>
      </c>
      <c r="E158" s="220" t="str">
        <f t="shared" si="53"/>
        <v/>
      </c>
      <c r="F158" s="194" t="str">
        <f t="shared" si="67"/>
        <v/>
      </c>
      <c r="G158" s="195" t="str">
        <f t="shared" si="54"/>
        <v/>
      </c>
      <c r="H158" s="195" t="str">
        <f t="shared" si="55"/>
        <v/>
      </c>
      <c r="I158" s="220" t="str">
        <f t="shared" si="56"/>
        <v/>
      </c>
      <c r="J158" s="524" t="str">
        <f t="shared" ca="1" si="57"/>
        <v/>
      </c>
      <c r="K158" s="218" t="str">
        <f t="shared" si="58"/>
        <v/>
      </c>
      <c r="L158" s="218" t="str">
        <f t="shared" si="59"/>
        <v/>
      </c>
      <c r="M158" s="195" t="str">
        <f t="shared" si="60"/>
        <v/>
      </c>
      <c r="N158" s="221" t="str">
        <f t="shared" si="61"/>
        <v/>
      </c>
      <c r="O158" s="226"/>
      <c r="P158" s="215">
        <f t="shared" ca="1" si="68"/>
        <v>1.0123573044347599E-2</v>
      </c>
      <c r="Q158" s="215" t="str">
        <f t="shared" si="69"/>
        <v/>
      </c>
      <c r="R158" s="215" t="str">
        <f t="shared" si="62"/>
        <v/>
      </c>
      <c r="S158" s="225"/>
      <c r="T158" s="215" t="str">
        <f t="shared" si="63"/>
        <v/>
      </c>
      <c r="U158" s="215" t="str">
        <f t="shared" si="64"/>
        <v/>
      </c>
      <c r="V158" s="215" t="str">
        <f t="shared" si="65"/>
        <v/>
      </c>
    </row>
    <row r="159" spans="1:22" ht="15" customHeight="1">
      <c r="A159" s="193">
        <f t="shared" si="50"/>
        <v>2032</v>
      </c>
      <c r="B159" s="195">
        <f t="shared" ca="1" si="66"/>
        <v>1.0003284549220646E-2</v>
      </c>
      <c r="C159" s="195">
        <f t="shared" ca="1" si="51"/>
        <v>0.91552303112511568</v>
      </c>
      <c r="D159" s="195" t="str">
        <f t="shared" si="52"/>
        <v/>
      </c>
      <c r="E159" s="220" t="str">
        <f t="shared" si="53"/>
        <v/>
      </c>
      <c r="F159" s="194" t="str">
        <f t="shared" si="67"/>
        <v/>
      </c>
      <c r="G159" s="195" t="str">
        <f t="shared" si="54"/>
        <v/>
      </c>
      <c r="H159" s="195" t="str">
        <f t="shared" si="55"/>
        <v/>
      </c>
      <c r="I159" s="220" t="str">
        <f t="shared" si="56"/>
        <v/>
      </c>
      <c r="J159" s="524" t="str">
        <f t="shared" ca="1" si="57"/>
        <v/>
      </c>
      <c r="K159" s="218" t="str">
        <f t="shared" si="58"/>
        <v/>
      </c>
      <c r="L159" s="218" t="str">
        <f t="shared" si="59"/>
        <v/>
      </c>
      <c r="M159" s="195" t="str">
        <f t="shared" si="60"/>
        <v/>
      </c>
      <c r="N159" s="221" t="str">
        <f t="shared" si="61"/>
        <v/>
      </c>
      <c r="O159" s="226"/>
      <c r="P159" s="215">
        <f t="shared" ca="1" si="68"/>
        <v>1.0123573044347599E-2</v>
      </c>
      <c r="Q159" s="215" t="str">
        <f t="shared" si="69"/>
        <v/>
      </c>
      <c r="R159" s="215" t="str">
        <f t="shared" si="62"/>
        <v/>
      </c>
      <c r="S159" s="225"/>
      <c r="T159" s="215" t="str">
        <f t="shared" si="63"/>
        <v/>
      </c>
      <c r="U159" s="215" t="str">
        <f t="shared" si="64"/>
        <v/>
      </c>
      <c r="V159" s="215" t="str">
        <f t="shared" si="65"/>
        <v/>
      </c>
    </row>
    <row r="160" spans="1:22" ht="15" customHeight="1">
      <c r="A160" s="193">
        <f t="shared" si="50"/>
        <v>2033</v>
      </c>
      <c r="B160" s="195">
        <f t="shared" ca="1" si="66"/>
        <v>9.9675288719026003E-3</v>
      </c>
      <c r="C160" s="195">
        <f t="shared" ca="1" si="51"/>
        <v>0.90643086482979662</v>
      </c>
      <c r="D160" s="195" t="str">
        <f t="shared" si="52"/>
        <v/>
      </c>
      <c r="E160" s="220" t="str">
        <f t="shared" si="53"/>
        <v/>
      </c>
      <c r="F160" s="194" t="str">
        <f t="shared" si="67"/>
        <v/>
      </c>
      <c r="G160" s="195" t="str">
        <f t="shared" si="54"/>
        <v/>
      </c>
      <c r="H160" s="195" t="str">
        <f t="shared" si="55"/>
        <v/>
      </c>
      <c r="I160" s="220" t="str">
        <f t="shared" si="56"/>
        <v/>
      </c>
      <c r="J160" s="524" t="str">
        <f t="shared" ca="1" si="57"/>
        <v/>
      </c>
      <c r="K160" s="218" t="str">
        <f t="shared" si="58"/>
        <v/>
      </c>
      <c r="L160" s="218" t="str">
        <f t="shared" si="59"/>
        <v/>
      </c>
      <c r="M160" s="195" t="str">
        <f t="shared" si="60"/>
        <v/>
      </c>
      <c r="N160" s="221" t="str">
        <f t="shared" si="61"/>
        <v/>
      </c>
      <c r="O160" s="226"/>
      <c r="P160" s="215">
        <f t="shared" ca="1" si="68"/>
        <v>1.0123573044347599E-2</v>
      </c>
      <c r="Q160" s="215" t="str">
        <f t="shared" si="69"/>
        <v/>
      </c>
      <c r="R160" s="215" t="str">
        <f t="shared" si="62"/>
        <v/>
      </c>
      <c r="S160" s="225"/>
      <c r="T160" s="215" t="str">
        <f t="shared" si="63"/>
        <v/>
      </c>
      <c r="U160" s="215" t="str">
        <f t="shared" si="64"/>
        <v/>
      </c>
      <c r="V160" s="215" t="str">
        <f t="shared" si="65"/>
        <v/>
      </c>
    </row>
    <row r="161" spans="1:22" ht="15" customHeight="1">
      <c r="A161" s="193">
        <f t="shared" si="50"/>
        <v>2034</v>
      </c>
      <c r="B161" s="195">
        <f t="shared" ca="1" si="66"/>
        <v>9.9385602901316851E-3</v>
      </c>
      <c r="C161" s="195">
        <f t="shared" ca="1" si="51"/>
        <v>0.9061997369220306</v>
      </c>
      <c r="D161" s="195" t="str">
        <f t="shared" si="52"/>
        <v/>
      </c>
      <c r="E161" s="220" t="str">
        <f t="shared" si="53"/>
        <v/>
      </c>
      <c r="F161" s="194" t="str">
        <f t="shared" si="67"/>
        <v/>
      </c>
      <c r="G161" s="195" t="str">
        <f t="shared" si="54"/>
        <v/>
      </c>
      <c r="H161" s="195" t="str">
        <f t="shared" si="55"/>
        <v/>
      </c>
      <c r="I161" s="220" t="str">
        <f t="shared" si="56"/>
        <v/>
      </c>
      <c r="J161" s="524" t="str">
        <f t="shared" ca="1" si="57"/>
        <v/>
      </c>
      <c r="K161" s="218" t="str">
        <f t="shared" si="58"/>
        <v/>
      </c>
      <c r="L161" s="218" t="str">
        <f t="shared" si="59"/>
        <v/>
      </c>
      <c r="M161" s="195" t="str">
        <f t="shared" si="60"/>
        <v/>
      </c>
      <c r="N161" s="221" t="str">
        <f t="shared" si="61"/>
        <v/>
      </c>
      <c r="O161" s="226"/>
      <c r="P161" s="215">
        <f t="shared" ca="1" si="68"/>
        <v>1.0123573044347599E-2</v>
      </c>
      <c r="Q161" s="215" t="str">
        <f t="shared" si="69"/>
        <v/>
      </c>
      <c r="R161" s="215" t="str">
        <f t="shared" si="62"/>
        <v/>
      </c>
      <c r="S161" s="225"/>
      <c r="T161" s="215" t="str">
        <f t="shared" si="63"/>
        <v/>
      </c>
      <c r="U161" s="215" t="str">
        <f t="shared" si="64"/>
        <v/>
      </c>
      <c r="V161" s="215" t="str">
        <f t="shared" si="65"/>
        <v/>
      </c>
    </row>
    <row r="162" spans="1:22" ht="15" customHeight="1">
      <c r="A162" s="193">
        <f t="shared" si="50"/>
        <v>2035</v>
      </c>
      <c r="B162" s="195">
        <f t="shared" ca="1" si="66"/>
        <v>9.973703231345131E-3</v>
      </c>
      <c r="C162" s="195">
        <f t="shared" ca="1" si="51"/>
        <v>0.92027949794769415</v>
      </c>
      <c r="D162" s="195" t="str">
        <f t="shared" si="52"/>
        <v/>
      </c>
      <c r="E162" s="220" t="str">
        <f t="shared" si="53"/>
        <v/>
      </c>
      <c r="F162" s="194" t="str">
        <f t="shared" si="67"/>
        <v/>
      </c>
      <c r="G162" s="195" t="str">
        <f t="shared" si="54"/>
        <v/>
      </c>
      <c r="H162" s="195" t="str">
        <f t="shared" si="55"/>
        <v/>
      </c>
      <c r="I162" s="220" t="str">
        <f t="shared" si="56"/>
        <v/>
      </c>
      <c r="J162" s="524" t="str">
        <f t="shared" ca="1" si="57"/>
        <v/>
      </c>
      <c r="K162" s="218" t="str">
        <f t="shared" si="58"/>
        <v/>
      </c>
      <c r="L162" s="218" t="str">
        <f t="shared" si="59"/>
        <v/>
      </c>
      <c r="M162" s="195" t="str">
        <f t="shared" si="60"/>
        <v/>
      </c>
      <c r="N162" s="221" t="str">
        <f t="shared" si="61"/>
        <v/>
      </c>
      <c r="O162" s="226"/>
      <c r="P162" s="215">
        <f t="shared" ca="1" si="68"/>
        <v>1.0123573044347599E-2</v>
      </c>
      <c r="Q162" s="215" t="str">
        <f t="shared" si="69"/>
        <v/>
      </c>
      <c r="R162" s="215" t="str">
        <f t="shared" si="62"/>
        <v/>
      </c>
      <c r="S162" s="225"/>
      <c r="T162" s="215" t="str">
        <f t="shared" si="63"/>
        <v/>
      </c>
      <c r="U162" s="215" t="str">
        <f t="shared" si="64"/>
        <v/>
      </c>
      <c r="V162" s="215" t="str">
        <f t="shared" si="65"/>
        <v/>
      </c>
    </row>
    <row r="163" spans="1:22" ht="15" customHeight="1">
      <c r="A163" s="193">
        <f t="shared" si="50"/>
        <v>2036</v>
      </c>
      <c r="B163" s="195">
        <f t="shared" ca="1" si="66"/>
        <v>1.0009966667040895E-2</v>
      </c>
      <c r="C163" s="195">
        <f t="shared" ca="1" si="51"/>
        <v>0.92089083358585078</v>
      </c>
      <c r="D163" s="195" t="str">
        <f t="shared" si="52"/>
        <v/>
      </c>
      <c r="E163" s="220" t="str">
        <f t="shared" si="53"/>
        <v/>
      </c>
      <c r="F163" s="194" t="str">
        <f t="shared" si="67"/>
        <v/>
      </c>
      <c r="G163" s="195" t="str">
        <f t="shared" si="54"/>
        <v/>
      </c>
      <c r="H163" s="195" t="str">
        <f t="shared" si="55"/>
        <v/>
      </c>
      <c r="I163" s="220" t="str">
        <f t="shared" si="56"/>
        <v/>
      </c>
      <c r="J163" s="524" t="str">
        <f t="shared" ca="1" si="57"/>
        <v/>
      </c>
      <c r="K163" s="218" t="str">
        <f t="shared" si="58"/>
        <v/>
      </c>
      <c r="L163" s="218" t="str">
        <f t="shared" si="59"/>
        <v/>
      </c>
      <c r="M163" s="195" t="str">
        <f t="shared" si="60"/>
        <v/>
      </c>
      <c r="N163" s="221" t="str">
        <f t="shared" si="61"/>
        <v/>
      </c>
      <c r="O163" s="226"/>
      <c r="P163" s="215">
        <f t="shared" ca="1" si="68"/>
        <v>1.0123573044347599E-2</v>
      </c>
      <c r="Q163" s="215" t="str">
        <f t="shared" si="69"/>
        <v/>
      </c>
      <c r="R163" s="215" t="str">
        <f t="shared" si="62"/>
        <v/>
      </c>
      <c r="S163" s="225"/>
      <c r="T163" s="215" t="str">
        <f t="shared" si="63"/>
        <v/>
      </c>
      <c r="U163" s="215" t="str">
        <f t="shared" si="64"/>
        <v/>
      </c>
      <c r="V163" s="215" t="str">
        <f t="shared" si="65"/>
        <v/>
      </c>
    </row>
    <row r="164" spans="1:22" ht="15" customHeight="1">
      <c r="A164" s="193">
        <f t="shared" si="50"/>
        <v>2037</v>
      </c>
      <c r="B164" s="195">
        <f t="shared" ca="1" si="66"/>
        <v>1.0002398168246395E-2</v>
      </c>
      <c r="C164" s="195">
        <f t="shared" ca="1" si="51"/>
        <v>0.92257668952394301</v>
      </c>
      <c r="D164" s="195" t="str">
        <f t="shared" si="52"/>
        <v/>
      </c>
      <c r="E164" s="220" t="str">
        <f t="shared" si="53"/>
        <v/>
      </c>
      <c r="F164" s="194" t="str">
        <f t="shared" si="67"/>
        <v/>
      </c>
      <c r="G164" s="195" t="str">
        <f t="shared" si="54"/>
        <v/>
      </c>
      <c r="H164" s="195" t="str">
        <f t="shared" si="55"/>
        <v/>
      </c>
      <c r="I164" s="220" t="str">
        <f t="shared" si="56"/>
        <v/>
      </c>
      <c r="J164" s="524" t="str">
        <f t="shared" ca="1" si="57"/>
        <v/>
      </c>
      <c r="K164" s="218" t="str">
        <f t="shared" si="58"/>
        <v/>
      </c>
      <c r="L164" s="218" t="str">
        <f t="shared" si="59"/>
        <v/>
      </c>
      <c r="M164" s="195" t="str">
        <f t="shared" si="60"/>
        <v/>
      </c>
      <c r="N164" s="221" t="str">
        <f t="shared" si="61"/>
        <v/>
      </c>
      <c r="O164" s="226"/>
      <c r="P164" s="215">
        <f t="shared" ca="1" si="68"/>
        <v>1.0123573044347599E-2</v>
      </c>
      <c r="Q164" s="215" t="str">
        <f t="shared" si="69"/>
        <v/>
      </c>
      <c r="R164" s="215" t="str">
        <f t="shared" si="62"/>
        <v/>
      </c>
      <c r="S164" s="225"/>
      <c r="T164" s="215" t="str">
        <f t="shared" si="63"/>
        <v/>
      </c>
      <c r="U164" s="215" t="str">
        <f t="shared" si="64"/>
        <v/>
      </c>
      <c r="V164" s="215" t="str">
        <f t="shared" si="65"/>
        <v/>
      </c>
    </row>
    <row r="165" spans="1:22" ht="15" customHeight="1">
      <c r="A165" s="193">
        <f t="shared" si="50"/>
        <v>2038</v>
      </c>
      <c r="B165" s="195">
        <f t="shared" ca="1" si="66"/>
        <v>1.0004619830767584E-2</v>
      </c>
      <c r="C165" s="195">
        <f t="shared" ca="1" si="51"/>
        <v>0.92167772116466828</v>
      </c>
      <c r="D165" s="195" t="str">
        <f t="shared" si="52"/>
        <v/>
      </c>
      <c r="E165" s="220" t="str">
        <f t="shared" si="53"/>
        <v/>
      </c>
      <c r="F165" s="194" t="str">
        <f t="shared" si="67"/>
        <v/>
      </c>
      <c r="G165" s="195" t="str">
        <f t="shared" si="54"/>
        <v/>
      </c>
      <c r="H165" s="195" t="str">
        <f t="shared" si="55"/>
        <v/>
      </c>
      <c r="I165" s="220" t="str">
        <f t="shared" si="56"/>
        <v/>
      </c>
      <c r="J165" s="524" t="str">
        <f t="shared" ca="1" si="57"/>
        <v/>
      </c>
      <c r="K165" s="218" t="str">
        <f t="shared" si="58"/>
        <v/>
      </c>
      <c r="L165" s="218" t="str">
        <f t="shared" si="59"/>
        <v/>
      </c>
      <c r="M165" s="195" t="str">
        <f t="shared" si="60"/>
        <v/>
      </c>
      <c r="N165" s="221" t="str">
        <f t="shared" si="61"/>
        <v/>
      </c>
      <c r="O165" s="226"/>
      <c r="P165" s="215">
        <f t="shared" ca="1" si="68"/>
        <v>1.0123573044347599E-2</v>
      </c>
      <c r="Q165" s="215" t="str">
        <f t="shared" si="69"/>
        <v/>
      </c>
      <c r="R165" s="215" t="str">
        <f t="shared" si="62"/>
        <v/>
      </c>
      <c r="S165" s="225"/>
      <c r="T165" s="215" t="str">
        <f t="shared" si="63"/>
        <v/>
      </c>
      <c r="U165" s="215" t="str">
        <f t="shared" si="64"/>
        <v/>
      </c>
      <c r="V165" s="215" t="str">
        <f t="shared" si="65"/>
        <v/>
      </c>
    </row>
    <row r="166" spans="1:22" ht="15" customHeight="1">
      <c r="A166" s="193">
        <f t="shared" si="50"/>
        <v>2039</v>
      </c>
      <c r="B166" s="195">
        <f t="shared" ca="1" si="66"/>
        <v>1.0012362706790413E-2</v>
      </c>
      <c r="C166" s="195">
        <f t="shared" ca="1" si="51"/>
        <v>0.92517730420750666</v>
      </c>
      <c r="D166" s="195" t="str">
        <f t="shared" si="52"/>
        <v/>
      </c>
      <c r="E166" s="220" t="str">
        <f t="shared" si="53"/>
        <v/>
      </c>
      <c r="F166" s="194" t="str">
        <f t="shared" si="67"/>
        <v/>
      </c>
      <c r="G166" s="195" t="str">
        <f t="shared" si="54"/>
        <v/>
      </c>
      <c r="H166" s="195" t="str">
        <f t="shared" si="55"/>
        <v/>
      </c>
      <c r="I166" s="220" t="str">
        <f t="shared" si="56"/>
        <v/>
      </c>
      <c r="J166" s="524" t="str">
        <f t="shared" ca="1" si="57"/>
        <v/>
      </c>
      <c r="K166" s="218" t="str">
        <f t="shared" si="58"/>
        <v/>
      </c>
      <c r="L166" s="218" t="str">
        <f t="shared" si="59"/>
        <v/>
      </c>
      <c r="M166" s="195" t="str">
        <f t="shared" si="60"/>
        <v/>
      </c>
      <c r="N166" s="221" t="str">
        <f t="shared" si="61"/>
        <v/>
      </c>
      <c r="O166" s="226"/>
      <c r="P166" s="215">
        <f t="shared" ca="1" si="68"/>
        <v>1.0123573044347599E-2</v>
      </c>
      <c r="Q166" s="215" t="str">
        <f t="shared" si="69"/>
        <v/>
      </c>
      <c r="R166" s="215" t="str">
        <f t="shared" si="62"/>
        <v/>
      </c>
      <c r="S166" s="225"/>
      <c r="T166" s="215" t="str">
        <f t="shared" si="63"/>
        <v/>
      </c>
      <c r="U166" s="215" t="str">
        <f t="shared" si="64"/>
        <v/>
      </c>
      <c r="V166" s="215" t="str">
        <f t="shared" si="65"/>
        <v/>
      </c>
    </row>
    <row r="167" spans="1:22" ht="15" customHeight="1">
      <c r="A167" s="193">
        <f t="shared" si="50"/>
        <v>2040</v>
      </c>
      <c r="B167" s="195">
        <f t="shared" ca="1" si="66"/>
        <v>9.9888863488559777E-3</v>
      </c>
      <c r="C167" s="195">
        <f t="shared" ca="1" si="51"/>
        <v>0.91816900446706873</v>
      </c>
      <c r="D167" s="195" t="str">
        <f t="shared" si="52"/>
        <v/>
      </c>
      <c r="E167" s="220" t="str">
        <f t="shared" si="53"/>
        <v/>
      </c>
      <c r="F167" s="194" t="str">
        <f t="shared" si="67"/>
        <v/>
      </c>
      <c r="G167" s="195" t="str">
        <f t="shared" si="54"/>
        <v/>
      </c>
      <c r="H167" s="195" t="str">
        <f t="shared" si="55"/>
        <v/>
      </c>
      <c r="I167" s="220" t="str">
        <f t="shared" si="56"/>
        <v/>
      </c>
      <c r="J167" s="524" t="str">
        <f t="shared" ca="1" si="57"/>
        <v/>
      </c>
      <c r="K167" s="218" t="str">
        <f t="shared" si="58"/>
        <v/>
      </c>
      <c r="L167" s="218" t="str">
        <f t="shared" si="59"/>
        <v/>
      </c>
      <c r="M167" s="195" t="str">
        <f t="shared" si="60"/>
        <v/>
      </c>
      <c r="N167" s="221" t="str">
        <f t="shared" si="61"/>
        <v/>
      </c>
      <c r="O167" s="226"/>
      <c r="P167" s="215">
        <f t="shared" ca="1" si="68"/>
        <v>1.0123573044347599E-2</v>
      </c>
      <c r="Q167" s="215" t="str">
        <f t="shared" si="69"/>
        <v/>
      </c>
      <c r="R167" s="215" t="str">
        <f t="shared" si="62"/>
        <v/>
      </c>
      <c r="S167" s="225"/>
      <c r="T167" s="215" t="str">
        <f t="shared" si="63"/>
        <v/>
      </c>
      <c r="U167" s="215" t="str">
        <f t="shared" si="64"/>
        <v/>
      </c>
      <c r="V167" s="215" t="str">
        <f t="shared" si="65"/>
        <v/>
      </c>
    </row>
    <row r="168" spans="1:22" ht="15" customHeight="1">
      <c r="A168" s="193">
        <f t="shared" si="50"/>
        <v>2041</v>
      </c>
      <c r="B168" s="195">
        <f t="shared" ca="1" si="66"/>
        <v>9.9595097155860141E-3</v>
      </c>
      <c r="C168" s="195">
        <f t="shared" ca="1" si="51"/>
        <v>0.91891161704145152</v>
      </c>
      <c r="D168" s="195" t="str">
        <f t="shared" si="52"/>
        <v/>
      </c>
      <c r="E168" s="220" t="str">
        <f t="shared" si="53"/>
        <v/>
      </c>
      <c r="F168" s="194" t="str">
        <f t="shared" si="67"/>
        <v/>
      </c>
      <c r="G168" s="195" t="str">
        <f t="shared" si="54"/>
        <v/>
      </c>
      <c r="H168" s="195" t="str">
        <f t="shared" si="55"/>
        <v/>
      </c>
      <c r="I168" s="220" t="str">
        <f t="shared" si="56"/>
        <v/>
      </c>
      <c r="J168" s="524" t="str">
        <f t="shared" ca="1" si="57"/>
        <v/>
      </c>
      <c r="K168" s="218" t="str">
        <f t="shared" si="58"/>
        <v/>
      </c>
      <c r="L168" s="218" t="str">
        <f t="shared" si="59"/>
        <v/>
      </c>
      <c r="M168" s="195" t="str">
        <f t="shared" si="60"/>
        <v/>
      </c>
      <c r="N168" s="221" t="str">
        <f t="shared" si="61"/>
        <v/>
      </c>
      <c r="O168" s="226"/>
      <c r="P168" s="215">
        <f t="shared" ca="1" si="68"/>
        <v>1.0123573044347599E-2</v>
      </c>
      <c r="Q168" s="215" t="str">
        <f t="shared" si="69"/>
        <v/>
      </c>
      <c r="R168" s="215" t="str">
        <f t="shared" si="62"/>
        <v/>
      </c>
      <c r="S168" s="225"/>
      <c r="T168" s="215" t="str">
        <f t="shared" si="63"/>
        <v/>
      </c>
      <c r="U168" s="215" t="str">
        <f t="shared" si="64"/>
        <v/>
      </c>
      <c r="V168" s="215" t="str">
        <f t="shared" si="65"/>
        <v/>
      </c>
    </row>
    <row r="169" spans="1:22" ht="15" customHeight="1">
      <c r="A169" s="193">
        <f t="shared" si="50"/>
        <v>2042</v>
      </c>
      <c r="B169" s="195">
        <f t="shared" ca="1" si="66"/>
        <v>9.9710612186790712E-3</v>
      </c>
      <c r="C169" s="195">
        <f t="shared" ca="1" si="51"/>
        <v>0.92775934196613263</v>
      </c>
      <c r="D169" s="195" t="str">
        <f t="shared" si="52"/>
        <v/>
      </c>
      <c r="E169" s="220" t="str">
        <f t="shared" si="53"/>
        <v/>
      </c>
      <c r="F169" s="194" t="str">
        <f t="shared" si="67"/>
        <v/>
      </c>
      <c r="G169" s="195" t="str">
        <f t="shared" si="54"/>
        <v/>
      </c>
      <c r="H169" s="195" t="str">
        <f t="shared" si="55"/>
        <v/>
      </c>
      <c r="I169" s="220" t="str">
        <f t="shared" si="56"/>
        <v/>
      </c>
      <c r="J169" s="524" t="str">
        <f t="shared" ca="1" si="57"/>
        <v/>
      </c>
      <c r="K169" s="218" t="str">
        <f t="shared" si="58"/>
        <v/>
      </c>
      <c r="L169" s="218" t="str">
        <f t="shared" si="59"/>
        <v/>
      </c>
      <c r="M169" s="195" t="str">
        <f t="shared" si="60"/>
        <v/>
      </c>
      <c r="N169" s="221" t="str">
        <f t="shared" si="61"/>
        <v/>
      </c>
      <c r="O169" s="226"/>
      <c r="P169" s="215">
        <f t="shared" ca="1" si="68"/>
        <v>1.0123573044347599E-2</v>
      </c>
      <c r="Q169" s="215" t="str">
        <f t="shared" si="69"/>
        <v/>
      </c>
      <c r="R169" s="215" t="str">
        <f t="shared" si="62"/>
        <v/>
      </c>
      <c r="S169" s="225"/>
      <c r="T169" s="215" t="str">
        <f t="shared" si="63"/>
        <v/>
      </c>
      <c r="U169" s="215" t="str">
        <f t="shared" si="64"/>
        <v/>
      </c>
      <c r="V169" s="215" t="str">
        <f t="shared" si="65"/>
        <v/>
      </c>
    </row>
    <row r="170" spans="1:22" ht="15" customHeight="1">
      <c r="A170" s="193">
        <f t="shared" si="50"/>
        <v>2043</v>
      </c>
      <c r="B170" s="195">
        <f t="shared" ca="1" si="66"/>
        <v>1.00014907038793E-2</v>
      </c>
      <c r="C170" s="195">
        <f t="shared" ca="1" si="51"/>
        <v>0.94130192024568238</v>
      </c>
      <c r="D170" s="195" t="str">
        <f t="shared" si="52"/>
        <v/>
      </c>
      <c r="E170" s="220" t="str">
        <f t="shared" si="53"/>
        <v/>
      </c>
      <c r="F170" s="194" t="str">
        <f t="shared" si="67"/>
        <v/>
      </c>
      <c r="G170" s="195" t="str">
        <f t="shared" si="54"/>
        <v/>
      </c>
      <c r="H170" s="195" t="str">
        <f t="shared" si="55"/>
        <v/>
      </c>
      <c r="I170" s="220" t="str">
        <f t="shared" si="56"/>
        <v/>
      </c>
      <c r="J170" s="524" t="str">
        <f t="shared" ca="1" si="57"/>
        <v/>
      </c>
      <c r="K170" s="218" t="str">
        <f t="shared" si="58"/>
        <v/>
      </c>
      <c r="L170" s="218" t="str">
        <f t="shared" si="59"/>
        <v/>
      </c>
      <c r="M170" s="195" t="str">
        <f t="shared" si="60"/>
        <v/>
      </c>
      <c r="N170" s="221" t="str">
        <f t="shared" si="61"/>
        <v/>
      </c>
      <c r="O170" s="226"/>
      <c r="P170" s="215">
        <f t="shared" ca="1" si="68"/>
        <v>1.0123573044347599E-2</v>
      </c>
      <c r="Q170" s="215" t="str">
        <f t="shared" si="69"/>
        <v/>
      </c>
      <c r="R170" s="215" t="str">
        <f t="shared" si="62"/>
        <v/>
      </c>
      <c r="S170" s="225"/>
      <c r="T170" s="215" t="str">
        <f t="shared" si="63"/>
        <v/>
      </c>
      <c r="U170" s="215" t="str">
        <f t="shared" si="64"/>
        <v/>
      </c>
      <c r="V170" s="215" t="str">
        <f t="shared" si="65"/>
        <v/>
      </c>
    </row>
    <row r="171" spans="1:22" ht="15" customHeight="1">
      <c r="A171" s="193">
        <f t="shared" si="50"/>
        <v>2044</v>
      </c>
      <c r="B171" s="195">
        <f t="shared" ca="1" si="66"/>
        <v>1.0039175072405438E-2</v>
      </c>
      <c r="C171" s="195">
        <f t="shared" ca="1" si="51"/>
        <v>0.95058388079078115</v>
      </c>
      <c r="D171" s="195" t="str">
        <f t="shared" si="52"/>
        <v/>
      </c>
      <c r="E171" s="220" t="str">
        <f t="shared" si="53"/>
        <v/>
      </c>
      <c r="F171" s="194" t="str">
        <f t="shared" si="67"/>
        <v/>
      </c>
      <c r="G171" s="195" t="str">
        <f t="shared" si="54"/>
        <v/>
      </c>
      <c r="H171" s="195" t="str">
        <f t="shared" si="55"/>
        <v/>
      </c>
      <c r="I171" s="220" t="str">
        <f t="shared" si="56"/>
        <v/>
      </c>
      <c r="J171" s="524" t="str">
        <f t="shared" ca="1" si="57"/>
        <v/>
      </c>
      <c r="K171" s="218" t="str">
        <f t="shared" si="58"/>
        <v/>
      </c>
      <c r="L171" s="218" t="str">
        <f t="shared" si="59"/>
        <v/>
      </c>
      <c r="M171" s="195" t="str">
        <f t="shared" si="60"/>
        <v/>
      </c>
      <c r="N171" s="221" t="str">
        <f t="shared" si="61"/>
        <v/>
      </c>
      <c r="O171" s="226"/>
      <c r="P171" s="215">
        <f t="shared" ca="1" si="68"/>
        <v>1.0123573044347599E-2</v>
      </c>
      <c r="Q171" s="215" t="str">
        <f t="shared" si="69"/>
        <v/>
      </c>
      <c r="R171" s="215" t="str">
        <f t="shared" si="62"/>
        <v/>
      </c>
      <c r="S171" s="225"/>
      <c r="T171" s="215" t="str">
        <f t="shared" si="63"/>
        <v/>
      </c>
      <c r="U171" s="215" t="str">
        <f t="shared" si="64"/>
        <v/>
      </c>
      <c r="V171" s="215" t="str">
        <f t="shared" si="65"/>
        <v/>
      </c>
    </row>
    <row r="172" spans="1:22" ht="15" customHeight="1">
      <c r="A172" s="193">
        <f t="shared" si="50"/>
        <v>2045</v>
      </c>
      <c r="B172" s="195">
        <f t="shared" ca="1" si="66"/>
        <v>1.0075847877312302E-2</v>
      </c>
      <c r="C172" s="195">
        <f t="shared" ca="1" si="51"/>
        <v>0.96279000412877436</v>
      </c>
      <c r="D172" s="195" t="str">
        <f t="shared" si="52"/>
        <v/>
      </c>
      <c r="E172" s="220" t="str">
        <f t="shared" si="53"/>
        <v/>
      </c>
      <c r="F172" s="194" t="str">
        <f t="shared" si="67"/>
        <v/>
      </c>
      <c r="G172" s="195" t="str">
        <f t="shared" si="54"/>
        <v/>
      </c>
      <c r="H172" s="195" t="str">
        <f t="shared" si="55"/>
        <v/>
      </c>
      <c r="I172" s="220" t="str">
        <f t="shared" si="56"/>
        <v/>
      </c>
      <c r="J172" s="524" t="str">
        <f t="shared" ca="1" si="57"/>
        <v/>
      </c>
      <c r="K172" s="218" t="str">
        <f t="shared" si="58"/>
        <v/>
      </c>
      <c r="L172" s="218" t="str">
        <f t="shared" si="59"/>
        <v/>
      </c>
      <c r="M172" s="195" t="str">
        <f t="shared" si="60"/>
        <v/>
      </c>
      <c r="N172" s="221" t="str">
        <f t="shared" si="61"/>
        <v/>
      </c>
      <c r="O172" s="226"/>
      <c r="P172" s="215">
        <f t="shared" ca="1" si="68"/>
        <v>1.0123573044347599E-2</v>
      </c>
      <c r="Q172" s="215" t="str">
        <f t="shared" si="69"/>
        <v/>
      </c>
      <c r="R172" s="215" t="str">
        <f t="shared" si="62"/>
        <v/>
      </c>
      <c r="S172" s="225"/>
      <c r="T172" s="215" t="str">
        <f t="shared" si="63"/>
        <v/>
      </c>
      <c r="U172" s="215" t="str">
        <f t="shared" si="64"/>
        <v/>
      </c>
      <c r="V172" s="215" t="str">
        <f t="shared" si="65"/>
        <v/>
      </c>
    </row>
    <row r="173" spans="1:22" ht="15" customHeight="1">
      <c r="A173" s="193">
        <f t="shared" si="50"/>
        <v>2046</v>
      </c>
      <c r="B173" s="195">
        <f t="shared" ca="1" si="66"/>
        <v>1.0113133418323761E-2</v>
      </c>
      <c r="C173" s="195">
        <f t="shared" ca="1" si="51"/>
        <v>0.97212119352495785</v>
      </c>
      <c r="D173" s="195" t="str">
        <f t="shared" si="52"/>
        <v/>
      </c>
      <c r="E173" s="220" t="str">
        <f t="shared" si="53"/>
        <v/>
      </c>
      <c r="F173" s="194" t="str">
        <f t="shared" si="67"/>
        <v/>
      </c>
      <c r="G173" s="195" t="str">
        <f t="shared" si="54"/>
        <v/>
      </c>
      <c r="H173" s="195" t="str">
        <f t="shared" si="55"/>
        <v/>
      </c>
      <c r="I173" s="220" t="str">
        <f t="shared" si="56"/>
        <v/>
      </c>
      <c r="J173" s="524" t="str">
        <f t="shared" ca="1" si="57"/>
        <v/>
      </c>
      <c r="K173" s="218" t="str">
        <f t="shared" si="58"/>
        <v/>
      </c>
      <c r="L173" s="218" t="str">
        <f t="shared" si="59"/>
        <v/>
      </c>
      <c r="M173" s="195" t="str">
        <f t="shared" si="60"/>
        <v/>
      </c>
      <c r="N173" s="221" t="str">
        <f t="shared" si="61"/>
        <v/>
      </c>
      <c r="O173" s="226"/>
      <c r="P173" s="215">
        <f t="shared" ca="1" si="68"/>
        <v>1.0123573044347599E-2</v>
      </c>
      <c r="Q173" s="215" t="str">
        <f t="shared" si="69"/>
        <v/>
      </c>
      <c r="R173" s="215" t="str">
        <f t="shared" si="62"/>
        <v/>
      </c>
      <c r="S173" s="225"/>
      <c r="T173" s="215" t="str">
        <f t="shared" si="63"/>
        <v/>
      </c>
      <c r="U173" s="215" t="str">
        <f t="shared" si="64"/>
        <v/>
      </c>
      <c r="V173" s="215" t="str">
        <f t="shared" si="65"/>
        <v/>
      </c>
    </row>
    <row r="174" spans="1:22" ht="15" customHeight="1">
      <c r="A174" s="193">
        <f t="shared" si="50"/>
        <v>2047</v>
      </c>
      <c r="B174" s="195">
        <f t="shared" ca="1" si="66"/>
        <v>1.0146592323533606E-2</v>
      </c>
      <c r="C174" s="195">
        <f t="shared" ca="1" si="51"/>
        <v>0.98235615031935819</v>
      </c>
      <c r="D174" s="195" t="str">
        <f t="shared" si="52"/>
        <v/>
      </c>
      <c r="E174" s="220" t="str">
        <f t="shared" si="53"/>
        <v/>
      </c>
      <c r="F174" s="194" t="str">
        <f t="shared" si="67"/>
        <v/>
      </c>
      <c r="G174" s="195" t="str">
        <f t="shared" si="54"/>
        <v/>
      </c>
      <c r="H174" s="195" t="str">
        <f t="shared" si="55"/>
        <v/>
      </c>
      <c r="I174" s="220" t="str">
        <f t="shared" si="56"/>
        <v/>
      </c>
      <c r="J174" s="524" t="str">
        <f t="shared" ca="1" si="57"/>
        <v/>
      </c>
      <c r="K174" s="218" t="str">
        <f t="shared" si="58"/>
        <v/>
      </c>
      <c r="L174" s="218" t="str">
        <f t="shared" si="59"/>
        <v/>
      </c>
      <c r="M174" s="195" t="str">
        <f t="shared" si="60"/>
        <v/>
      </c>
      <c r="N174" s="221" t="str">
        <f t="shared" si="61"/>
        <v/>
      </c>
      <c r="O174" s="226"/>
      <c r="P174" s="215">
        <f t="shared" ca="1" si="68"/>
        <v>1.0123573044347599E-2</v>
      </c>
      <c r="Q174" s="215" t="str">
        <f t="shared" si="69"/>
        <v/>
      </c>
      <c r="R174" s="215" t="str">
        <f t="shared" si="62"/>
        <v/>
      </c>
      <c r="S174" s="225"/>
      <c r="T174" s="215" t="str">
        <f t="shared" si="63"/>
        <v/>
      </c>
      <c r="U174" s="215" t="str">
        <f t="shared" si="64"/>
        <v/>
      </c>
      <c r="V174" s="215" t="str">
        <f t="shared" si="65"/>
        <v/>
      </c>
    </row>
    <row r="175" spans="1:22" ht="15" customHeight="1">
      <c r="A175" s="193">
        <f t="shared" si="50"/>
        <v>2048</v>
      </c>
      <c r="B175" s="195">
        <f t="shared" ca="1" si="66"/>
        <v>1.0184228815188488E-2</v>
      </c>
      <c r="C175" s="195">
        <f t="shared" ca="1" si="51"/>
        <v>1.0003622992383026</v>
      </c>
      <c r="D175" s="195" t="str">
        <f t="shared" si="52"/>
        <v/>
      </c>
      <c r="E175" s="220" t="str">
        <f t="shared" si="53"/>
        <v/>
      </c>
      <c r="F175" s="194" t="str">
        <f t="shared" si="67"/>
        <v/>
      </c>
      <c r="G175" s="195" t="str">
        <f t="shared" si="54"/>
        <v/>
      </c>
      <c r="H175" s="195" t="str">
        <f t="shared" si="55"/>
        <v/>
      </c>
      <c r="I175" s="220" t="str">
        <f t="shared" si="56"/>
        <v/>
      </c>
      <c r="J175" s="524" t="str">
        <f t="shared" ca="1" si="57"/>
        <v/>
      </c>
      <c r="K175" s="218" t="str">
        <f t="shared" si="58"/>
        <v/>
      </c>
      <c r="L175" s="218" t="str">
        <f t="shared" si="59"/>
        <v/>
      </c>
      <c r="M175" s="195" t="str">
        <f t="shared" si="60"/>
        <v/>
      </c>
      <c r="N175" s="221" t="str">
        <f t="shared" si="61"/>
        <v/>
      </c>
      <c r="O175" s="226"/>
      <c r="P175" s="215">
        <f t="shared" ca="1" si="68"/>
        <v>1.0123573044347599E-2</v>
      </c>
      <c r="Q175" s="215" t="str">
        <f t="shared" si="69"/>
        <v/>
      </c>
      <c r="R175" s="215" t="str">
        <f t="shared" si="62"/>
        <v/>
      </c>
      <c r="S175" s="225"/>
      <c r="T175" s="215" t="str">
        <f t="shared" si="63"/>
        <v/>
      </c>
      <c r="U175" s="215" t="str">
        <f t="shared" si="64"/>
        <v/>
      </c>
      <c r="V175" s="215" t="str">
        <f t="shared" si="65"/>
        <v/>
      </c>
    </row>
    <row r="176" spans="1:22" ht="15" customHeight="1">
      <c r="A176" s="193">
        <f t="shared" si="50"/>
        <v>2049</v>
      </c>
      <c r="B176" s="195">
        <f t="shared" ca="1" si="66"/>
        <v>1.021683691764951E-2</v>
      </c>
      <c r="C176" s="195">
        <f t="shared" ca="1" si="51"/>
        <v>1.0062209969405154</v>
      </c>
      <c r="D176" s="195" t="str">
        <f t="shared" si="52"/>
        <v/>
      </c>
      <c r="E176" s="220" t="str">
        <f t="shared" si="53"/>
        <v/>
      </c>
      <c r="F176" s="194" t="str">
        <f t="shared" si="67"/>
        <v/>
      </c>
      <c r="G176" s="195" t="str">
        <f t="shared" si="54"/>
        <v/>
      </c>
      <c r="H176" s="195" t="str">
        <f t="shared" si="55"/>
        <v/>
      </c>
      <c r="I176" s="220" t="str">
        <f t="shared" si="56"/>
        <v/>
      </c>
      <c r="J176" s="524" t="str">
        <f t="shared" ca="1" si="57"/>
        <v/>
      </c>
      <c r="K176" s="218" t="str">
        <f t="shared" si="58"/>
        <v/>
      </c>
      <c r="L176" s="218" t="str">
        <f t="shared" si="59"/>
        <v/>
      </c>
      <c r="M176" s="195" t="str">
        <f t="shared" si="60"/>
        <v/>
      </c>
      <c r="N176" s="221" t="str">
        <f t="shared" si="61"/>
        <v/>
      </c>
      <c r="O176" s="226"/>
      <c r="P176" s="215">
        <f t="shared" ca="1" si="68"/>
        <v>1.0123573044347599E-2</v>
      </c>
      <c r="Q176" s="215" t="str">
        <f t="shared" si="69"/>
        <v/>
      </c>
      <c r="R176" s="215" t="str">
        <f t="shared" si="62"/>
        <v/>
      </c>
      <c r="S176" s="225"/>
      <c r="T176" s="215" t="str">
        <f t="shared" si="63"/>
        <v/>
      </c>
      <c r="U176" s="215" t="str">
        <f t="shared" si="64"/>
        <v/>
      </c>
      <c r="V176" s="215" t="str">
        <f t="shared" si="65"/>
        <v/>
      </c>
    </row>
    <row r="177" spans="1:22" ht="15" customHeight="1">
      <c r="A177" s="193">
        <f t="shared" si="50"/>
        <v>2050</v>
      </c>
      <c r="B177" s="195">
        <f t="shared" ca="1" si="66"/>
        <v>1.0248449708273242E-2</v>
      </c>
      <c r="C177" s="195">
        <f t="shared" ca="1" si="51"/>
        <v>1.0189610520627583</v>
      </c>
      <c r="D177" s="195" t="str">
        <f t="shared" si="52"/>
        <v/>
      </c>
      <c r="E177" s="220" t="str">
        <f t="shared" si="53"/>
        <v/>
      </c>
      <c r="F177" s="194" t="str">
        <f t="shared" si="67"/>
        <v/>
      </c>
      <c r="G177" s="195" t="str">
        <f t="shared" si="54"/>
        <v/>
      </c>
      <c r="H177" s="195" t="str">
        <f t="shared" si="55"/>
        <v/>
      </c>
      <c r="I177" s="220" t="str">
        <f t="shared" si="56"/>
        <v/>
      </c>
      <c r="J177" s="524" t="str">
        <f t="shared" ca="1" si="57"/>
        <v/>
      </c>
      <c r="K177" s="218" t="str">
        <f t="shared" si="58"/>
        <v/>
      </c>
      <c r="L177" s="218" t="str">
        <f t="shared" si="59"/>
        <v/>
      </c>
      <c r="M177" s="195" t="str">
        <f t="shared" si="60"/>
        <v/>
      </c>
      <c r="N177" s="221" t="str">
        <f t="shared" si="61"/>
        <v/>
      </c>
      <c r="O177" s="226"/>
      <c r="P177" s="215">
        <f t="shared" ca="1" si="68"/>
        <v>1.0123573044347599E-2</v>
      </c>
      <c r="Q177" s="215" t="str">
        <f t="shared" si="69"/>
        <v/>
      </c>
      <c r="R177" s="215" t="str">
        <f t="shared" si="62"/>
        <v/>
      </c>
      <c r="S177" s="225"/>
      <c r="T177" s="215" t="str">
        <f t="shared" si="63"/>
        <v/>
      </c>
      <c r="U177" s="215" t="str">
        <f t="shared" si="64"/>
        <v/>
      </c>
      <c r="V177" s="215" t="str">
        <f t="shared" si="65"/>
        <v/>
      </c>
    </row>
    <row r="178" spans="1:22" ht="15" customHeight="1">
      <c r="A178" s="193">
        <f t="shared" si="50"/>
        <v>2051</v>
      </c>
      <c r="B178" s="195">
        <f t="shared" ca="1" si="66"/>
        <v>1.0257744595128545E-2</v>
      </c>
      <c r="C178" s="195">
        <f t="shared" ca="1" si="51"/>
        <v>1.0246258043626839</v>
      </c>
      <c r="D178" s="195" t="str">
        <f t="shared" si="52"/>
        <v/>
      </c>
      <c r="E178" s="220" t="str">
        <f t="shared" si="53"/>
        <v/>
      </c>
      <c r="F178" s="194" t="str">
        <f t="shared" si="67"/>
        <v/>
      </c>
      <c r="G178" s="195" t="str">
        <f t="shared" si="54"/>
        <v/>
      </c>
      <c r="H178" s="195" t="str">
        <f t="shared" si="55"/>
        <v/>
      </c>
      <c r="I178" s="220" t="str">
        <f t="shared" si="56"/>
        <v/>
      </c>
      <c r="J178" s="524" t="str">
        <f t="shared" ca="1" si="57"/>
        <v/>
      </c>
      <c r="K178" s="218" t="str">
        <f t="shared" si="58"/>
        <v/>
      </c>
      <c r="L178" s="218" t="str">
        <f t="shared" si="59"/>
        <v/>
      </c>
      <c r="M178" s="195" t="str">
        <f t="shared" si="60"/>
        <v/>
      </c>
      <c r="N178" s="221" t="str">
        <f t="shared" si="61"/>
        <v/>
      </c>
      <c r="O178" s="226"/>
      <c r="P178" s="215">
        <f t="shared" ca="1" si="68"/>
        <v>1.0123573044347599E-2</v>
      </c>
      <c r="Q178" s="215" t="str">
        <f t="shared" si="69"/>
        <v/>
      </c>
      <c r="R178" s="215" t="str">
        <f t="shared" si="62"/>
        <v/>
      </c>
      <c r="S178" s="225"/>
      <c r="T178" s="215" t="str">
        <f t="shared" si="63"/>
        <v/>
      </c>
      <c r="U178" s="215" t="str">
        <f t="shared" si="64"/>
        <v/>
      </c>
      <c r="V178" s="215" t="str">
        <f t="shared" si="65"/>
        <v/>
      </c>
    </row>
    <row r="179" spans="1:22" ht="15" customHeight="1">
      <c r="A179" s="193">
        <f t="shared" si="50"/>
        <v>2052</v>
      </c>
      <c r="B179" s="195">
        <f t="shared" ca="1" si="66"/>
        <v>1.0267047912031721E-2</v>
      </c>
      <c r="C179" s="195">
        <f t="shared" ca="1" si="51"/>
        <v>1.0303220489542479</v>
      </c>
      <c r="D179" s="195" t="str">
        <f t="shared" si="52"/>
        <v/>
      </c>
      <c r="E179" s="220" t="str">
        <f t="shared" si="53"/>
        <v/>
      </c>
      <c r="F179" s="194" t="str">
        <f t="shared" si="67"/>
        <v/>
      </c>
      <c r="G179" s="195" t="str">
        <f t="shared" si="54"/>
        <v/>
      </c>
      <c r="H179" s="195" t="str">
        <f t="shared" si="55"/>
        <v/>
      </c>
      <c r="I179" s="220" t="str">
        <f t="shared" si="56"/>
        <v/>
      </c>
      <c r="J179" s="524" t="str">
        <f t="shared" ca="1" si="57"/>
        <v/>
      </c>
      <c r="K179" s="218" t="str">
        <f t="shared" si="58"/>
        <v/>
      </c>
      <c r="L179" s="218" t="str">
        <f t="shared" si="59"/>
        <v/>
      </c>
      <c r="M179" s="195" t="str">
        <f t="shared" si="60"/>
        <v/>
      </c>
      <c r="N179" s="221" t="str">
        <f t="shared" si="61"/>
        <v/>
      </c>
      <c r="O179" s="226"/>
      <c r="P179" s="215">
        <f t="shared" ca="1" si="68"/>
        <v>1.0123573044347599E-2</v>
      </c>
      <c r="Q179" s="215" t="str">
        <f t="shared" si="69"/>
        <v/>
      </c>
      <c r="R179" s="215" t="str">
        <f t="shared" si="62"/>
        <v/>
      </c>
      <c r="S179" s="225"/>
      <c r="T179" s="215" t="str">
        <f t="shared" si="63"/>
        <v/>
      </c>
      <c r="U179" s="215" t="str">
        <f t="shared" si="64"/>
        <v/>
      </c>
      <c r="V179" s="215" t="str">
        <f t="shared" si="65"/>
        <v/>
      </c>
    </row>
    <row r="180" spans="1:22" ht="15" customHeight="1">
      <c r="A180" s="193">
        <f t="shared" si="50"/>
        <v>2053</v>
      </c>
      <c r="B180" s="195">
        <f t="shared" ca="1" si="66"/>
        <v>1.0276359666628444E-2</v>
      </c>
      <c r="C180" s="195">
        <f t="shared" ca="1" si="51"/>
        <v>1.0360499609138487</v>
      </c>
      <c r="D180" s="195" t="str">
        <f t="shared" si="52"/>
        <v/>
      </c>
      <c r="E180" s="220" t="str">
        <f t="shared" si="53"/>
        <v/>
      </c>
      <c r="F180" s="194" t="str">
        <f t="shared" si="67"/>
        <v/>
      </c>
      <c r="G180" s="195" t="str">
        <f t="shared" si="54"/>
        <v/>
      </c>
      <c r="H180" s="195" t="str">
        <f t="shared" si="55"/>
        <v/>
      </c>
      <c r="I180" s="220" t="str">
        <f t="shared" si="56"/>
        <v/>
      </c>
      <c r="J180" s="524" t="str">
        <f t="shared" ca="1" si="57"/>
        <v/>
      </c>
      <c r="K180" s="218" t="str">
        <f t="shared" si="58"/>
        <v/>
      </c>
      <c r="L180" s="218" t="str">
        <f t="shared" si="59"/>
        <v/>
      </c>
      <c r="M180" s="195" t="str">
        <f t="shared" si="60"/>
        <v/>
      </c>
      <c r="N180" s="221" t="str">
        <f t="shared" si="61"/>
        <v/>
      </c>
      <c r="O180" s="226"/>
      <c r="P180" s="215">
        <f t="shared" ca="1" si="68"/>
        <v>1.0123573044347599E-2</v>
      </c>
      <c r="Q180" s="215" t="str">
        <f t="shared" si="69"/>
        <v/>
      </c>
      <c r="R180" s="215" t="str">
        <f t="shared" si="62"/>
        <v/>
      </c>
      <c r="S180" s="225"/>
      <c r="T180" s="215" t="str">
        <f t="shared" si="63"/>
        <v/>
      </c>
      <c r="U180" s="215" t="str">
        <f t="shared" si="64"/>
        <v/>
      </c>
      <c r="V180" s="215" t="str">
        <f t="shared" si="65"/>
        <v/>
      </c>
    </row>
    <row r="181" spans="1:22" ht="15" customHeight="1">
      <c r="A181" s="193">
        <f t="shared" si="50"/>
        <v>2054</v>
      </c>
      <c r="B181" s="195">
        <f t="shared" ca="1" si="66"/>
        <v>1.0285679866571329E-2</v>
      </c>
      <c r="C181" s="195">
        <f t="shared" ca="1" si="51"/>
        <v>1.0418097162911948</v>
      </c>
      <c r="D181" s="195" t="str">
        <f t="shared" si="52"/>
        <v/>
      </c>
      <c r="E181" s="220" t="str">
        <f t="shared" si="53"/>
        <v/>
      </c>
      <c r="F181" s="194" t="str">
        <f t="shared" si="67"/>
        <v/>
      </c>
      <c r="G181" s="195" t="str">
        <f t="shared" si="54"/>
        <v/>
      </c>
      <c r="H181" s="195" t="str">
        <f t="shared" si="55"/>
        <v/>
      </c>
      <c r="I181" s="220" t="str">
        <f t="shared" si="56"/>
        <v/>
      </c>
      <c r="J181" s="524" t="str">
        <f t="shared" ca="1" si="57"/>
        <v/>
      </c>
      <c r="K181" s="218" t="str">
        <f t="shared" si="58"/>
        <v/>
      </c>
      <c r="L181" s="218" t="str">
        <f t="shared" si="59"/>
        <v/>
      </c>
      <c r="M181" s="195" t="str">
        <f t="shared" si="60"/>
        <v/>
      </c>
      <c r="N181" s="221" t="str">
        <f t="shared" si="61"/>
        <v/>
      </c>
      <c r="O181" s="226"/>
      <c r="P181" s="215">
        <f t="shared" ca="1" si="68"/>
        <v>1.0123573044347599E-2</v>
      </c>
      <c r="Q181" s="215" t="str">
        <f t="shared" si="69"/>
        <v/>
      </c>
      <c r="R181" s="215" t="str">
        <f t="shared" si="62"/>
        <v/>
      </c>
      <c r="S181" s="225"/>
      <c r="T181" s="215" t="str">
        <f t="shared" si="63"/>
        <v/>
      </c>
      <c r="U181" s="215" t="str">
        <f t="shared" si="64"/>
        <v/>
      </c>
      <c r="V181" s="215" t="str">
        <f t="shared" si="65"/>
        <v/>
      </c>
    </row>
    <row r="182" spans="1:22" ht="15" customHeight="1" thickBot="1">
      <c r="A182" s="196" t="str">
        <f t="shared" si="50"/>
        <v/>
      </c>
      <c r="B182" s="195" t="str">
        <f t="shared" si="66"/>
        <v/>
      </c>
      <c r="C182" s="195" t="str">
        <f t="shared" si="51"/>
        <v/>
      </c>
      <c r="D182" s="195" t="str">
        <f t="shared" si="52"/>
        <v/>
      </c>
      <c r="E182" s="220" t="str">
        <f t="shared" si="53"/>
        <v/>
      </c>
      <c r="F182" s="194" t="str">
        <f t="shared" si="67"/>
        <v/>
      </c>
      <c r="G182" s="195" t="str">
        <f t="shared" si="54"/>
        <v/>
      </c>
      <c r="H182" s="195" t="str">
        <f t="shared" si="55"/>
        <v/>
      </c>
      <c r="I182" s="220" t="str">
        <f t="shared" si="56"/>
        <v/>
      </c>
      <c r="J182" s="524" t="str">
        <f t="shared" si="57"/>
        <v/>
      </c>
      <c r="K182" s="218" t="str">
        <f t="shared" si="58"/>
        <v/>
      </c>
      <c r="L182" s="218" t="str">
        <f t="shared" si="59"/>
        <v/>
      </c>
      <c r="M182" s="195" t="str">
        <f t="shared" si="60"/>
        <v/>
      </c>
      <c r="N182" s="221" t="str">
        <f t="shared" si="61"/>
        <v/>
      </c>
      <c r="O182" s="227"/>
      <c r="P182" s="215" t="str">
        <f t="shared" si="68"/>
        <v/>
      </c>
      <c r="Q182" s="215" t="str">
        <f t="shared" si="69"/>
        <v/>
      </c>
      <c r="R182" s="215" t="str">
        <f t="shared" si="62"/>
        <v/>
      </c>
      <c r="S182" s="225"/>
      <c r="T182" s="215" t="str">
        <f t="shared" si="63"/>
        <v/>
      </c>
      <c r="U182" s="215" t="str">
        <f t="shared" si="64"/>
        <v/>
      </c>
      <c r="V182" s="215" t="str">
        <f t="shared" si="65"/>
        <v/>
      </c>
    </row>
    <row r="184" spans="1:22" ht="14" thickBot="1">
      <c r="A184" s="863" t="s">
        <v>1184</v>
      </c>
    </row>
    <row r="185" spans="1:22" ht="29" thickTop="1">
      <c r="A185" s="192" t="s">
        <v>1031</v>
      </c>
      <c r="B185" s="223" t="str">
        <f>IF(B$131="","",B$131&amp;" ($/year)")</f>
        <v>Industrial Electricity ($/year)</v>
      </c>
      <c r="C185" s="223" t="str">
        <f t="shared" ref="C185:N185" si="70">IF(C$131="","",C$131&amp;" ($/year)")</f>
        <v>Industrial Natural Gas ($/year)</v>
      </c>
      <c r="D185" s="223" t="str">
        <f t="shared" si="70"/>
        <v/>
      </c>
      <c r="E185" s="223" t="str">
        <f t="shared" si="70"/>
        <v/>
      </c>
      <c r="F185" s="223" t="str">
        <f t="shared" si="70"/>
        <v/>
      </c>
      <c r="G185" s="223" t="str">
        <f t="shared" si="70"/>
        <v/>
      </c>
      <c r="H185" s="223" t="str">
        <f t="shared" si="70"/>
        <v/>
      </c>
      <c r="I185" s="519" t="str">
        <f t="shared" si="70"/>
        <v/>
      </c>
      <c r="J185" s="223" t="str">
        <f t="shared" ca="1" si="70"/>
        <v/>
      </c>
      <c r="K185" s="223" t="str">
        <f t="shared" si="70"/>
        <v/>
      </c>
      <c r="L185" s="223" t="str">
        <f t="shared" si="70"/>
        <v/>
      </c>
      <c r="M185" s="223" t="str">
        <f t="shared" si="70"/>
        <v/>
      </c>
      <c r="N185" s="223" t="str">
        <f t="shared" si="70"/>
        <v/>
      </c>
    </row>
    <row r="186" spans="1:22">
      <c r="A186" s="193">
        <f>+A139</f>
        <v>2012</v>
      </c>
      <c r="B186" s="195">
        <f>IF($C65="","",IF($C65&lt;0,0,IF(AND($C65=1,start_time&lt;1),-(SUM(B139)*output_kgyear*$E65*percnt_var*start_time+SUM(B139)*output_kgyear*$E65*(1-start_time)),IF($C65&lt;=start_time,-SUM(B139)*output_kgyear*$E65*percnt_var,-SUM(B139)*output_kgyear*$E65))))</f>
        <v>0</v>
      </c>
      <c r="C186" s="195">
        <f t="shared" ref="C186:N186" si="71">IF($C65="","",IF($C65&lt;0,0,IF(AND($C65=1,start_time&lt;1),-(SUM(C139)*output_kgyear*$E65*percnt_var*start_time+SUM(C139)*output_kgyear*$E65*(1-start_time)),IF($C65&lt;=start_time,-SUM(C139)*output_kgyear*$E65*percnt_var,-SUM(C139)*output_kgyear*$E65))))</f>
        <v>0</v>
      </c>
      <c r="D186" s="195">
        <f t="shared" si="71"/>
        <v>0</v>
      </c>
      <c r="E186" s="220">
        <f t="shared" si="71"/>
        <v>0</v>
      </c>
      <c r="F186" s="194">
        <f t="shared" si="71"/>
        <v>0</v>
      </c>
      <c r="G186" s="195">
        <f t="shared" si="71"/>
        <v>0</v>
      </c>
      <c r="H186" s="195">
        <f t="shared" si="71"/>
        <v>0</v>
      </c>
      <c r="I186" s="220">
        <f t="shared" si="71"/>
        <v>0</v>
      </c>
      <c r="J186" s="524">
        <f t="shared" si="71"/>
        <v>0</v>
      </c>
      <c r="K186" s="218">
        <f t="shared" si="71"/>
        <v>0</v>
      </c>
      <c r="L186" s="218">
        <f t="shared" si="71"/>
        <v>0</v>
      </c>
      <c r="M186" s="195">
        <f t="shared" si="71"/>
        <v>0</v>
      </c>
      <c r="N186" s="221">
        <f t="shared" si="71"/>
        <v>0</v>
      </c>
    </row>
    <row r="187" spans="1:22">
      <c r="A187" s="193">
        <f t="shared" ref="A187:A229" si="72">+A140</f>
        <v>2013</v>
      </c>
      <c r="B187" s="195">
        <f t="shared" ref="B187:N187" si="73">IF($C66="","",IF($C66&lt;0,0,IF(AND($C66=1,start_time&lt;1),-(SUM(B140)*output_kgyear*$E66*percnt_var*start_time+SUM(B140)*output_kgyear*$E66*(1-start_time)),IF($C66&lt;=start_time,-SUM(B140)*output_kgyear*$E66*percnt_var,-SUM(B140)*output_kgyear*$E66))))</f>
        <v>0</v>
      </c>
      <c r="C187" s="195">
        <f t="shared" si="73"/>
        <v>0</v>
      </c>
      <c r="D187" s="195">
        <f t="shared" si="73"/>
        <v>0</v>
      </c>
      <c r="E187" s="220">
        <f t="shared" si="73"/>
        <v>0</v>
      </c>
      <c r="F187" s="194">
        <f t="shared" si="73"/>
        <v>0</v>
      </c>
      <c r="G187" s="195">
        <f t="shared" si="73"/>
        <v>0</v>
      </c>
      <c r="H187" s="195">
        <f t="shared" si="73"/>
        <v>0</v>
      </c>
      <c r="I187" s="220">
        <f t="shared" si="73"/>
        <v>0</v>
      </c>
      <c r="J187" s="524">
        <f t="shared" si="73"/>
        <v>0</v>
      </c>
      <c r="K187" s="218">
        <f t="shared" si="73"/>
        <v>0</v>
      </c>
      <c r="L187" s="218">
        <f t="shared" si="73"/>
        <v>0</v>
      </c>
      <c r="M187" s="195">
        <f t="shared" si="73"/>
        <v>0</v>
      </c>
      <c r="N187" s="221">
        <f t="shared" si="73"/>
        <v>0</v>
      </c>
    </row>
    <row r="188" spans="1:22">
      <c r="A188" s="193">
        <f t="shared" si="72"/>
        <v>2014</v>
      </c>
      <c r="B188" s="195">
        <f t="shared" ref="B188:N188" si="74">IF($C67="","",IF($C67&lt;0,0,IF(AND($C67=1,start_time&lt;1),-(SUM(B141)*output_kgyear*$E67*percnt_var*start_time+SUM(B141)*output_kgyear*$E67*(1-start_time)),IF($C67&lt;=start_time,-SUM(B141)*output_kgyear*$E67*percnt_var,-SUM(B141)*output_kgyear*$E67))))</f>
        <v>0</v>
      </c>
      <c r="C188" s="195">
        <f t="shared" si="74"/>
        <v>0</v>
      </c>
      <c r="D188" s="195">
        <f t="shared" si="74"/>
        <v>0</v>
      </c>
      <c r="E188" s="220">
        <f t="shared" si="74"/>
        <v>0</v>
      </c>
      <c r="F188" s="194">
        <f t="shared" si="74"/>
        <v>0</v>
      </c>
      <c r="G188" s="195">
        <f t="shared" si="74"/>
        <v>0</v>
      </c>
      <c r="H188" s="195">
        <f t="shared" si="74"/>
        <v>0</v>
      </c>
      <c r="I188" s="220">
        <f t="shared" si="74"/>
        <v>0</v>
      </c>
      <c r="J188" s="524">
        <f t="shared" si="74"/>
        <v>0</v>
      </c>
      <c r="K188" s="218">
        <f t="shared" si="74"/>
        <v>0</v>
      </c>
      <c r="L188" s="218">
        <f t="shared" si="74"/>
        <v>0</v>
      </c>
      <c r="M188" s="195">
        <f t="shared" si="74"/>
        <v>0</v>
      </c>
      <c r="N188" s="221">
        <f t="shared" si="74"/>
        <v>0</v>
      </c>
    </row>
    <row r="189" spans="1:22">
      <c r="A189" s="193">
        <f t="shared" si="72"/>
        <v>2015</v>
      </c>
      <c r="B189" s="195">
        <f t="shared" ref="B189:N189" ca="1" si="75">IF($C68="","",IF($C68&lt;0,0,IF(AND($C68=1,start_time&lt;1),-(SUM(B142)*output_kgyear*$E68*percnt_var*start_time+SUM(B142)*output_kgyear*$E68*(1-start_time)),IF($C68&lt;=start_time,-SUM(B142)*output_kgyear*$E68*percnt_var,-SUM(B142)*output_kgyear*$E68))))</f>
        <v>-1429401.0278311209</v>
      </c>
      <c r="C189" s="195">
        <f t="shared" ca="1" si="75"/>
        <v>-91718344.338886455</v>
      </c>
      <c r="D189" s="195">
        <f t="shared" ca="1" si="75"/>
        <v>0</v>
      </c>
      <c r="E189" s="220">
        <f t="shared" ca="1" si="75"/>
        <v>0</v>
      </c>
      <c r="F189" s="194">
        <f ca="1">IF($C68="","",IF($C68&lt;0,0,IF(AND($C68=1,start_time&lt;1),-(SUM(F142)*output_kgyear*$E68*percnt_var*start_time+SUM(F142)*output_kgyear*$E68*(1-start_time)),IF($C68&lt;=start_time,-SUM(F142)*output_kgyear*$E68*percnt_var,-SUM(F142)*output_kgyear*$E68))))</f>
        <v>0</v>
      </c>
      <c r="G189" s="195">
        <f t="shared" ca="1" si="75"/>
        <v>0</v>
      </c>
      <c r="H189" s="195">
        <f t="shared" ca="1" si="75"/>
        <v>0</v>
      </c>
      <c r="I189" s="220">
        <f t="shared" ca="1" si="75"/>
        <v>0</v>
      </c>
      <c r="J189" s="524">
        <f t="shared" ca="1" si="75"/>
        <v>0</v>
      </c>
      <c r="K189" s="218">
        <f t="shared" ca="1" si="75"/>
        <v>0</v>
      </c>
      <c r="L189" s="218">
        <f t="shared" ca="1" si="75"/>
        <v>0</v>
      </c>
      <c r="M189" s="195">
        <f t="shared" ca="1" si="75"/>
        <v>0</v>
      </c>
      <c r="N189" s="221">
        <f t="shared" ca="1" si="75"/>
        <v>0</v>
      </c>
    </row>
    <row r="190" spans="1:22">
      <c r="A190" s="193">
        <f t="shared" si="72"/>
        <v>2016</v>
      </c>
      <c r="B190" s="195">
        <f t="shared" ref="B190:N190" ca="1" si="76">IF($C69="","",IF($C69&lt;0,0,IF(AND($C69=1,start_time&lt;1),-(SUM(B143)*output_kgyear*$E69*percnt_var*start_time+SUM(B143)*output_kgyear*$E69*(1-start_time)),IF($C69&lt;=start_time,-SUM(B143)*output_kgyear*$E69*percnt_var,-SUM(B143)*output_kgyear*$E69))))</f>
        <v>-1407009.7820371501</v>
      </c>
      <c r="C190" s="195">
        <f t="shared" ca="1" si="76"/>
        <v>-87593300.163272709</v>
      </c>
      <c r="D190" s="195">
        <f t="shared" ca="1" si="76"/>
        <v>0</v>
      </c>
      <c r="E190" s="220">
        <f t="shared" ca="1" si="76"/>
        <v>0</v>
      </c>
      <c r="F190" s="194">
        <f t="shared" ca="1" si="76"/>
        <v>0</v>
      </c>
      <c r="G190" s="195">
        <f t="shared" ca="1" si="76"/>
        <v>0</v>
      </c>
      <c r="H190" s="195">
        <f t="shared" ca="1" si="76"/>
        <v>0</v>
      </c>
      <c r="I190" s="220">
        <f t="shared" ca="1" si="76"/>
        <v>0</v>
      </c>
      <c r="J190" s="524">
        <f t="shared" ca="1" si="76"/>
        <v>0</v>
      </c>
      <c r="K190" s="218">
        <f t="shared" ca="1" si="76"/>
        <v>0</v>
      </c>
      <c r="L190" s="218">
        <f t="shared" ca="1" si="76"/>
        <v>0</v>
      </c>
      <c r="M190" s="195">
        <f t="shared" ca="1" si="76"/>
        <v>0</v>
      </c>
      <c r="N190" s="221">
        <f t="shared" ca="1" si="76"/>
        <v>0</v>
      </c>
    </row>
    <row r="191" spans="1:22">
      <c r="A191" s="193">
        <f t="shared" si="72"/>
        <v>2017</v>
      </c>
      <c r="B191" s="195">
        <f t="shared" ref="B191:N191" ca="1" si="77">IF($C70="","",IF($C70&lt;0,0,IF(AND($C70=1,start_time&lt;1),-(SUM(B144)*output_kgyear*$E70*percnt_var*start_time+SUM(B144)*output_kgyear*$E70*(1-start_time)),IF($C70&lt;=start_time,-SUM(B144)*output_kgyear*$E70*percnt_var,-SUM(B144)*output_kgyear*$E70))))</f>
        <v>-1491750.1123479411</v>
      </c>
      <c r="C191" s="195">
        <f t="shared" ca="1" si="77"/>
        <v>-104107206.58264181</v>
      </c>
      <c r="D191" s="195">
        <f t="shared" ca="1" si="77"/>
        <v>0</v>
      </c>
      <c r="E191" s="220">
        <f t="shared" ca="1" si="77"/>
        <v>0</v>
      </c>
      <c r="F191" s="194">
        <f t="shared" ca="1" si="77"/>
        <v>0</v>
      </c>
      <c r="G191" s="195">
        <f t="shared" ca="1" si="77"/>
        <v>0</v>
      </c>
      <c r="H191" s="195">
        <f t="shared" ca="1" si="77"/>
        <v>0</v>
      </c>
      <c r="I191" s="220">
        <f t="shared" ca="1" si="77"/>
        <v>0</v>
      </c>
      <c r="J191" s="524">
        <f t="shared" ca="1" si="77"/>
        <v>0</v>
      </c>
      <c r="K191" s="218">
        <f t="shared" ca="1" si="77"/>
        <v>0</v>
      </c>
      <c r="L191" s="218">
        <f t="shared" ca="1" si="77"/>
        <v>0</v>
      </c>
      <c r="M191" s="195">
        <f t="shared" ca="1" si="77"/>
        <v>0</v>
      </c>
      <c r="N191" s="221">
        <f t="shared" ca="1" si="77"/>
        <v>0</v>
      </c>
    </row>
    <row r="192" spans="1:22">
      <c r="A192" s="193">
        <f t="shared" si="72"/>
        <v>2018</v>
      </c>
      <c r="B192" s="195">
        <f t="shared" ref="B192:N192" ca="1" si="78">IF($C71="","",IF($C71&lt;0,0,IF(AND($C71=1,start_time&lt;1),-(SUM(B145)*output_kgyear*$E71*percnt_var*start_time+SUM(B145)*output_kgyear*$E71*(1-start_time)),IF($C71&lt;=start_time,-SUM(B145)*output_kgyear*$E71*percnt_var,-SUM(B145)*output_kgyear*$E71))))</f>
        <v>-1485641.4103468468</v>
      </c>
      <c r="C192" s="195">
        <f t="shared" ca="1" si="78"/>
        <v>-116005532.15770431</v>
      </c>
      <c r="D192" s="195">
        <f t="shared" ca="1" si="78"/>
        <v>0</v>
      </c>
      <c r="E192" s="220">
        <f t="shared" ca="1" si="78"/>
        <v>0</v>
      </c>
      <c r="F192" s="194">
        <f t="shared" ca="1" si="78"/>
        <v>0</v>
      </c>
      <c r="G192" s="195">
        <f t="shared" ca="1" si="78"/>
        <v>0</v>
      </c>
      <c r="H192" s="195">
        <f t="shared" ca="1" si="78"/>
        <v>0</v>
      </c>
      <c r="I192" s="220">
        <f t="shared" ca="1" si="78"/>
        <v>0</v>
      </c>
      <c r="J192" s="524">
        <f t="shared" ca="1" si="78"/>
        <v>0</v>
      </c>
      <c r="K192" s="218">
        <f t="shared" ca="1" si="78"/>
        <v>0</v>
      </c>
      <c r="L192" s="218">
        <f t="shared" ca="1" si="78"/>
        <v>0</v>
      </c>
      <c r="M192" s="195">
        <f t="shared" ca="1" si="78"/>
        <v>0</v>
      </c>
      <c r="N192" s="221">
        <f t="shared" ca="1" si="78"/>
        <v>0</v>
      </c>
    </row>
    <row r="193" spans="1:14">
      <c r="A193" s="193">
        <f t="shared" si="72"/>
        <v>2019</v>
      </c>
      <c r="B193" s="195">
        <f t="shared" ref="B193:N193" ca="1" si="79">IF($C72="","",IF($C72&lt;0,0,IF(AND($C72=1,start_time&lt;1),-(SUM(B146)*output_kgyear*$E72*percnt_var*start_time+SUM(B146)*output_kgyear*$E72*(1-start_time)),IF($C72&lt;=start_time,-SUM(B146)*output_kgyear*$E72*percnt_var,-SUM(B146)*output_kgyear*$E72))))</f>
        <v>-1533387.2100823058</v>
      </c>
      <c r="C193" s="195">
        <f t="shared" ca="1" si="79"/>
        <v>-129584163.35407177</v>
      </c>
      <c r="D193" s="195">
        <f t="shared" ca="1" si="79"/>
        <v>0</v>
      </c>
      <c r="E193" s="220">
        <f t="shared" ca="1" si="79"/>
        <v>0</v>
      </c>
      <c r="F193" s="194">
        <f t="shared" ca="1" si="79"/>
        <v>0</v>
      </c>
      <c r="G193" s="195">
        <f t="shared" ca="1" si="79"/>
        <v>0</v>
      </c>
      <c r="H193" s="195">
        <f t="shared" ca="1" si="79"/>
        <v>0</v>
      </c>
      <c r="I193" s="220">
        <f t="shared" ca="1" si="79"/>
        <v>0</v>
      </c>
      <c r="J193" s="524">
        <f t="shared" ca="1" si="79"/>
        <v>0</v>
      </c>
      <c r="K193" s="218">
        <f t="shared" ca="1" si="79"/>
        <v>0</v>
      </c>
      <c r="L193" s="218">
        <f t="shared" ca="1" si="79"/>
        <v>0</v>
      </c>
      <c r="M193" s="195">
        <f t="shared" ca="1" si="79"/>
        <v>0</v>
      </c>
      <c r="N193" s="221">
        <f t="shared" ca="1" si="79"/>
        <v>0</v>
      </c>
    </row>
    <row r="194" spans="1:14">
      <c r="A194" s="193">
        <f t="shared" si="72"/>
        <v>2020</v>
      </c>
      <c r="B194" s="195">
        <f t="shared" ref="B194:N194" ca="1" si="80">IF($C73="","",IF($C73&lt;0,0,IF(AND($C73=1,start_time&lt;1),-(SUM(B147)*output_kgyear*$E73*percnt_var*start_time+SUM(B147)*output_kgyear*$E73*(1-start_time)),IF($C73&lt;=start_time,-SUM(B147)*output_kgyear*$E73*percnt_var,-SUM(B147)*output_kgyear*$E73))))</f>
        <v>-1591593.0257474079</v>
      </c>
      <c r="C194" s="195">
        <f t="shared" ca="1" si="80"/>
        <v>-143503692.72695649</v>
      </c>
      <c r="D194" s="195">
        <f t="shared" ca="1" si="80"/>
        <v>0</v>
      </c>
      <c r="E194" s="220">
        <f t="shared" ca="1" si="80"/>
        <v>0</v>
      </c>
      <c r="F194" s="194">
        <f t="shared" ca="1" si="80"/>
        <v>0</v>
      </c>
      <c r="G194" s="195">
        <f t="shared" ca="1" si="80"/>
        <v>0</v>
      </c>
      <c r="H194" s="195">
        <f t="shared" ca="1" si="80"/>
        <v>0</v>
      </c>
      <c r="I194" s="220">
        <f t="shared" ca="1" si="80"/>
        <v>0</v>
      </c>
      <c r="J194" s="524">
        <f t="shared" ca="1" si="80"/>
        <v>0</v>
      </c>
      <c r="K194" s="218">
        <f t="shared" ca="1" si="80"/>
        <v>0</v>
      </c>
      <c r="L194" s="218">
        <f t="shared" ca="1" si="80"/>
        <v>0</v>
      </c>
      <c r="M194" s="195">
        <f t="shared" ca="1" si="80"/>
        <v>0</v>
      </c>
      <c r="N194" s="221">
        <f t="shared" ca="1" si="80"/>
        <v>0</v>
      </c>
    </row>
    <row r="195" spans="1:14">
      <c r="A195" s="193">
        <f t="shared" si="72"/>
        <v>2021</v>
      </c>
      <c r="B195" s="195">
        <f t="shared" ref="B195:N195" ca="1" si="81">IF($C74="","",IF($C74&lt;0,0,IF(AND($C74=1,start_time&lt;1),-(SUM(B148)*output_kgyear*$E74*percnt_var*start_time+SUM(B148)*output_kgyear*$E74*(1-start_time)),IF($C74&lt;=start_time,-SUM(B148)*output_kgyear*$E74*percnt_var,-SUM(B148)*output_kgyear*$E74))))</f>
        <v>-1630765.819026452</v>
      </c>
      <c r="C195" s="195">
        <f t="shared" ca="1" si="81"/>
        <v>-146385338.6289781</v>
      </c>
      <c r="D195" s="195">
        <f t="shared" ca="1" si="81"/>
        <v>0</v>
      </c>
      <c r="E195" s="220">
        <f t="shared" ca="1" si="81"/>
        <v>0</v>
      </c>
      <c r="F195" s="194">
        <f t="shared" ca="1" si="81"/>
        <v>0</v>
      </c>
      <c r="G195" s="195">
        <f t="shared" ca="1" si="81"/>
        <v>0</v>
      </c>
      <c r="H195" s="195">
        <f t="shared" ca="1" si="81"/>
        <v>0</v>
      </c>
      <c r="I195" s="220">
        <f t="shared" ca="1" si="81"/>
        <v>0</v>
      </c>
      <c r="J195" s="524">
        <f t="shared" ca="1" si="81"/>
        <v>0</v>
      </c>
      <c r="K195" s="218">
        <f t="shared" ca="1" si="81"/>
        <v>0</v>
      </c>
      <c r="L195" s="218">
        <f t="shared" ca="1" si="81"/>
        <v>0</v>
      </c>
      <c r="M195" s="195">
        <f t="shared" ca="1" si="81"/>
        <v>0</v>
      </c>
      <c r="N195" s="221">
        <f t="shared" ca="1" si="81"/>
        <v>0</v>
      </c>
    </row>
    <row r="196" spans="1:14">
      <c r="A196" s="193">
        <f t="shared" si="72"/>
        <v>2022</v>
      </c>
      <c r="B196" s="195">
        <f t="shared" ref="B196:N196" ca="1" si="82">IF($C75="","",IF($C75&lt;0,0,IF(AND($C75=1,start_time&lt;1),-(SUM(B149)*output_kgyear*$E75*percnt_var*start_time+SUM(B149)*output_kgyear*$E75*(1-start_time)),IF($C75&lt;=start_time,-SUM(B149)*output_kgyear*$E75*percnt_var,-SUM(B149)*output_kgyear*$E75))))</f>
        <v>-1715387.8450344838</v>
      </c>
      <c r="C196" s="195">
        <f t="shared" ca="1" si="82"/>
        <v>-147517641.59523174</v>
      </c>
      <c r="D196" s="195">
        <f t="shared" ca="1" si="82"/>
        <v>0</v>
      </c>
      <c r="E196" s="220">
        <f t="shared" ca="1" si="82"/>
        <v>0</v>
      </c>
      <c r="F196" s="194">
        <f t="shared" ca="1" si="82"/>
        <v>0</v>
      </c>
      <c r="G196" s="195">
        <f t="shared" ca="1" si="82"/>
        <v>0</v>
      </c>
      <c r="H196" s="195">
        <f t="shared" ca="1" si="82"/>
        <v>0</v>
      </c>
      <c r="I196" s="220">
        <f t="shared" ca="1" si="82"/>
        <v>0</v>
      </c>
      <c r="J196" s="524">
        <f t="shared" ca="1" si="82"/>
        <v>0</v>
      </c>
      <c r="K196" s="218">
        <f t="shared" ca="1" si="82"/>
        <v>0</v>
      </c>
      <c r="L196" s="218">
        <f t="shared" ca="1" si="82"/>
        <v>0</v>
      </c>
      <c r="M196" s="195">
        <f t="shared" ca="1" si="82"/>
        <v>0</v>
      </c>
      <c r="N196" s="221">
        <f t="shared" ca="1" si="82"/>
        <v>0</v>
      </c>
    </row>
    <row r="197" spans="1:14">
      <c r="A197" s="193">
        <f t="shared" si="72"/>
        <v>2023</v>
      </c>
      <c r="B197" s="195">
        <f t="shared" ref="B197:N197" ca="1" si="83">IF($C76="","",IF($C76&lt;0,0,IF(AND($C76=1,start_time&lt;1),-(SUM(B150)*output_kgyear*$E76*percnt_var*start_time+SUM(B150)*output_kgyear*$E76*(1-start_time)),IF($C76&lt;=start_time,-SUM(B150)*output_kgyear*$E76*percnt_var,-SUM(B150)*output_kgyear*$E76))))</f>
        <v>-1753520.2580847316</v>
      </c>
      <c r="C197" s="195">
        <f t="shared" ca="1" si="83"/>
        <v>-150664770.74021283</v>
      </c>
      <c r="D197" s="195">
        <f t="shared" ca="1" si="83"/>
        <v>0</v>
      </c>
      <c r="E197" s="220">
        <f t="shared" ca="1" si="83"/>
        <v>0</v>
      </c>
      <c r="F197" s="194">
        <f t="shared" ca="1" si="83"/>
        <v>0</v>
      </c>
      <c r="G197" s="195">
        <f t="shared" ca="1" si="83"/>
        <v>0</v>
      </c>
      <c r="H197" s="195">
        <f t="shared" ca="1" si="83"/>
        <v>0</v>
      </c>
      <c r="I197" s="220">
        <f t="shared" ca="1" si="83"/>
        <v>0</v>
      </c>
      <c r="J197" s="524">
        <f t="shared" ca="1" si="83"/>
        <v>0</v>
      </c>
      <c r="K197" s="218">
        <f t="shared" ca="1" si="83"/>
        <v>0</v>
      </c>
      <c r="L197" s="218">
        <f t="shared" ca="1" si="83"/>
        <v>0</v>
      </c>
      <c r="M197" s="195">
        <f t="shared" ca="1" si="83"/>
        <v>0</v>
      </c>
      <c r="N197" s="221">
        <f t="shared" ca="1" si="83"/>
        <v>0</v>
      </c>
    </row>
    <row r="198" spans="1:14">
      <c r="A198" s="193">
        <f t="shared" si="72"/>
        <v>2024</v>
      </c>
      <c r="B198" s="195">
        <f t="shared" ref="B198:N198" ca="1" si="84">IF($C77="","",IF($C77&lt;0,0,IF(AND($C77=1,start_time&lt;1),-(SUM(B151)*output_kgyear*$E77*percnt_var*start_time+SUM(B151)*output_kgyear*$E77*(1-start_time)),IF($C77&lt;=start_time,-SUM(B151)*output_kgyear*$E77*percnt_var,-SUM(B151)*output_kgyear*$E77))))</f>
        <v>-1782126.7504381235</v>
      </c>
      <c r="C198" s="195">
        <f t="shared" ca="1" si="84"/>
        <v>-156160457.46472067</v>
      </c>
      <c r="D198" s="195">
        <f t="shared" ca="1" si="84"/>
        <v>0</v>
      </c>
      <c r="E198" s="220">
        <f t="shared" ca="1" si="84"/>
        <v>0</v>
      </c>
      <c r="F198" s="194">
        <f t="shared" ca="1" si="84"/>
        <v>0</v>
      </c>
      <c r="G198" s="195">
        <f t="shared" ca="1" si="84"/>
        <v>0</v>
      </c>
      <c r="H198" s="195">
        <f t="shared" ca="1" si="84"/>
        <v>0</v>
      </c>
      <c r="I198" s="220">
        <f t="shared" ca="1" si="84"/>
        <v>0</v>
      </c>
      <c r="J198" s="524">
        <f t="shared" ca="1" si="84"/>
        <v>0</v>
      </c>
      <c r="K198" s="218">
        <f t="shared" ca="1" si="84"/>
        <v>0</v>
      </c>
      <c r="L198" s="218">
        <f t="shared" ca="1" si="84"/>
        <v>0</v>
      </c>
      <c r="M198" s="195">
        <f t="shared" ca="1" si="84"/>
        <v>0</v>
      </c>
      <c r="N198" s="221">
        <f t="shared" ca="1" si="84"/>
        <v>0</v>
      </c>
    </row>
    <row r="199" spans="1:14">
      <c r="A199" s="193">
        <f t="shared" si="72"/>
        <v>2025</v>
      </c>
      <c r="B199" s="195">
        <f t="shared" ref="B199:N199" ca="1" si="85">IF($C78="","",IF($C78&lt;0,0,IF(AND($C78=1,start_time&lt;1),-(SUM(B152)*output_kgyear*$E78*percnt_var*start_time+SUM(B152)*output_kgyear*$E78*(1-start_time)),IF($C78&lt;=start_time,-SUM(B152)*output_kgyear*$E78*percnt_var,-SUM(B152)*output_kgyear*$E78))))</f>
        <v>-1859591.8383090019</v>
      </c>
      <c r="C199" s="195">
        <f t="shared" ca="1" si="85"/>
        <v>-162628481.90351826</v>
      </c>
      <c r="D199" s="195">
        <f t="shared" ca="1" si="85"/>
        <v>0</v>
      </c>
      <c r="E199" s="220">
        <f t="shared" ca="1" si="85"/>
        <v>0</v>
      </c>
      <c r="F199" s="194">
        <f t="shared" ca="1" si="85"/>
        <v>0</v>
      </c>
      <c r="G199" s="195">
        <f t="shared" ca="1" si="85"/>
        <v>0</v>
      </c>
      <c r="H199" s="195">
        <f t="shared" ca="1" si="85"/>
        <v>0</v>
      </c>
      <c r="I199" s="220">
        <f t="shared" ca="1" si="85"/>
        <v>0</v>
      </c>
      <c r="J199" s="524">
        <f t="shared" ca="1" si="85"/>
        <v>0</v>
      </c>
      <c r="K199" s="218">
        <f t="shared" ca="1" si="85"/>
        <v>0</v>
      </c>
      <c r="L199" s="218">
        <f t="shared" ca="1" si="85"/>
        <v>0</v>
      </c>
      <c r="M199" s="195">
        <f t="shared" ca="1" si="85"/>
        <v>0</v>
      </c>
      <c r="N199" s="221">
        <f t="shared" ca="1" si="85"/>
        <v>0</v>
      </c>
    </row>
    <row r="200" spans="1:14">
      <c r="A200" s="193">
        <f t="shared" si="72"/>
        <v>2026</v>
      </c>
      <c r="B200" s="195">
        <f t="shared" ref="B200:N200" ca="1" si="86">IF($C79="","",IF($C79&lt;0,0,IF(AND($C79=1,start_time&lt;1),-(SUM(B153)*output_kgyear*$E79*percnt_var*start_time+SUM(B153)*output_kgyear*$E79*(1-start_time)),IF($C79&lt;=start_time,-SUM(B153)*output_kgyear*$E79*percnt_var,-SUM(B153)*output_kgyear*$E79))))</f>
        <v>-1914167.8146434133</v>
      </c>
      <c r="C200" s="195">
        <f t="shared" ca="1" si="86"/>
        <v>-169407318.44551924</v>
      </c>
      <c r="D200" s="195">
        <f t="shared" ca="1" si="86"/>
        <v>0</v>
      </c>
      <c r="E200" s="220">
        <f t="shared" ca="1" si="86"/>
        <v>0</v>
      </c>
      <c r="F200" s="194">
        <f t="shared" ca="1" si="86"/>
        <v>0</v>
      </c>
      <c r="G200" s="195">
        <f t="shared" ca="1" si="86"/>
        <v>0</v>
      </c>
      <c r="H200" s="195">
        <f t="shared" ca="1" si="86"/>
        <v>0</v>
      </c>
      <c r="I200" s="220">
        <f t="shared" ca="1" si="86"/>
        <v>0</v>
      </c>
      <c r="J200" s="524">
        <f t="shared" ca="1" si="86"/>
        <v>0</v>
      </c>
      <c r="K200" s="218">
        <f t="shared" ca="1" si="86"/>
        <v>0</v>
      </c>
      <c r="L200" s="218">
        <f t="shared" ca="1" si="86"/>
        <v>0</v>
      </c>
      <c r="M200" s="195">
        <f t="shared" ca="1" si="86"/>
        <v>0</v>
      </c>
      <c r="N200" s="221">
        <f t="shared" ca="1" si="86"/>
        <v>0</v>
      </c>
    </row>
    <row r="201" spans="1:14">
      <c r="A201" s="193">
        <f t="shared" si="72"/>
        <v>2027</v>
      </c>
      <c r="B201" s="195">
        <f t="shared" ref="B201:N201" ca="1" si="87">IF($C80="","",IF($C80&lt;0,0,IF(AND($C80=1,start_time&lt;1),-(SUM(B154)*output_kgyear*$E80*percnt_var*start_time+SUM(B154)*output_kgyear*$E80*(1-start_time)),IF($C80&lt;=start_time,-SUM(B154)*output_kgyear*$E80*percnt_var,-SUM(B154)*output_kgyear*$E80))))</f>
        <v>-1961775.4609954297</v>
      </c>
      <c r="C201" s="195">
        <f t="shared" ca="1" si="87"/>
        <v>-175637346.02705458</v>
      </c>
      <c r="D201" s="195">
        <f t="shared" ca="1" si="87"/>
        <v>0</v>
      </c>
      <c r="E201" s="220">
        <f t="shared" ca="1" si="87"/>
        <v>0</v>
      </c>
      <c r="F201" s="194">
        <f t="shared" ca="1" si="87"/>
        <v>0</v>
      </c>
      <c r="G201" s="195">
        <f t="shared" ca="1" si="87"/>
        <v>0</v>
      </c>
      <c r="H201" s="195">
        <f t="shared" ca="1" si="87"/>
        <v>0</v>
      </c>
      <c r="I201" s="220">
        <f t="shared" ca="1" si="87"/>
        <v>0</v>
      </c>
      <c r="J201" s="524">
        <f t="shared" ca="1" si="87"/>
        <v>0</v>
      </c>
      <c r="K201" s="218">
        <f t="shared" ca="1" si="87"/>
        <v>0</v>
      </c>
      <c r="L201" s="218">
        <f t="shared" ca="1" si="87"/>
        <v>0</v>
      </c>
      <c r="M201" s="195">
        <f t="shared" ca="1" si="87"/>
        <v>0</v>
      </c>
      <c r="N201" s="221">
        <f t="shared" ca="1" si="87"/>
        <v>0</v>
      </c>
    </row>
    <row r="202" spans="1:14">
      <c r="A202" s="193">
        <f t="shared" si="72"/>
        <v>2028</v>
      </c>
      <c r="B202" s="195">
        <f t="shared" ref="B202:N202" ca="1" si="88">IF($C81="","",IF($C81&lt;0,0,IF(AND($C81=1,start_time&lt;1),-(SUM(B155)*output_kgyear*$E81*percnt_var*start_time+SUM(B155)*output_kgyear*$E81*(1-start_time)),IF($C81&lt;=start_time,-SUM(B155)*output_kgyear*$E81*percnt_var,-SUM(B155)*output_kgyear*$E81))))</f>
        <v>-2012038.043381056</v>
      </c>
      <c r="C202" s="195">
        <f t="shared" ca="1" si="88"/>
        <v>-182016636.36427397</v>
      </c>
      <c r="D202" s="195">
        <f t="shared" ca="1" si="88"/>
        <v>0</v>
      </c>
      <c r="E202" s="220">
        <f t="shared" ca="1" si="88"/>
        <v>0</v>
      </c>
      <c r="F202" s="194">
        <f t="shared" ca="1" si="88"/>
        <v>0</v>
      </c>
      <c r="G202" s="195">
        <f t="shared" ca="1" si="88"/>
        <v>0</v>
      </c>
      <c r="H202" s="195">
        <f t="shared" ca="1" si="88"/>
        <v>0</v>
      </c>
      <c r="I202" s="220">
        <f t="shared" ca="1" si="88"/>
        <v>0</v>
      </c>
      <c r="J202" s="524">
        <f t="shared" ca="1" si="88"/>
        <v>0</v>
      </c>
      <c r="K202" s="218">
        <f t="shared" ca="1" si="88"/>
        <v>0</v>
      </c>
      <c r="L202" s="218">
        <f t="shared" ca="1" si="88"/>
        <v>0</v>
      </c>
      <c r="M202" s="195">
        <f t="shared" ca="1" si="88"/>
        <v>0</v>
      </c>
      <c r="N202" s="221">
        <f t="shared" ca="1" si="88"/>
        <v>0</v>
      </c>
    </row>
    <row r="203" spans="1:14">
      <c r="A203" s="193">
        <f t="shared" si="72"/>
        <v>2029</v>
      </c>
      <c r="B203" s="195">
        <f t="shared" ref="B203:N203" ca="1" si="89">IF($C82="","",IF($C82&lt;0,0,IF(AND($C82=1,start_time&lt;1),-(SUM(B156)*output_kgyear*$E82*percnt_var*start_time+SUM(B156)*output_kgyear*$E82*(1-start_time)),IF($C82&lt;=start_time,-SUM(B156)*output_kgyear*$E82*percnt_var,-SUM(B156)*output_kgyear*$E82))))</f>
        <v>-2060665.5342137944</v>
      </c>
      <c r="C203" s="195">
        <f t="shared" ca="1" si="89"/>
        <v>-188079695.81632641</v>
      </c>
      <c r="D203" s="195">
        <f t="shared" ca="1" si="89"/>
        <v>0</v>
      </c>
      <c r="E203" s="220">
        <f t="shared" ca="1" si="89"/>
        <v>0</v>
      </c>
      <c r="F203" s="194">
        <f t="shared" ca="1" si="89"/>
        <v>0</v>
      </c>
      <c r="G203" s="195">
        <f t="shared" ca="1" si="89"/>
        <v>0</v>
      </c>
      <c r="H203" s="195">
        <f t="shared" ca="1" si="89"/>
        <v>0</v>
      </c>
      <c r="I203" s="220">
        <f t="shared" ca="1" si="89"/>
        <v>0</v>
      </c>
      <c r="J203" s="524">
        <f t="shared" ca="1" si="89"/>
        <v>0</v>
      </c>
      <c r="K203" s="218">
        <f t="shared" ca="1" si="89"/>
        <v>0</v>
      </c>
      <c r="L203" s="218">
        <f t="shared" ca="1" si="89"/>
        <v>0</v>
      </c>
      <c r="M203" s="195">
        <f t="shared" ca="1" si="89"/>
        <v>0</v>
      </c>
      <c r="N203" s="221">
        <f t="shared" ca="1" si="89"/>
        <v>0</v>
      </c>
    </row>
    <row r="204" spans="1:14">
      <c r="A204" s="193">
        <f t="shared" si="72"/>
        <v>2030</v>
      </c>
      <c r="B204" s="195">
        <f t="shared" ref="B204:N204" ca="1" si="90">IF($C83="","",IF($C83&lt;0,0,IF(AND($C83=1,start_time&lt;1),-(SUM(B157)*output_kgyear*$E83*percnt_var*start_time+SUM(B157)*output_kgyear*$E83*(1-start_time)),IF($C83&lt;=start_time,-SUM(B157)*output_kgyear*$E83*percnt_var,-SUM(B157)*output_kgyear*$E83))))</f>
        <v>-2107179.8201879896</v>
      </c>
      <c r="C204" s="195">
        <f t="shared" ca="1" si="90"/>
        <v>-192316214.60120609</v>
      </c>
      <c r="D204" s="195">
        <f t="shared" ca="1" si="90"/>
        <v>0</v>
      </c>
      <c r="E204" s="220">
        <f t="shared" ca="1" si="90"/>
        <v>0</v>
      </c>
      <c r="F204" s="194">
        <f t="shared" ca="1" si="90"/>
        <v>0</v>
      </c>
      <c r="G204" s="195">
        <f t="shared" ca="1" si="90"/>
        <v>0</v>
      </c>
      <c r="H204" s="195">
        <f t="shared" ca="1" si="90"/>
        <v>0</v>
      </c>
      <c r="I204" s="220">
        <f t="shared" ca="1" si="90"/>
        <v>0</v>
      </c>
      <c r="J204" s="524">
        <f t="shared" ca="1" si="90"/>
        <v>0</v>
      </c>
      <c r="K204" s="218">
        <f t="shared" ca="1" si="90"/>
        <v>0</v>
      </c>
      <c r="L204" s="218">
        <f t="shared" ca="1" si="90"/>
        <v>0</v>
      </c>
      <c r="M204" s="195">
        <f t="shared" ca="1" si="90"/>
        <v>0</v>
      </c>
      <c r="N204" s="221">
        <f t="shared" ca="1" si="90"/>
        <v>0</v>
      </c>
    </row>
    <row r="205" spans="1:14">
      <c r="A205" s="193">
        <f t="shared" si="72"/>
        <v>2031</v>
      </c>
      <c r="B205" s="195">
        <f t="shared" ref="B205:N205" ca="1" si="91">IF($C84="","",IF($C84&lt;0,0,IF(AND($C84=1,start_time&lt;1),-(SUM(B158)*output_kgyear*$E84*percnt_var*start_time+SUM(B158)*output_kgyear*$E84*(1-start_time)),IF($C84&lt;=start_time,-SUM(B158)*output_kgyear*$E84*percnt_var,-SUM(B158)*output_kgyear*$E84))))</f>
        <v>-2149936.4473066363</v>
      </c>
      <c r="C205" s="195">
        <f t="shared" ca="1" si="91"/>
        <v>-196811272.3755669</v>
      </c>
      <c r="D205" s="195">
        <f t="shared" ca="1" si="91"/>
        <v>0</v>
      </c>
      <c r="E205" s="220">
        <f t="shared" ca="1" si="91"/>
        <v>0</v>
      </c>
      <c r="F205" s="194">
        <f t="shared" ca="1" si="91"/>
        <v>0</v>
      </c>
      <c r="G205" s="195">
        <f t="shared" ca="1" si="91"/>
        <v>0</v>
      </c>
      <c r="H205" s="195">
        <f t="shared" ca="1" si="91"/>
        <v>0</v>
      </c>
      <c r="I205" s="220">
        <f t="shared" ca="1" si="91"/>
        <v>0</v>
      </c>
      <c r="J205" s="524">
        <f t="shared" ca="1" si="91"/>
        <v>0</v>
      </c>
      <c r="K205" s="218">
        <f t="shared" ca="1" si="91"/>
        <v>0</v>
      </c>
      <c r="L205" s="218">
        <f t="shared" ca="1" si="91"/>
        <v>0</v>
      </c>
      <c r="M205" s="195">
        <f t="shared" ca="1" si="91"/>
        <v>0</v>
      </c>
      <c r="N205" s="221">
        <f t="shared" ca="1" si="91"/>
        <v>0</v>
      </c>
    </row>
    <row r="206" spans="1:14">
      <c r="A206" s="193">
        <f t="shared" si="72"/>
        <v>2032</v>
      </c>
      <c r="B206" s="195">
        <f t="shared" ref="B206:N206" ca="1" si="92">IF($C85="","",IF($C85&lt;0,0,IF(AND($C85=1,start_time&lt;1),-(SUM(B159)*output_kgyear*$E85*percnt_var*start_time+SUM(B159)*output_kgyear*$E85*(1-start_time)),IF($C85&lt;=start_time,-SUM(B159)*output_kgyear*$E85*percnt_var,-SUM(B159)*output_kgyear*$E85))))</f>
        <v>-2185786.9806175437</v>
      </c>
      <c r="C206" s="195">
        <f t="shared" ca="1" si="92"/>
        <v>-200048125.39744222</v>
      </c>
      <c r="D206" s="195">
        <f t="shared" ca="1" si="92"/>
        <v>0</v>
      </c>
      <c r="E206" s="220">
        <f t="shared" ca="1" si="92"/>
        <v>0</v>
      </c>
      <c r="F206" s="194">
        <f t="shared" ca="1" si="92"/>
        <v>0</v>
      </c>
      <c r="G206" s="195">
        <f t="shared" ca="1" si="92"/>
        <v>0</v>
      </c>
      <c r="H206" s="195">
        <f t="shared" ca="1" si="92"/>
        <v>0</v>
      </c>
      <c r="I206" s="220">
        <f t="shared" ca="1" si="92"/>
        <v>0</v>
      </c>
      <c r="J206" s="524">
        <f t="shared" ca="1" si="92"/>
        <v>0</v>
      </c>
      <c r="K206" s="218">
        <f t="shared" ca="1" si="92"/>
        <v>0</v>
      </c>
      <c r="L206" s="218">
        <f t="shared" ca="1" si="92"/>
        <v>0</v>
      </c>
      <c r="M206" s="195">
        <f t="shared" ca="1" si="92"/>
        <v>0</v>
      </c>
      <c r="N206" s="221">
        <f t="shared" ca="1" si="92"/>
        <v>0</v>
      </c>
    </row>
    <row r="207" spans="1:14">
      <c r="A207" s="193">
        <f t="shared" si="72"/>
        <v>2033</v>
      </c>
      <c r="B207" s="195">
        <f t="shared" ref="B207:N207" ca="1" si="93">IF($C86="","",IF($C86&lt;0,0,IF(AND($C86=1,start_time&lt;1),-(SUM(B160)*output_kgyear*$E86*percnt_var*start_time+SUM(B160)*output_kgyear*$E86*(1-start_time)),IF($C86&lt;=start_time,-SUM(B160)*output_kgyear*$E86*percnt_var,-SUM(B160)*output_kgyear*$E86))))</f>
        <v>-2219355.625624924</v>
      </c>
      <c r="C207" s="195">
        <f t="shared" ca="1" si="93"/>
        <v>-201824591.12517053</v>
      </c>
      <c r="D207" s="195">
        <f t="shared" ca="1" si="93"/>
        <v>0</v>
      </c>
      <c r="E207" s="220">
        <f t="shared" ca="1" si="93"/>
        <v>0</v>
      </c>
      <c r="F207" s="194">
        <f t="shared" ca="1" si="93"/>
        <v>0</v>
      </c>
      <c r="G207" s="195">
        <f t="shared" ca="1" si="93"/>
        <v>0</v>
      </c>
      <c r="H207" s="195">
        <f t="shared" ca="1" si="93"/>
        <v>0</v>
      </c>
      <c r="I207" s="220">
        <f t="shared" ca="1" si="93"/>
        <v>0</v>
      </c>
      <c r="J207" s="524">
        <f t="shared" ca="1" si="93"/>
        <v>0</v>
      </c>
      <c r="K207" s="218">
        <f t="shared" ca="1" si="93"/>
        <v>0</v>
      </c>
      <c r="L207" s="218">
        <f t="shared" ca="1" si="93"/>
        <v>0</v>
      </c>
      <c r="M207" s="195">
        <f t="shared" ca="1" si="93"/>
        <v>0</v>
      </c>
      <c r="N207" s="221">
        <f t="shared" ca="1" si="93"/>
        <v>0</v>
      </c>
    </row>
    <row r="208" spans="1:14">
      <c r="A208" s="193">
        <f t="shared" si="72"/>
        <v>2034</v>
      </c>
      <c r="B208" s="195">
        <f t="shared" ref="B208:N208" ca="1" si="94">IF($C87="","",IF($C87&lt;0,0,IF(AND($C87=1,start_time&lt;1),-(SUM(B161)*output_kgyear*$E87*percnt_var*start_time+SUM(B161)*output_kgyear*$E87*(1-start_time)),IF($C87&lt;=start_time,-SUM(B161)*output_kgyear*$E87*percnt_var,-SUM(B161)*output_kgyear*$E87))))</f>
        <v>-2254950.7278573625</v>
      </c>
      <c r="C208" s="195">
        <f t="shared" ca="1" si="94"/>
        <v>-205606817.95988864</v>
      </c>
      <c r="D208" s="195">
        <f t="shared" ca="1" si="94"/>
        <v>0</v>
      </c>
      <c r="E208" s="220">
        <f t="shared" ca="1" si="94"/>
        <v>0</v>
      </c>
      <c r="F208" s="194">
        <f t="shared" ca="1" si="94"/>
        <v>0</v>
      </c>
      <c r="G208" s="195">
        <f t="shared" ca="1" si="94"/>
        <v>0</v>
      </c>
      <c r="H208" s="195">
        <f t="shared" ca="1" si="94"/>
        <v>0</v>
      </c>
      <c r="I208" s="220">
        <f t="shared" ca="1" si="94"/>
        <v>0</v>
      </c>
      <c r="J208" s="524">
        <f t="shared" ca="1" si="94"/>
        <v>0</v>
      </c>
      <c r="K208" s="218">
        <f t="shared" ca="1" si="94"/>
        <v>0</v>
      </c>
      <c r="L208" s="218">
        <f t="shared" ca="1" si="94"/>
        <v>0</v>
      </c>
      <c r="M208" s="195">
        <f t="shared" ca="1" si="94"/>
        <v>0</v>
      </c>
      <c r="N208" s="221">
        <f t="shared" ca="1" si="94"/>
        <v>0</v>
      </c>
    </row>
    <row r="209" spans="1:14">
      <c r="A209" s="193">
        <f t="shared" si="72"/>
        <v>2035</v>
      </c>
      <c r="B209" s="195">
        <f t="shared" ref="B209:N209" ca="1" si="95">IF($C88="","",IF($C88&lt;0,0,IF(AND($C88=1,start_time&lt;1),-(SUM(B162)*output_kgyear*$E88*percnt_var*start_time+SUM(B162)*output_kgyear*$E88*(1-start_time)),IF($C88&lt;=start_time,-SUM(B162)*output_kgyear*$E88*percnt_var,-SUM(B162)*output_kgyear*$E88))))</f>
        <v>-2305919.8384668166</v>
      </c>
      <c r="C209" s="195">
        <f t="shared" ca="1" si="95"/>
        <v>-212768587.75811684</v>
      </c>
      <c r="D209" s="195">
        <f t="shared" ca="1" si="95"/>
        <v>0</v>
      </c>
      <c r="E209" s="220">
        <f t="shared" ca="1" si="95"/>
        <v>0</v>
      </c>
      <c r="F209" s="194">
        <f t="shared" ca="1" si="95"/>
        <v>0</v>
      </c>
      <c r="G209" s="195">
        <f t="shared" ca="1" si="95"/>
        <v>0</v>
      </c>
      <c r="H209" s="195">
        <f t="shared" ca="1" si="95"/>
        <v>0</v>
      </c>
      <c r="I209" s="220">
        <f t="shared" ca="1" si="95"/>
        <v>0</v>
      </c>
      <c r="J209" s="524">
        <f t="shared" ca="1" si="95"/>
        <v>0</v>
      </c>
      <c r="K209" s="218">
        <f t="shared" ca="1" si="95"/>
        <v>0</v>
      </c>
      <c r="L209" s="218">
        <f t="shared" ca="1" si="95"/>
        <v>0</v>
      </c>
      <c r="M209" s="195">
        <f t="shared" ca="1" si="95"/>
        <v>0</v>
      </c>
      <c r="N209" s="221">
        <f t="shared" ca="1" si="95"/>
        <v>0</v>
      </c>
    </row>
    <row r="210" spans="1:14">
      <c r="A210" s="193">
        <f t="shared" si="72"/>
        <v>2036</v>
      </c>
      <c r="B210" s="195">
        <f t="shared" ref="B210:N210" ca="1" si="96">IF($C89="","",IF($C89&lt;0,0,IF(AND($C89=1,start_time&lt;1),-(SUM(B163)*output_kgyear*$E89*percnt_var*start_time+SUM(B163)*output_kgyear*$E89*(1-start_time)),IF($C89&lt;=start_time,-SUM(B163)*output_kgyear*$E89*percnt_var,-SUM(B163)*output_kgyear*$E89))))</f>
        <v>-2358275.7184592378</v>
      </c>
      <c r="C210" s="195">
        <f t="shared" ca="1" si="96"/>
        <v>-216955217.17847958</v>
      </c>
      <c r="D210" s="195">
        <f t="shared" ca="1" si="96"/>
        <v>0</v>
      </c>
      <c r="E210" s="220">
        <f t="shared" ca="1" si="96"/>
        <v>0</v>
      </c>
      <c r="F210" s="194">
        <f t="shared" ca="1" si="96"/>
        <v>0</v>
      </c>
      <c r="G210" s="195">
        <f t="shared" ca="1" si="96"/>
        <v>0</v>
      </c>
      <c r="H210" s="195">
        <f t="shared" ca="1" si="96"/>
        <v>0</v>
      </c>
      <c r="I210" s="220">
        <f t="shared" ca="1" si="96"/>
        <v>0</v>
      </c>
      <c r="J210" s="524">
        <f t="shared" ca="1" si="96"/>
        <v>0</v>
      </c>
      <c r="K210" s="218">
        <f t="shared" ca="1" si="96"/>
        <v>0</v>
      </c>
      <c r="L210" s="218">
        <f t="shared" ca="1" si="96"/>
        <v>0</v>
      </c>
      <c r="M210" s="195">
        <f t="shared" ca="1" si="96"/>
        <v>0</v>
      </c>
      <c r="N210" s="221">
        <f t="shared" ca="1" si="96"/>
        <v>0</v>
      </c>
    </row>
    <row r="211" spans="1:14">
      <c r="A211" s="193">
        <f t="shared" si="72"/>
        <v>2037</v>
      </c>
      <c r="B211" s="195">
        <f t="shared" ref="B211:N211" ca="1" si="97">IF($C90="","",IF($C90&lt;0,0,IF(AND($C90=1,start_time&lt;1),-(SUM(B164)*output_kgyear*$E90*percnt_var*start_time+SUM(B164)*output_kgyear*$E90*(1-start_time)),IF($C90&lt;=start_time,-SUM(B164)*output_kgyear*$E90*percnt_var,-SUM(B164)*output_kgyear*$E90))))</f>
        <v>-2401265.9949692348</v>
      </c>
      <c r="C211" s="195">
        <f t="shared" ca="1" si="97"/>
        <v>-221482088.09943086</v>
      </c>
      <c r="D211" s="195">
        <f t="shared" ca="1" si="97"/>
        <v>0</v>
      </c>
      <c r="E211" s="220">
        <f t="shared" ca="1" si="97"/>
        <v>0</v>
      </c>
      <c r="F211" s="194">
        <f t="shared" ca="1" si="97"/>
        <v>0</v>
      </c>
      <c r="G211" s="195">
        <f t="shared" ca="1" si="97"/>
        <v>0</v>
      </c>
      <c r="H211" s="195">
        <f t="shared" ca="1" si="97"/>
        <v>0</v>
      </c>
      <c r="I211" s="220">
        <f t="shared" ca="1" si="97"/>
        <v>0</v>
      </c>
      <c r="J211" s="524">
        <f t="shared" ca="1" si="97"/>
        <v>0</v>
      </c>
      <c r="K211" s="218">
        <f t="shared" ca="1" si="97"/>
        <v>0</v>
      </c>
      <c r="L211" s="218">
        <f t="shared" ca="1" si="97"/>
        <v>0</v>
      </c>
      <c r="M211" s="195">
        <f t="shared" ca="1" si="97"/>
        <v>0</v>
      </c>
      <c r="N211" s="221">
        <f t="shared" ca="1" si="97"/>
        <v>0</v>
      </c>
    </row>
    <row r="212" spans="1:14">
      <c r="A212" s="193">
        <f t="shared" si="72"/>
        <v>2038</v>
      </c>
      <c r="B212" s="195">
        <f t="shared" ref="B212:N212" ca="1" si="98">IF($C91="","",IF($C91&lt;0,0,IF(AND($C91=1,start_time&lt;1),-(SUM(B165)*output_kgyear*$E91*percnt_var*start_time+SUM(B165)*output_kgyear*$E91*(1-start_time)),IF($C91&lt;=start_time,-SUM(B165)*output_kgyear*$E91*percnt_var,-SUM(B165)*output_kgyear*$E91))))</f>
        <v>-2447433.534928055</v>
      </c>
      <c r="C212" s="195">
        <f t="shared" ca="1" si="98"/>
        <v>-225470332.83936498</v>
      </c>
      <c r="D212" s="195">
        <f t="shared" ca="1" si="98"/>
        <v>0</v>
      </c>
      <c r="E212" s="220">
        <f t="shared" ca="1" si="98"/>
        <v>0</v>
      </c>
      <c r="F212" s="194">
        <f t="shared" ca="1" si="98"/>
        <v>0</v>
      </c>
      <c r="G212" s="195">
        <f t="shared" ca="1" si="98"/>
        <v>0</v>
      </c>
      <c r="H212" s="195">
        <f t="shared" ca="1" si="98"/>
        <v>0</v>
      </c>
      <c r="I212" s="220">
        <f t="shared" ca="1" si="98"/>
        <v>0</v>
      </c>
      <c r="J212" s="524">
        <f t="shared" ca="1" si="98"/>
        <v>0</v>
      </c>
      <c r="K212" s="218">
        <f t="shared" ca="1" si="98"/>
        <v>0</v>
      </c>
      <c r="L212" s="218">
        <f t="shared" ca="1" si="98"/>
        <v>0</v>
      </c>
      <c r="M212" s="195">
        <f t="shared" ca="1" si="98"/>
        <v>0</v>
      </c>
      <c r="N212" s="221">
        <f t="shared" ca="1" si="98"/>
        <v>0</v>
      </c>
    </row>
    <row r="213" spans="1:14">
      <c r="A213" s="193">
        <f t="shared" si="72"/>
        <v>2039</v>
      </c>
      <c r="B213" s="195">
        <f t="shared" ref="B213:N213" ca="1" si="99">IF($C92="","",IF($C92&lt;0,0,IF(AND($C92=1,start_time&lt;1),-(SUM(B166)*output_kgyear*$E92*percnt_var*start_time+SUM(B166)*output_kgyear*$E92*(1-start_time)),IF($C92&lt;=start_time,-SUM(B166)*output_kgyear*$E92*percnt_var,-SUM(B166)*output_kgyear*$E92))))</f>
        <v>-2495864.9031787231</v>
      </c>
      <c r="C213" s="195">
        <f t="shared" ca="1" si="99"/>
        <v>-230626639.32689637</v>
      </c>
      <c r="D213" s="195">
        <f t="shared" ca="1" si="99"/>
        <v>0</v>
      </c>
      <c r="E213" s="220">
        <f t="shared" ca="1" si="99"/>
        <v>0</v>
      </c>
      <c r="F213" s="194">
        <f t="shared" ca="1" si="99"/>
        <v>0</v>
      </c>
      <c r="G213" s="195">
        <f t="shared" ca="1" si="99"/>
        <v>0</v>
      </c>
      <c r="H213" s="195">
        <f t="shared" ca="1" si="99"/>
        <v>0</v>
      </c>
      <c r="I213" s="220">
        <f t="shared" ca="1" si="99"/>
        <v>0</v>
      </c>
      <c r="J213" s="524">
        <f t="shared" ca="1" si="99"/>
        <v>0</v>
      </c>
      <c r="K213" s="218">
        <f t="shared" ca="1" si="99"/>
        <v>0</v>
      </c>
      <c r="L213" s="218">
        <f t="shared" ca="1" si="99"/>
        <v>0</v>
      </c>
      <c r="M213" s="195">
        <f t="shared" ca="1" si="99"/>
        <v>0</v>
      </c>
      <c r="N213" s="221">
        <f t="shared" ca="1" si="99"/>
        <v>0</v>
      </c>
    </row>
    <row r="214" spans="1:14">
      <c r="A214" s="193">
        <f t="shared" si="72"/>
        <v>2040</v>
      </c>
      <c r="B214" s="195">
        <f t="shared" ref="B214:N214" ca="1" si="100">IF($C93="","",IF($C93&lt;0,0,IF(AND($C93=1,start_time&lt;1),-(SUM(B167)*output_kgyear*$E93*percnt_var*start_time+SUM(B167)*output_kgyear*$E93*(1-start_time)),IF($C93&lt;=start_time,-SUM(B167)*output_kgyear*$E93*percnt_var,-SUM(B167)*output_kgyear*$E93))))</f>
        <v>-2537322.9986025458</v>
      </c>
      <c r="C214" s="195">
        <f t="shared" ca="1" si="100"/>
        <v>-233228334.99903774</v>
      </c>
      <c r="D214" s="195">
        <f t="shared" ca="1" si="100"/>
        <v>0</v>
      </c>
      <c r="E214" s="220">
        <f t="shared" ca="1" si="100"/>
        <v>0</v>
      </c>
      <c r="F214" s="194">
        <f t="shared" ca="1" si="100"/>
        <v>0</v>
      </c>
      <c r="G214" s="195">
        <f t="shared" ca="1" si="100"/>
        <v>0</v>
      </c>
      <c r="H214" s="195">
        <f t="shared" ca="1" si="100"/>
        <v>0</v>
      </c>
      <c r="I214" s="220">
        <f t="shared" ca="1" si="100"/>
        <v>0</v>
      </c>
      <c r="J214" s="524">
        <f t="shared" ca="1" si="100"/>
        <v>0</v>
      </c>
      <c r="K214" s="218">
        <f t="shared" ca="1" si="100"/>
        <v>0</v>
      </c>
      <c r="L214" s="218">
        <f t="shared" ca="1" si="100"/>
        <v>0</v>
      </c>
      <c r="M214" s="195">
        <f t="shared" ca="1" si="100"/>
        <v>0</v>
      </c>
      <c r="N214" s="221">
        <f t="shared" ca="1" si="100"/>
        <v>0</v>
      </c>
    </row>
    <row r="215" spans="1:14">
      <c r="A215" s="193">
        <f t="shared" si="72"/>
        <v>2041</v>
      </c>
      <c r="B215" s="195">
        <f t="shared" ref="B215:N215" ca="1" si="101">IF($C94="","",IF($C94&lt;0,0,IF(AND($C94=1,start_time&lt;1),-(SUM(B168)*output_kgyear*$E94*percnt_var*start_time+SUM(B168)*output_kgyear*$E94*(1-start_time)),IF($C94&lt;=start_time,-SUM(B168)*output_kgyear*$E94*percnt_var,-SUM(B168)*output_kgyear*$E94))))</f>
        <v>-2577928.2619606713</v>
      </c>
      <c r="C215" s="195">
        <f t="shared" ca="1" si="101"/>
        <v>-237851891.85648128</v>
      </c>
      <c r="D215" s="195">
        <f t="shared" ca="1" si="101"/>
        <v>0</v>
      </c>
      <c r="E215" s="220">
        <f t="shared" ca="1" si="101"/>
        <v>0</v>
      </c>
      <c r="F215" s="194">
        <f t="shared" ca="1" si="101"/>
        <v>0</v>
      </c>
      <c r="G215" s="195">
        <f t="shared" ca="1" si="101"/>
        <v>0</v>
      </c>
      <c r="H215" s="195">
        <f t="shared" ca="1" si="101"/>
        <v>0</v>
      </c>
      <c r="I215" s="220">
        <f t="shared" ca="1" si="101"/>
        <v>0</v>
      </c>
      <c r="J215" s="524">
        <f t="shared" ca="1" si="101"/>
        <v>0</v>
      </c>
      <c r="K215" s="218">
        <f t="shared" ca="1" si="101"/>
        <v>0</v>
      </c>
      <c r="L215" s="218">
        <f t="shared" ca="1" si="101"/>
        <v>0</v>
      </c>
      <c r="M215" s="195">
        <f t="shared" ca="1" si="101"/>
        <v>0</v>
      </c>
      <c r="N215" s="221">
        <f t="shared" ca="1" si="101"/>
        <v>0</v>
      </c>
    </row>
    <row r="216" spans="1:14">
      <c r="A216" s="193">
        <f t="shared" si="72"/>
        <v>2042</v>
      </c>
      <c r="B216" s="195">
        <f t="shared" ref="B216:N216" ca="1" si="102">IF($C95="","",IF($C95&lt;0,0,IF(AND($C95=1,start_time&lt;1),-(SUM(B169)*output_kgyear*$E95*percnt_var*start_time+SUM(B169)*output_kgyear*$E95*(1-start_time)),IF($C95&lt;=start_time,-SUM(B169)*output_kgyear*$E95*percnt_var,-SUM(B169)*output_kgyear*$E95))))</f>
        <v>-2629955.7101904675</v>
      </c>
      <c r="C216" s="195">
        <f t="shared" ca="1" si="102"/>
        <v>-244704743.61500496</v>
      </c>
      <c r="D216" s="195">
        <f t="shared" ca="1" si="102"/>
        <v>0</v>
      </c>
      <c r="E216" s="220">
        <f t="shared" ca="1" si="102"/>
        <v>0</v>
      </c>
      <c r="F216" s="194">
        <f t="shared" ca="1" si="102"/>
        <v>0</v>
      </c>
      <c r="G216" s="195">
        <f t="shared" ca="1" si="102"/>
        <v>0</v>
      </c>
      <c r="H216" s="195">
        <f t="shared" ca="1" si="102"/>
        <v>0</v>
      </c>
      <c r="I216" s="220">
        <f t="shared" ca="1" si="102"/>
        <v>0</v>
      </c>
      <c r="J216" s="524">
        <f t="shared" ca="1" si="102"/>
        <v>0</v>
      </c>
      <c r="K216" s="218">
        <f t="shared" ca="1" si="102"/>
        <v>0</v>
      </c>
      <c r="L216" s="218">
        <f t="shared" ca="1" si="102"/>
        <v>0</v>
      </c>
      <c r="M216" s="195">
        <f t="shared" ca="1" si="102"/>
        <v>0</v>
      </c>
      <c r="N216" s="221">
        <f t="shared" ca="1" si="102"/>
        <v>0</v>
      </c>
    </row>
    <row r="217" spans="1:14">
      <c r="A217" s="193">
        <f t="shared" si="72"/>
        <v>2043</v>
      </c>
      <c r="B217" s="195">
        <f t="shared" ref="B217:N217" ca="1" si="103">IF($C96="","",IF($C96&lt;0,0,IF(AND($C96=1,start_time&lt;1),-(SUM(B170)*output_kgyear*$E96*percnt_var*start_time+SUM(B170)*output_kgyear*$E96*(1-start_time)),IF($C96&lt;=start_time,-SUM(B170)*output_kgyear*$E96*percnt_var,-SUM(B170)*output_kgyear*$E96))))</f>
        <v>-2688103.4097983036</v>
      </c>
      <c r="C217" s="195">
        <f t="shared" ca="1" si="103"/>
        <v>-252993976.23602948</v>
      </c>
      <c r="D217" s="195">
        <f t="shared" ca="1" si="103"/>
        <v>0</v>
      </c>
      <c r="E217" s="220">
        <f t="shared" ca="1" si="103"/>
        <v>0</v>
      </c>
      <c r="F217" s="194">
        <f t="shared" ca="1" si="103"/>
        <v>0</v>
      </c>
      <c r="G217" s="195">
        <f t="shared" ca="1" si="103"/>
        <v>0</v>
      </c>
      <c r="H217" s="195">
        <f t="shared" ca="1" si="103"/>
        <v>0</v>
      </c>
      <c r="I217" s="220">
        <f t="shared" ca="1" si="103"/>
        <v>0</v>
      </c>
      <c r="J217" s="524">
        <f t="shared" ca="1" si="103"/>
        <v>0</v>
      </c>
      <c r="K217" s="218">
        <f t="shared" ca="1" si="103"/>
        <v>0</v>
      </c>
      <c r="L217" s="218">
        <f t="shared" ca="1" si="103"/>
        <v>0</v>
      </c>
      <c r="M217" s="195">
        <f t="shared" ca="1" si="103"/>
        <v>0</v>
      </c>
      <c r="N217" s="221">
        <f t="shared" ca="1" si="103"/>
        <v>0</v>
      </c>
    </row>
    <row r="218" spans="1:14">
      <c r="A218" s="193">
        <f t="shared" si="72"/>
        <v>2044</v>
      </c>
      <c r="B218" s="195">
        <f t="shared" ref="B218:N218" ca="1" si="104">IF($C97="","",IF($C97&lt;0,0,IF(AND($C97=1,start_time&lt;1),-(SUM(B171)*output_kgyear*$E97*percnt_var*start_time+SUM(B171)*output_kgyear*$E97*(1-start_time)),IF($C97&lt;=start_time,-SUM(B171)*output_kgyear*$E97*percnt_var,-SUM(B171)*output_kgyear*$E97))))</f>
        <v>-2749498.2530113501</v>
      </c>
      <c r="C218" s="195">
        <f t="shared" ca="1" si="104"/>
        <v>-260342976.46218491</v>
      </c>
      <c r="D218" s="195">
        <f t="shared" ca="1" si="104"/>
        <v>0</v>
      </c>
      <c r="E218" s="220">
        <f t="shared" ca="1" si="104"/>
        <v>0</v>
      </c>
      <c r="F218" s="194">
        <f t="shared" ca="1" si="104"/>
        <v>0</v>
      </c>
      <c r="G218" s="195">
        <f t="shared" ca="1" si="104"/>
        <v>0</v>
      </c>
      <c r="H218" s="195">
        <f t="shared" ca="1" si="104"/>
        <v>0</v>
      </c>
      <c r="I218" s="220">
        <f t="shared" ca="1" si="104"/>
        <v>0</v>
      </c>
      <c r="J218" s="524">
        <f t="shared" ca="1" si="104"/>
        <v>0</v>
      </c>
      <c r="K218" s="218">
        <f t="shared" ca="1" si="104"/>
        <v>0</v>
      </c>
      <c r="L218" s="218">
        <f t="shared" ca="1" si="104"/>
        <v>0</v>
      </c>
      <c r="M218" s="195">
        <f t="shared" ca="1" si="104"/>
        <v>0</v>
      </c>
      <c r="N218" s="221">
        <f t="shared" ca="1" si="104"/>
        <v>0</v>
      </c>
    </row>
    <row r="219" spans="1:14">
      <c r="A219" s="193">
        <f t="shared" si="72"/>
        <v>2045</v>
      </c>
      <c r="B219" s="195">
        <f t="shared" ref="B219:N219" ca="1" si="105">IF($C98="","",IF($C98&lt;0,0,IF(AND($C98=1,start_time&lt;1),-(SUM(B172)*output_kgyear*$E98*percnt_var*start_time+SUM(B172)*output_kgyear*$E98*(1-start_time)),IF($C98&lt;=start_time,-SUM(B172)*output_kgyear*$E98*percnt_var,-SUM(B172)*output_kgyear*$E98))))</f>
        <v>-2811973.3871822557</v>
      </c>
      <c r="C219" s="195">
        <f t="shared" ca="1" si="105"/>
        <v>-268695984.89585191</v>
      </c>
      <c r="D219" s="195">
        <f t="shared" ca="1" si="105"/>
        <v>0</v>
      </c>
      <c r="E219" s="220">
        <f t="shared" ca="1" si="105"/>
        <v>0</v>
      </c>
      <c r="F219" s="194">
        <f t="shared" ca="1" si="105"/>
        <v>0</v>
      </c>
      <c r="G219" s="195">
        <f t="shared" ca="1" si="105"/>
        <v>0</v>
      </c>
      <c r="H219" s="195">
        <f t="shared" ca="1" si="105"/>
        <v>0</v>
      </c>
      <c r="I219" s="220">
        <f t="shared" ca="1" si="105"/>
        <v>0</v>
      </c>
      <c r="J219" s="524">
        <f t="shared" ca="1" si="105"/>
        <v>0</v>
      </c>
      <c r="K219" s="218">
        <f t="shared" ca="1" si="105"/>
        <v>0</v>
      </c>
      <c r="L219" s="218">
        <f t="shared" ca="1" si="105"/>
        <v>0</v>
      </c>
      <c r="M219" s="195">
        <f t="shared" ca="1" si="105"/>
        <v>0</v>
      </c>
      <c r="N219" s="221">
        <f t="shared" ca="1" si="105"/>
        <v>0</v>
      </c>
    </row>
    <row r="220" spans="1:14">
      <c r="A220" s="193">
        <f t="shared" si="72"/>
        <v>2046</v>
      </c>
      <c r="B220" s="195">
        <f t="shared" ref="B220:N220" ca="1" si="106">IF($C99="","",IF($C99&lt;0,0,IF(AND($C99=1,start_time&lt;1),-(SUM(B173)*output_kgyear*$E99*percnt_var*start_time+SUM(B173)*output_kgyear*$E99*(1-start_time)),IF($C99&lt;=start_time,-SUM(B173)*output_kgyear*$E99*percnt_var,-SUM(B173)*output_kgyear*$E99))))</f>
        <v>-2876004.2593768705</v>
      </c>
      <c r="C220" s="195">
        <f t="shared" ca="1" si="106"/>
        <v>-276454841.2011072</v>
      </c>
      <c r="D220" s="195">
        <f t="shared" ca="1" si="106"/>
        <v>0</v>
      </c>
      <c r="E220" s="220">
        <f t="shared" ca="1" si="106"/>
        <v>0</v>
      </c>
      <c r="F220" s="194">
        <f t="shared" ca="1" si="106"/>
        <v>0</v>
      </c>
      <c r="G220" s="195">
        <f t="shared" ca="1" si="106"/>
        <v>0</v>
      </c>
      <c r="H220" s="195">
        <f t="shared" ca="1" si="106"/>
        <v>0</v>
      </c>
      <c r="I220" s="220">
        <f t="shared" ca="1" si="106"/>
        <v>0</v>
      </c>
      <c r="J220" s="524">
        <f t="shared" ca="1" si="106"/>
        <v>0</v>
      </c>
      <c r="K220" s="218">
        <f t="shared" ca="1" si="106"/>
        <v>0</v>
      </c>
      <c r="L220" s="218">
        <f t="shared" ca="1" si="106"/>
        <v>0</v>
      </c>
      <c r="M220" s="195">
        <f t="shared" ca="1" si="106"/>
        <v>0</v>
      </c>
      <c r="N220" s="221">
        <f t="shared" ca="1" si="106"/>
        <v>0</v>
      </c>
    </row>
    <row r="221" spans="1:14">
      <c r="A221" s="193">
        <f t="shared" si="72"/>
        <v>2047</v>
      </c>
      <c r="B221" s="195">
        <f t="shared" ref="B221:N221" ca="1" si="107">IF($C100="","",IF($C100&lt;0,0,IF(AND($C100=1,start_time&lt;1),-(SUM(B174)*output_kgyear*$E100*percnt_var*start_time+SUM(B174)*output_kgyear*$E100*(1-start_time)),IF($C100&lt;=start_time,-SUM(B174)*output_kgyear*$E100*percnt_var,-SUM(B174)*output_kgyear*$E100))))</f>
        <v>-2940344.2753793164</v>
      </c>
      <c r="C221" s="195">
        <f t="shared" ca="1" si="107"/>
        <v>-284673434.2795853</v>
      </c>
      <c r="D221" s="195">
        <f t="shared" ca="1" si="107"/>
        <v>0</v>
      </c>
      <c r="E221" s="220">
        <f t="shared" ca="1" si="107"/>
        <v>0</v>
      </c>
      <c r="F221" s="194">
        <f t="shared" ca="1" si="107"/>
        <v>0</v>
      </c>
      <c r="G221" s="195">
        <f t="shared" ca="1" si="107"/>
        <v>0</v>
      </c>
      <c r="H221" s="195">
        <f t="shared" ca="1" si="107"/>
        <v>0</v>
      </c>
      <c r="I221" s="220">
        <f t="shared" ca="1" si="107"/>
        <v>0</v>
      </c>
      <c r="J221" s="524">
        <f t="shared" ca="1" si="107"/>
        <v>0</v>
      </c>
      <c r="K221" s="218">
        <f t="shared" ca="1" si="107"/>
        <v>0</v>
      </c>
      <c r="L221" s="218">
        <f t="shared" ca="1" si="107"/>
        <v>0</v>
      </c>
      <c r="M221" s="195">
        <f t="shared" ca="1" si="107"/>
        <v>0</v>
      </c>
      <c r="N221" s="221">
        <f t="shared" ca="1" si="107"/>
        <v>0</v>
      </c>
    </row>
    <row r="222" spans="1:14">
      <c r="A222" s="193">
        <f t="shared" si="72"/>
        <v>2048</v>
      </c>
      <c r="B222" s="195">
        <f t="shared" ref="B222:N222" ca="1" si="108">IF($C101="","",IF($C101&lt;0,0,IF(AND($C101=1,start_time&lt;1),-(SUM(B175)*output_kgyear*$E101*percnt_var*start_time+SUM(B175)*output_kgyear*$E101*(1-start_time)),IF($C101&lt;=start_time,-SUM(B175)*output_kgyear*$E101*percnt_var,-SUM(B175)*output_kgyear*$E101))))</f>
        <v>-3007324.5836576396</v>
      </c>
      <c r="C222" s="195">
        <f t="shared" ca="1" si="108"/>
        <v>-295399307.07143563</v>
      </c>
      <c r="D222" s="195">
        <f t="shared" ca="1" si="108"/>
        <v>0</v>
      </c>
      <c r="E222" s="220">
        <f t="shared" ca="1" si="108"/>
        <v>0</v>
      </c>
      <c r="F222" s="194">
        <f t="shared" ca="1" si="108"/>
        <v>0</v>
      </c>
      <c r="G222" s="195">
        <f t="shared" ca="1" si="108"/>
        <v>0</v>
      </c>
      <c r="H222" s="195">
        <f t="shared" ca="1" si="108"/>
        <v>0</v>
      </c>
      <c r="I222" s="220">
        <f t="shared" ca="1" si="108"/>
        <v>0</v>
      </c>
      <c r="J222" s="524">
        <f t="shared" ca="1" si="108"/>
        <v>0</v>
      </c>
      <c r="K222" s="218">
        <f t="shared" ca="1" si="108"/>
        <v>0</v>
      </c>
      <c r="L222" s="218">
        <f t="shared" ca="1" si="108"/>
        <v>0</v>
      </c>
      <c r="M222" s="195">
        <f t="shared" ca="1" si="108"/>
        <v>0</v>
      </c>
      <c r="N222" s="221">
        <f t="shared" ca="1" si="108"/>
        <v>0</v>
      </c>
    </row>
    <row r="223" spans="1:14">
      <c r="A223" s="193">
        <f t="shared" si="72"/>
        <v>2049</v>
      </c>
      <c r="B223" s="195">
        <f t="shared" ref="B223:N223" ca="1" si="109">IF($C102="","",IF($C102&lt;0,0,IF(AND($C102=1,start_time&lt;1),-(SUM(B176)*output_kgyear*$E102*percnt_var*start_time+SUM(B176)*output_kgyear*$E102*(1-start_time)),IF($C102&lt;=start_time,-SUM(B176)*output_kgyear*$E102*percnt_var,-SUM(B176)*output_kgyear*$E102))))</f>
        <v>-3074275.6225919058</v>
      </c>
      <c r="C223" s="195">
        <f t="shared" ca="1" si="109"/>
        <v>-302774792.89999473</v>
      </c>
      <c r="D223" s="195">
        <f t="shared" ca="1" si="109"/>
        <v>0</v>
      </c>
      <c r="E223" s="220">
        <f t="shared" ca="1" si="109"/>
        <v>0</v>
      </c>
      <c r="F223" s="194">
        <f t="shared" ca="1" si="109"/>
        <v>0</v>
      </c>
      <c r="G223" s="195">
        <f t="shared" ca="1" si="109"/>
        <v>0</v>
      </c>
      <c r="H223" s="195">
        <f t="shared" ca="1" si="109"/>
        <v>0</v>
      </c>
      <c r="I223" s="220">
        <f t="shared" ca="1" si="109"/>
        <v>0</v>
      </c>
      <c r="J223" s="524">
        <f t="shared" ca="1" si="109"/>
        <v>0</v>
      </c>
      <c r="K223" s="218">
        <f t="shared" ca="1" si="109"/>
        <v>0</v>
      </c>
      <c r="L223" s="218">
        <f t="shared" ca="1" si="109"/>
        <v>0</v>
      </c>
      <c r="M223" s="195">
        <f t="shared" ca="1" si="109"/>
        <v>0</v>
      </c>
      <c r="N223" s="221">
        <f t="shared" ca="1" si="109"/>
        <v>0</v>
      </c>
    </row>
    <row r="224" spans="1:14">
      <c r="A224" s="193">
        <f t="shared" si="72"/>
        <v>2050</v>
      </c>
      <c r="B224" s="195">
        <f t="shared" ref="B224:N224" ca="1" si="110">IF($C103="","",IF($C103&lt;0,0,IF(AND($C103=1,start_time&lt;1),-(SUM(B177)*output_kgyear*$E103*percnt_var*start_time+SUM(B177)*output_kgyear*$E103*(1-start_time)),IF($C103&lt;=start_time,-SUM(B177)*output_kgyear*$E103*percnt_var,-SUM(B177)*output_kgyear*$E103))))</f>
        <v>-3142379.9742838857</v>
      </c>
      <c r="C224" s="195">
        <f t="shared" ca="1" si="110"/>
        <v>-312433870.07035911</v>
      </c>
      <c r="D224" s="195">
        <f t="shared" ca="1" si="110"/>
        <v>0</v>
      </c>
      <c r="E224" s="220">
        <f t="shared" ca="1" si="110"/>
        <v>0</v>
      </c>
      <c r="F224" s="194">
        <f t="shared" ca="1" si="110"/>
        <v>0</v>
      </c>
      <c r="G224" s="195">
        <f t="shared" ca="1" si="110"/>
        <v>0</v>
      </c>
      <c r="H224" s="195">
        <f t="shared" ca="1" si="110"/>
        <v>0</v>
      </c>
      <c r="I224" s="220">
        <f t="shared" ca="1" si="110"/>
        <v>0</v>
      </c>
      <c r="J224" s="524">
        <f t="shared" ca="1" si="110"/>
        <v>0</v>
      </c>
      <c r="K224" s="218">
        <f t="shared" ca="1" si="110"/>
        <v>0</v>
      </c>
      <c r="L224" s="218">
        <f t="shared" ca="1" si="110"/>
        <v>0</v>
      </c>
      <c r="M224" s="195">
        <f t="shared" ca="1" si="110"/>
        <v>0</v>
      </c>
      <c r="N224" s="221">
        <f t="shared" ca="1" si="110"/>
        <v>0</v>
      </c>
    </row>
    <row r="225" spans="1:14">
      <c r="A225" s="193">
        <f t="shared" si="72"/>
        <v>2051</v>
      </c>
      <c r="B225" s="195">
        <f t="shared" ref="B225:N225" ca="1" si="111">IF($C104="","",IF($C104&lt;0,0,IF(AND($C104=1,start_time&lt;1),-(SUM(B178)*output_kgyear*$E104*percnt_var*start_time+SUM(B178)*output_kgyear*$E104*(1-start_time)),IF($C104&lt;=start_time,-SUM(B178)*output_kgyear*$E104*percnt_var,-SUM(B178)*output_kgyear*$E104))))</f>
        <v>-3204989.3422689103</v>
      </c>
      <c r="C225" s="195">
        <f t="shared" ca="1" si="111"/>
        <v>-320140041.73545712</v>
      </c>
      <c r="D225" s="195">
        <f t="shared" ca="1" si="111"/>
        <v>0</v>
      </c>
      <c r="E225" s="220">
        <f t="shared" ca="1" si="111"/>
        <v>0</v>
      </c>
      <c r="F225" s="194">
        <f t="shared" ca="1" si="111"/>
        <v>0</v>
      </c>
      <c r="G225" s="195">
        <f t="shared" ca="1" si="111"/>
        <v>0</v>
      </c>
      <c r="H225" s="195">
        <f t="shared" ca="1" si="111"/>
        <v>0</v>
      </c>
      <c r="I225" s="220">
        <f t="shared" ca="1" si="111"/>
        <v>0</v>
      </c>
      <c r="J225" s="524">
        <f t="shared" ca="1" si="111"/>
        <v>0</v>
      </c>
      <c r="K225" s="218">
        <f t="shared" ca="1" si="111"/>
        <v>0</v>
      </c>
      <c r="L225" s="218">
        <f t="shared" ca="1" si="111"/>
        <v>0</v>
      </c>
      <c r="M225" s="195">
        <f t="shared" ca="1" si="111"/>
        <v>0</v>
      </c>
      <c r="N225" s="221">
        <f t="shared" ca="1" si="111"/>
        <v>0</v>
      </c>
    </row>
    <row r="226" spans="1:14">
      <c r="A226" s="193">
        <f t="shared" si="72"/>
        <v>2052</v>
      </c>
      <c r="B226" s="195">
        <f t="shared" ref="B226:N226" ca="1" si="112">IF($C105="","",IF($C105&lt;0,0,IF(AND($C105=1,start_time&lt;1),-(SUM(B179)*output_kgyear*$E105*percnt_var*start_time+SUM(B179)*output_kgyear*$E105*(1-start_time)),IF($C105&lt;=start_time,-SUM(B179)*output_kgyear*$E105*percnt_var,-SUM(B179)*output_kgyear*$E105))))</f>
        <v>-3268846.1510445341</v>
      </c>
      <c r="C226" s="195">
        <f t="shared" ca="1" si="112"/>
        <v>-328036285.88443333</v>
      </c>
      <c r="D226" s="195">
        <f t="shared" ca="1" si="112"/>
        <v>0</v>
      </c>
      <c r="E226" s="220">
        <f t="shared" ca="1" si="112"/>
        <v>0</v>
      </c>
      <c r="F226" s="194">
        <f t="shared" ca="1" si="112"/>
        <v>0</v>
      </c>
      <c r="G226" s="195">
        <f t="shared" ca="1" si="112"/>
        <v>0</v>
      </c>
      <c r="H226" s="195">
        <f t="shared" ca="1" si="112"/>
        <v>0</v>
      </c>
      <c r="I226" s="220">
        <f t="shared" ca="1" si="112"/>
        <v>0</v>
      </c>
      <c r="J226" s="524">
        <f t="shared" ca="1" si="112"/>
        <v>0</v>
      </c>
      <c r="K226" s="218">
        <f t="shared" ca="1" si="112"/>
        <v>0</v>
      </c>
      <c r="L226" s="218">
        <f t="shared" ca="1" si="112"/>
        <v>0</v>
      </c>
      <c r="M226" s="195">
        <f t="shared" ca="1" si="112"/>
        <v>0</v>
      </c>
      <c r="N226" s="221">
        <f t="shared" ca="1" si="112"/>
        <v>0</v>
      </c>
    </row>
    <row r="227" spans="1:14">
      <c r="A227" s="193">
        <f t="shared" si="72"/>
        <v>2053</v>
      </c>
      <c r="B227" s="195">
        <f t="shared" ref="B227:N227" ca="1" si="113">IF($C106="","",IF($C106&lt;0,0,IF(AND($C106=1,start_time&lt;1),-(SUM(B180)*output_kgyear*$E106*percnt_var*start_time+SUM(B180)*output_kgyear*$E106*(1-start_time)),IF($C106&lt;=start_time,-SUM(B180)*output_kgyear*$E106*percnt_var,-SUM(B180)*output_kgyear*$E106))))</f>
        <v>-3333975.2548550377</v>
      </c>
      <c r="C227" s="195">
        <f t="shared" ca="1" si="113"/>
        <v>-336127290.64917719</v>
      </c>
      <c r="D227" s="195">
        <f t="shared" ca="1" si="113"/>
        <v>0</v>
      </c>
      <c r="E227" s="220">
        <f t="shared" ca="1" si="113"/>
        <v>0</v>
      </c>
      <c r="F227" s="194">
        <f t="shared" ca="1" si="113"/>
        <v>0</v>
      </c>
      <c r="G227" s="195">
        <f t="shared" ca="1" si="113"/>
        <v>0</v>
      </c>
      <c r="H227" s="195">
        <f t="shared" ca="1" si="113"/>
        <v>0</v>
      </c>
      <c r="I227" s="220">
        <f t="shared" ca="1" si="113"/>
        <v>0</v>
      </c>
      <c r="J227" s="524">
        <f t="shared" ca="1" si="113"/>
        <v>0</v>
      </c>
      <c r="K227" s="218">
        <f t="shared" ca="1" si="113"/>
        <v>0</v>
      </c>
      <c r="L227" s="218">
        <f t="shared" ca="1" si="113"/>
        <v>0</v>
      </c>
      <c r="M227" s="195">
        <f t="shared" ca="1" si="113"/>
        <v>0</v>
      </c>
      <c r="N227" s="221">
        <f t="shared" ca="1" si="113"/>
        <v>0</v>
      </c>
    </row>
    <row r="228" spans="1:14">
      <c r="A228" s="193">
        <f t="shared" si="72"/>
        <v>2054</v>
      </c>
      <c r="B228" s="195">
        <f t="shared" ref="B228:N228" ca="1" si="114">IF($C107="","",IF($C107&lt;0,0,IF(AND($C107=1,start_time&lt;1),-(SUM(B181)*output_kgyear*$E107*percnt_var*start_time+SUM(B181)*output_kgyear*$E107*(1-start_time)),IF($C107&lt;=start_time,-SUM(B181)*output_kgyear*$E107*percnt_var,-SUM(B181)*output_kgyear*$E107))))</f>
        <v>-3400402.0031453222</v>
      </c>
      <c r="C228" s="195">
        <f t="shared" ca="1" si="114"/>
        <v>-344417859.79420471</v>
      </c>
      <c r="D228" s="195">
        <f t="shared" ca="1" si="114"/>
        <v>0</v>
      </c>
      <c r="E228" s="220">
        <f t="shared" ca="1" si="114"/>
        <v>0</v>
      </c>
      <c r="F228" s="194">
        <f t="shared" ca="1" si="114"/>
        <v>0</v>
      </c>
      <c r="G228" s="195">
        <f t="shared" ca="1" si="114"/>
        <v>0</v>
      </c>
      <c r="H228" s="195">
        <f t="shared" ca="1" si="114"/>
        <v>0</v>
      </c>
      <c r="I228" s="220">
        <f t="shared" ca="1" si="114"/>
        <v>0</v>
      </c>
      <c r="J228" s="524">
        <f t="shared" ca="1" si="114"/>
        <v>0</v>
      </c>
      <c r="K228" s="218">
        <f t="shared" ca="1" si="114"/>
        <v>0</v>
      </c>
      <c r="L228" s="218">
        <f t="shared" ca="1" si="114"/>
        <v>0</v>
      </c>
      <c r="M228" s="195">
        <f t="shared" ca="1" si="114"/>
        <v>0</v>
      </c>
      <c r="N228" s="221">
        <f t="shared" ca="1" si="114"/>
        <v>0</v>
      </c>
    </row>
    <row r="229" spans="1:14">
      <c r="A229" s="193" t="str">
        <f t="shared" si="72"/>
        <v/>
      </c>
      <c r="B229" s="195" t="str">
        <f t="shared" ref="B229:N229" si="115">IF($C108="","",IF($C108&lt;0,0,IF(AND($C108=1,start_time&lt;1),-(SUM(B182)*output_kgyear*$E108*percnt_var*start_time+SUM(B182)*output_kgyear*$E108*(1-start_time)),IF($C108&lt;=start_time,-SUM(B182)*output_kgyear*$E108*percnt_var,-SUM(B182)*output_kgyear*$E108))))</f>
        <v/>
      </c>
      <c r="C229" s="195" t="str">
        <f t="shared" si="115"/>
        <v/>
      </c>
      <c r="D229" s="195" t="str">
        <f t="shared" si="115"/>
        <v/>
      </c>
      <c r="E229" s="220" t="str">
        <f t="shared" si="115"/>
        <v/>
      </c>
      <c r="F229" s="194" t="str">
        <f t="shared" si="115"/>
        <v/>
      </c>
      <c r="G229" s="195" t="str">
        <f t="shared" si="115"/>
        <v/>
      </c>
      <c r="H229" s="195" t="str">
        <f t="shared" si="115"/>
        <v/>
      </c>
      <c r="I229" s="220" t="str">
        <f t="shared" si="115"/>
        <v/>
      </c>
      <c r="J229" s="524" t="str">
        <f t="shared" si="115"/>
        <v/>
      </c>
      <c r="K229" s="218" t="str">
        <f t="shared" si="115"/>
        <v/>
      </c>
      <c r="L229" s="218" t="str">
        <f t="shared" si="115"/>
        <v/>
      </c>
      <c r="M229" s="195" t="str">
        <f t="shared" si="115"/>
        <v/>
      </c>
      <c r="N229" s="221" t="str">
        <f t="shared" si="115"/>
        <v/>
      </c>
    </row>
    <row r="231" spans="1:14">
      <c r="A231" s="195" t="s">
        <v>1186</v>
      </c>
      <c r="B231" s="195">
        <f ca="1">+B186+NPV($X$59,B187:B228)</f>
        <v>-14521233.71722063</v>
      </c>
      <c r="C231" s="195">
        <f t="shared" ref="C231:N231" ca="1" si="116">+C186+NPV($X$59,C187:C228)</f>
        <v>-1225613892.005944</v>
      </c>
      <c r="D231" s="195">
        <f t="shared" ca="1" si="116"/>
        <v>0</v>
      </c>
      <c r="E231" s="195">
        <f t="shared" ca="1" si="116"/>
        <v>0</v>
      </c>
      <c r="F231" s="195">
        <f t="shared" ca="1" si="116"/>
        <v>0</v>
      </c>
      <c r="G231" s="195">
        <f t="shared" ca="1" si="116"/>
        <v>0</v>
      </c>
      <c r="H231" s="195">
        <f t="shared" ca="1" si="116"/>
        <v>0</v>
      </c>
      <c r="I231" s="195">
        <f t="shared" ca="1" si="116"/>
        <v>0</v>
      </c>
      <c r="J231" s="195">
        <f t="shared" ca="1" si="116"/>
        <v>0</v>
      </c>
      <c r="K231" s="195">
        <f t="shared" ca="1" si="116"/>
        <v>0</v>
      </c>
      <c r="L231" s="195">
        <f t="shared" ca="1" si="116"/>
        <v>0</v>
      </c>
      <c r="M231" s="195">
        <f t="shared" ca="1" si="116"/>
        <v>0</v>
      </c>
      <c r="N231" s="195">
        <f t="shared" ca="1" si="116"/>
        <v>0</v>
      </c>
    </row>
    <row r="232" spans="1:14">
      <c r="A232" s="195" t="s">
        <v>1185</v>
      </c>
      <c r="B232" s="195">
        <f ca="1">-B231/$AE$116*(1+inflation_rate)^construct/INFLATION_FACTOR</f>
        <v>9.651601291688414E-3</v>
      </c>
      <c r="C232" s="195">
        <f t="shared" ref="C232:N232" ca="1" si="117">-C231/$AE$116*(1+inflation_rate)^construct/INFLATION_FACTOR</f>
        <v>0.8146096160664188</v>
      </c>
      <c r="D232" s="195">
        <f t="shared" ca="1" si="117"/>
        <v>0</v>
      </c>
      <c r="E232" s="195">
        <f t="shared" ca="1" si="117"/>
        <v>0</v>
      </c>
      <c r="F232" s="195">
        <f ca="1">-F231/$AE$116*(1+inflation_rate)^construct/INFLATION_FACTOR</f>
        <v>0</v>
      </c>
      <c r="G232" s="195">
        <f t="shared" ca="1" si="117"/>
        <v>0</v>
      </c>
      <c r="H232" s="195">
        <f t="shared" ca="1" si="117"/>
        <v>0</v>
      </c>
      <c r="I232" s="195">
        <f t="shared" ca="1" si="117"/>
        <v>0</v>
      </c>
      <c r="J232" s="195">
        <f t="shared" ca="1" si="117"/>
        <v>0</v>
      </c>
      <c r="K232" s="195">
        <f t="shared" ca="1" si="117"/>
        <v>0</v>
      </c>
      <c r="L232" s="195">
        <f t="shared" ca="1" si="117"/>
        <v>0</v>
      </c>
      <c r="M232" s="195">
        <f t="shared" ca="1" si="117"/>
        <v>0</v>
      </c>
      <c r="N232" s="195">
        <f t="shared" ca="1" si="117"/>
        <v>0</v>
      </c>
    </row>
    <row r="233" spans="1:14">
      <c r="A233" s="195" t="s">
        <v>1187</v>
      </c>
      <c r="B233" s="195">
        <f ca="1">IF(B132&gt;0,B232/B133*(1+inflation_rate)^construct,"")</f>
        <v>7.7853020431673081E-2</v>
      </c>
      <c r="C233" s="195">
        <f t="shared" ref="C233:N233" ca="1" si="118">IF(C132&gt;0,C232/C133*(1+inflation_rate)^construct,"")</f>
        <v>5.4636424194057636</v>
      </c>
      <c r="D233" s="195" t="str">
        <f t="shared" si="118"/>
        <v/>
      </c>
      <c r="E233" s="195" t="str">
        <f t="shared" si="118"/>
        <v/>
      </c>
      <c r="F233" s="195" t="str">
        <f t="shared" si="118"/>
        <v/>
      </c>
      <c r="G233" s="195" t="str">
        <f t="shared" si="118"/>
        <v/>
      </c>
      <c r="H233" s="195" t="str">
        <f t="shared" si="118"/>
        <v/>
      </c>
      <c r="I233" s="195" t="str">
        <f t="shared" si="118"/>
        <v/>
      </c>
      <c r="J233" s="195" t="str">
        <f t="shared" ca="1" si="118"/>
        <v/>
      </c>
      <c r="K233" s="195" t="str">
        <f t="shared" si="118"/>
        <v/>
      </c>
      <c r="L233" s="195" t="str">
        <f t="shared" si="118"/>
        <v/>
      </c>
      <c r="M233" s="195" t="str">
        <f t="shared" si="118"/>
        <v/>
      </c>
      <c r="N233" s="195" t="str">
        <f t="shared" si="118"/>
        <v/>
      </c>
    </row>
    <row r="279" spans="1:5">
      <c r="A279" s="48" t="s">
        <v>193</v>
      </c>
    </row>
    <row r="280" spans="1:5">
      <c r="A280" s="48" t="s">
        <v>1049</v>
      </c>
      <c r="B280" s="48" t="s">
        <v>635</v>
      </c>
      <c r="C280" s="48" t="s">
        <v>194</v>
      </c>
      <c r="D280" s="48" t="s">
        <v>195</v>
      </c>
      <c r="E280" s="48" t="s">
        <v>196</v>
      </c>
    </row>
    <row r="281" spans="1:5">
      <c r="A281" s="48" t="str">
        <f>'HyARC Physical Property Data'!A76</f>
        <v>Commercial Electricity</v>
      </c>
      <c r="B281" s="48">
        <f ca="1">VLOOKUP(A281,MASTER_PROPERTY_TABLE,9,FALSE)</f>
        <v>3.5999999999999995E-3</v>
      </c>
      <c r="C281" s="48">
        <f ca="1">MATCH(startup_year,Feedstock_Year,0)</f>
        <v>19</v>
      </c>
      <c r="D281" s="48">
        <f ca="1">VLOOKUP(A281,FEEDPRICETABLE,C281,FALSE)</f>
        <v>29.932211922183079</v>
      </c>
      <c r="E281" s="48">
        <f ca="1">B281*D281</f>
        <v>0.10775596291985907</v>
      </c>
    </row>
    <row r="282" spans="1:5">
      <c r="A282" s="48" t="str">
        <f>'HyARC Physical Property Data'!A77</f>
        <v>Industrial Electricity</v>
      </c>
      <c r="B282" s="48">
        <f ca="1">VLOOKUP(A282,MASTER_PROPERTY_TABLE,9,FALSE)</f>
        <v>3.5999999999999995E-3</v>
      </c>
      <c r="C282" s="48">
        <f ca="1">MATCH(startup_year,Feedstock_Year,0)+2</f>
        <v>21</v>
      </c>
      <c r="D282" s="48">
        <f ca="1">VLOOKUP(A282,FEEDPRICETABLE,C282,FALSE)</f>
        <v>19.537493744407882</v>
      </c>
      <c r="E282" s="48">
        <f ca="1">B282*D282</f>
        <v>7.033497747986836E-2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CZ309"/>
  <sheetViews>
    <sheetView topLeftCell="A55" workbookViewId="0">
      <selection activeCell="F98" sqref="F98"/>
    </sheetView>
  </sheetViews>
  <sheetFormatPr baseColWidth="10" defaultColWidth="8.83203125" defaultRowHeight="13"/>
  <cols>
    <col min="1" max="1" width="30.33203125" customWidth="1"/>
    <col min="2" max="2" width="18.6640625" customWidth="1"/>
    <col min="3" max="3" width="11.33203125" customWidth="1"/>
    <col min="5" max="5" width="12.6640625" customWidth="1"/>
    <col min="6" max="6" width="12.5" customWidth="1"/>
    <col min="7" max="7" width="11.6640625" customWidth="1"/>
  </cols>
  <sheetData>
    <row r="3" spans="1:104" ht="14" thickBot="1">
      <c r="BW3" s="1149" t="s">
        <v>1289</v>
      </c>
      <c r="BX3" s="1149"/>
      <c r="BY3" s="1149"/>
      <c r="BZ3" s="1149"/>
      <c r="CA3" s="1149"/>
      <c r="CB3" s="1149"/>
      <c r="CC3" s="1149"/>
      <c r="CD3" s="1149"/>
    </row>
    <row r="4" spans="1:104" ht="14" thickTop="1">
      <c r="A4" s="732" t="s">
        <v>1113</v>
      </c>
      <c r="B4" s="607" t="str">
        <f>"Prices are in $(" &amp; ref_year&amp;")/GJ LHV"</f>
        <v>Prices are in $(2016)/GJ LHV</v>
      </c>
      <c r="C4" s="733"/>
      <c r="D4" s="733"/>
      <c r="E4" s="733"/>
      <c r="F4" s="733"/>
      <c r="G4" s="733"/>
      <c r="H4" s="733"/>
      <c r="I4" s="733"/>
      <c r="J4" s="733"/>
      <c r="K4" s="733"/>
      <c r="L4" s="733"/>
      <c r="M4" s="733"/>
      <c r="N4" s="733"/>
      <c r="O4" s="733"/>
      <c r="P4" s="733"/>
      <c r="Q4" s="733"/>
      <c r="R4" s="733"/>
      <c r="S4" s="733"/>
      <c r="T4" s="733"/>
      <c r="U4" s="733"/>
      <c r="V4" s="733"/>
      <c r="W4" s="733"/>
      <c r="X4" s="733"/>
      <c r="Y4" s="733"/>
      <c r="Z4" s="733"/>
      <c r="AA4" s="733"/>
      <c r="AB4" s="733"/>
      <c r="AC4" s="733"/>
      <c r="AD4" s="733"/>
      <c r="AE4" s="733"/>
      <c r="AF4" s="733"/>
      <c r="AG4" s="733"/>
      <c r="AH4" s="744" t="s">
        <v>770</v>
      </c>
      <c r="AI4" s="745"/>
      <c r="AJ4" s="745"/>
      <c r="AK4" s="745"/>
      <c r="AL4" s="745"/>
      <c r="AM4" s="745"/>
      <c r="AN4" s="745"/>
      <c r="AO4" s="745"/>
      <c r="AP4" s="745"/>
      <c r="AQ4" s="745"/>
      <c r="AR4" s="745"/>
      <c r="AS4" s="745"/>
      <c r="AT4" s="745"/>
      <c r="AU4" s="745"/>
      <c r="AV4" s="745"/>
      <c r="AW4" s="745"/>
      <c r="AX4" s="745"/>
      <c r="AY4" s="745"/>
      <c r="AZ4" s="745"/>
      <c r="BA4" s="745"/>
      <c r="BB4" s="745"/>
      <c r="BC4" s="745"/>
      <c r="BD4" s="745"/>
      <c r="BE4" s="745"/>
      <c r="BF4" s="745"/>
      <c r="BG4" s="745"/>
      <c r="BH4" s="745"/>
      <c r="BI4" s="745"/>
      <c r="BJ4" s="745"/>
      <c r="BK4" s="745"/>
      <c r="BL4" s="745"/>
      <c r="BM4" s="745"/>
      <c r="BN4" s="745"/>
      <c r="BO4" s="745"/>
      <c r="BP4" s="745"/>
      <c r="BQ4" s="745"/>
      <c r="BR4" s="745"/>
      <c r="BS4" s="745"/>
      <c r="BT4" s="745"/>
      <c r="BU4" s="745"/>
      <c r="BV4" s="746"/>
    </row>
    <row r="5" spans="1:104" ht="43" thickBot="1">
      <c r="A5" s="748" t="s">
        <v>1081</v>
      </c>
      <c r="B5" s="749" t="s">
        <v>676</v>
      </c>
      <c r="C5" s="749" t="s">
        <v>677</v>
      </c>
      <c r="D5" s="749" t="s">
        <v>688</v>
      </c>
      <c r="E5" s="749" t="s">
        <v>689</v>
      </c>
      <c r="F5" s="1" t="s">
        <v>678</v>
      </c>
      <c r="G5" s="1" t="s">
        <v>690</v>
      </c>
      <c r="H5" s="1">
        <v>2004</v>
      </c>
      <c r="I5" s="1">
        <v>2005</v>
      </c>
      <c r="J5" s="1">
        <v>2006</v>
      </c>
      <c r="K5" s="1">
        <v>2007</v>
      </c>
      <c r="L5" s="1">
        <v>2008</v>
      </c>
      <c r="M5" s="1">
        <v>2009</v>
      </c>
      <c r="N5" s="1">
        <v>2010</v>
      </c>
      <c r="O5" s="1">
        <v>2011</v>
      </c>
      <c r="P5" s="1">
        <v>2012</v>
      </c>
      <c r="Q5" s="1">
        <v>2013</v>
      </c>
      <c r="R5" s="1">
        <v>2014</v>
      </c>
      <c r="S5" s="1">
        <v>2015</v>
      </c>
      <c r="T5" s="1">
        <v>2016</v>
      </c>
      <c r="U5" s="1">
        <v>2017</v>
      </c>
      <c r="V5" s="1">
        <v>2018</v>
      </c>
      <c r="W5" s="1">
        <v>2019</v>
      </c>
      <c r="X5" s="1">
        <v>2020</v>
      </c>
      <c r="Y5" s="1">
        <v>2021</v>
      </c>
      <c r="Z5" s="1">
        <v>2022</v>
      </c>
      <c r="AA5" s="1">
        <v>2023</v>
      </c>
      <c r="AB5" s="1">
        <v>2024</v>
      </c>
      <c r="AC5" s="1">
        <v>2025</v>
      </c>
      <c r="AD5" s="1">
        <v>2026</v>
      </c>
      <c r="AE5" s="1">
        <v>2027</v>
      </c>
      <c r="AF5" s="1">
        <v>2028</v>
      </c>
      <c r="AG5" s="1">
        <v>2029</v>
      </c>
      <c r="AH5" s="1">
        <v>2030</v>
      </c>
      <c r="AI5" s="1">
        <v>2031</v>
      </c>
      <c r="AJ5" s="1">
        <v>2032</v>
      </c>
      <c r="AK5" s="1">
        <v>2033</v>
      </c>
      <c r="AL5" s="1">
        <v>2034</v>
      </c>
      <c r="AM5" s="1">
        <v>2035</v>
      </c>
      <c r="AN5" s="1">
        <v>2036</v>
      </c>
      <c r="AO5" s="1">
        <v>2037</v>
      </c>
      <c r="AP5" s="1">
        <v>2038</v>
      </c>
      <c r="AQ5" s="1">
        <v>2039</v>
      </c>
      <c r="AR5" s="1">
        <v>2040</v>
      </c>
      <c r="AS5" s="1">
        <v>2041</v>
      </c>
      <c r="AT5" s="1">
        <v>2042</v>
      </c>
      <c r="AU5" s="1">
        <v>2043</v>
      </c>
      <c r="AV5" s="1">
        <v>2044</v>
      </c>
      <c r="AW5" s="1">
        <v>2045</v>
      </c>
      <c r="AX5" s="1">
        <v>2046</v>
      </c>
      <c r="AY5" s="1">
        <v>2047</v>
      </c>
      <c r="AZ5" s="1">
        <v>2048</v>
      </c>
      <c r="BA5" s="1">
        <v>2049</v>
      </c>
      <c r="BB5" s="1">
        <v>2050</v>
      </c>
      <c r="BC5" s="1">
        <v>2051</v>
      </c>
      <c r="BD5" s="1">
        <v>2052</v>
      </c>
      <c r="BE5" s="1">
        <v>2053</v>
      </c>
      <c r="BF5" s="1">
        <v>2054</v>
      </c>
      <c r="BG5" s="1">
        <v>2055</v>
      </c>
      <c r="BH5" s="1">
        <v>2056</v>
      </c>
      <c r="BI5" s="1">
        <v>2057</v>
      </c>
      <c r="BJ5" s="1">
        <v>2058</v>
      </c>
      <c r="BK5" s="1">
        <v>2059</v>
      </c>
      <c r="BL5" s="1">
        <v>2060</v>
      </c>
      <c r="BM5" s="1">
        <v>2061</v>
      </c>
      <c r="BN5" s="1">
        <v>2062</v>
      </c>
      <c r="BO5" s="1">
        <v>2063</v>
      </c>
      <c r="BP5" s="1">
        <v>2064</v>
      </c>
      <c r="BQ5" s="1">
        <v>2065</v>
      </c>
      <c r="BR5" s="1">
        <v>2066</v>
      </c>
      <c r="BS5" s="1">
        <v>2067</v>
      </c>
      <c r="BT5" s="1">
        <v>2068</v>
      </c>
      <c r="BU5" s="1">
        <v>2069</v>
      </c>
      <c r="BV5" s="750">
        <v>2070</v>
      </c>
      <c r="BW5" s="1149">
        <f t="shared" ref="BW5:CZ5" si="0">+BV5+1</f>
        <v>2071</v>
      </c>
      <c r="BX5" s="1149">
        <f t="shared" si="0"/>
        <v>2072</v>
      </c>
      <c r="BY5" s="1149">
        <f t="shared" si="0"/>
        <v>2073</v>
      </c>
      <c r="BZ5" s="1149">
        <f t="shared" si="0"/>
        <v>2074</v>
      </c>
      <c r="CA5" s="1149">
        <f t="shared" si="0"/>
        <v>2075</v>
      </c>
      <c r="CB5" s="1149">
        <f t="shared" si="0"/>
        <v>2076</v>
      </c>
      <c r="CC5" s="1149">
        <f t="shared" si="0"/>
        <v>2077</v>
      </c>
      <c r="CD5" s="1149">
        <f t="shared" si="0"/>
        <v>2078</v>
      </c>
      <c r="CE5" s="1149">
        <f t="shared" si="0"/>
        <v>2079</v>
      </c>
      <c r="CF5" s="1149">
        <f t="shared" si="0"/>
        <v>2080</v>
      </c>
      <c r="CG5" s="1149">
        <f t="shared" si="0"/>
        <v>2081</v>
      </c>
      <c r="CH5" s="1149">
        <f t="shared" si="0"/>
        <v>2082</v>
      </c>
      <c r="CI5" s="1149">
        <f t="shared" si="0"/>
        <v>2083</v>
      </c>
      <c r="CJ5" s="1149">
        <f t="shared" si="0"/>
        <v>2084</v>
      </c>
      <c r="CK5" s="1149">
        <f t="shared" si="0"/>
        <v>2085</v>
      </c>
      <c r="CL5" s="1149">
        <f t="shared" si="0"/>
        <v>2086</v>
      </c>
      <c r="CM5" s="1149">
        <f t="shared" si="0"/>
        <v>2087</v>
      </c>
      <c r="CN5" s="1149">
        <f t="shared" si="0"/>
        <v>2088</v>
      </c>
      <c r="CO5" s="1149">
        <f t="shared" si="0"/>
        <v>2089</v>
      </c>
      <c r="CP5" s="1149">
        <f t="shared" si="0"/>
        <v>2090</v>
      </c>
      <c r="CQ5" s="1149">
        <f t="shared" si="0"/>
        <v>2091</v>
      </c>
      <c r="CR5" s="1149">
        <f t="shared" si="0"/>
        <v>2092</v>
      </c>
      <c r="CS5" s="1149">
        <f t="shared" si="0"/>
        <v>2093</v>
      </c>
      <c r="CT5" s="1149">
        <f t="shared" si="0"/>
        <v>2094</v>
      </c>
      <c r="CU5" s="1149">
        <f t="shared" si="0"/>
        <v>2095</v>
      </c>
      <c r="CV5" s="1149">
        <f t="shared" si="0"/>
        <v>2096</v>
      </c>
      <c r="CW5" s="1149">
        <f t="shared" si="0"/>
        <v>2097</v>
      </c>
      <c r="CX5" s="1149">
        <f t="shared" si="0"/>
        <v>2098</v>
      </c>
      <c r="CY5" s="1149">
        <f t="shared" si="0"/>
        <v>2099</v>
      </c>
      <c r="CZ5" s="1149">
        <f t="shared" si="0"/>
        <v>2100</v>
      </c>
    </row>
    <row r="6" spans="1:104" ht="14" thickBot="1">
      <c r="A6" s="806" t="s">
        <v>1087</v>
      </c>
      <c r="B6" s="807"/>
      <c r="C6" s="807"/>
      <c r="D6" s="807"/>
      <c r="E6" s="807"/>
      <c r="F6" s="735"/>
      <c r="G6" s="807"/>
      <c r="H6" s="807"/>
      <c r="I6" s="807"/>
      <c r="J6" s="807"/>
      <c r="K6" s="807"/>
      <c r="L6" s="807"/>
      <c r="M6" s="807"/>
      <c r="N6" s="807"/>
      <c r="O6" s="807"/>
      <c r="P6" s="807"/>
      <c r="Q6" s="807"/>
      <c r="R6" s="807"/>
      <c r="S6" s="807"/>
      <c r="T6" s="807"/>
      <c r="U6" s="807"/>
      <c r="V6" s="807"/>
      <c r="W6" s="807"/>
      <c r="X6" s="807"/>
      <c r="Y6" s="807"/>
      <c r="Z6" s="807"/>
      <c r="AA6" s="807"/>
      <c r="AB6" s="807"/>
      <c r="AC6" s="807"/>
      <c r="AD6" s="807"/>
      <c r="AE6" s="807"/>
      <c r="AF6" s="807"/>
      <c r="AG6" s="807"/>
      <c r="AH6" s="807"/>
      <c r="AI6" s="807"/>
      <c r="AJ6" s="807"/>
      <c r="AK6" s="807"/>
      <c r="AL6" s="807"/>
      <c r="AM6" s="807"/>
      <c r="AN6" s="807"/>
      <c r="AO6" s="807"/>
      <c r="AP6" s="807"/>
      <c r="AQ6" s="807"/>
      <c r="AR6" s="807"/>
      <c r="AS6" s="807"/>
      <c r="AT6" s="807"/>
      <c r="AU6" s="807"/>
      <c r="AV6" s="807"/>
      <c r="AW6" s="807"/>
      <c r="AX6" s="807"/>
      <c r="AY6" s="807"/>
      <c r="AZ6" s="807"/>
      <c r="BA6" s="807"/>
      <c r="BC6" s="807"/>
      <c r="BD6" s="807"/>
      <c r="BE6" s="807"/>
      <c r="BF6" s="807"/>
      <c r="BG6" s="807"/>
      <c r="BH6" s="807"/>
      <c r="BI6" s="807"/>
      <c r="BJ6" s="807"/>
      <c r="BK6" s="807"/>
      <c r="BL6" s="807"/>
      <c r="BM6" s="807"/>
      <c r="BN6" s="807"/>
      <c r="BO6" s="807"/>
      <c r="BP6" s="807"/>
      <c r="BR6" s="807"/>
      <c r="BS6" s="807"/>
      <c r="BT6" s="807"/>
      <c r="BU6" s="807"/>
    </row>
    <row r="7" spans="1:104">
      <c r="A7" s="821" t="str">
        <f>'HyARC Physical Property Data'!A73</f>
        <v>Residential Natural Gas</v>
      </c>
      <c r="B7" s="807">
        <v>2007</v>
      </c>
      <c r="C7" s="808">
        <f>VLOOKUP(ref_year,DeflatorTable,2,FALSE)/VLOOKUP(B7,DeflatorTable,2,FALSE)</f>
        <v>1.1413971588333081</v>
      </c>
      <c r="D7" s="821" t="str">
        <f>'HyARC Physical Property Data'!H73</f>
        <v>mmBtu</v>
      </c>
      <c r="E7" s="808" t="s">
        <v>1055</v>
      </c>
      <c r="F7" s="807">
        <f>'HyARC Physical Property Data'!$E$6</f>
        <v>47.141269049911173</v>
      </c>
      <c r="G7" s="807">
        <f>'HyARC Physical Property Data'!$I$6</f>
        <v>52.224661236371581</v>
      </c>
      <c r="H7" s="807">
        <f>((13.7000589370728/(mmBTU_to_GJ))*($C$7))*($G$7/$F$7)</f>
        <v>16.420301417436011</v>
      </c>
      <c r="I7" s="807">
        <f>((13.7000589370728/(mmBTU_to_GJ))*($C$7))*($G$7/$F$7)</f>
        <v>16.420301417436011</v>
      </c>
      <c r="J7" s="807">
        <f>((13.7000589370728/(mmBTU_to_GJ))*($C$7))*($G$7/$F$7)</f>
        <v>16.420301417436011</v>
      </c>
      <c r="K7" s="807">
        <f>((12.6911582946777/(mmBTU_to_GJ))*($C$7))*($G$7/$F$7)</f>
        <v>15.211076499173579</v>
      </c>
      <c r="L7" s="807">
        <f>((12.9778490066528/(mmBTU_to_GJ))*($C$7))*($G$7/$F$7)</f>
        <v>15.55469165629321</v>
      </c>
      <c r="M7" s="807">
        <f>((10.7176141738892/(mmBTU_to_GJ))*($C$7))*($G$7/$F$7)</f>
        <v>12.845671395968969</v>
      </c>
      <c r="N7" s="807">
        <f>((11.192774772644/(mmBTU_to_GJ))*($C$7))*($G$7/$F$7)</f>
        <v>13.415178453499211</v>
      </c>
      <c r="O7" s="807">
        <f>((11.4872808456421/(mmBTU_to_GJ))*($C$7))*($G$7/$F$7)</f>
        <v>13.768160766210887</v>
      </c>
      <c r="P7" s="807">
        <f>((11.3991556167603/(mmBTU_to_GJ))*($C$7))*($G$7/$F$7)</f>
        <v>13.662537657042796</v>
      </c>
      <c r="Q7" s="807">
        <f>((11.3077983856201/(mmBTU_to_GJ))*($C$7))*($G$7/$F$7)</f>
        <v>13.553040808972668</v>
      </c>
      <c r="R7" s="807">
        <f>((11.2896461486816/(mmBTU_to_GJ))*($C$7))*($G$7/$F$7)</f>
        <v>13.531284318486023</v>
      </c>
      <c r="S7" s="807">
        <f>((11.3454151153564/(mmBTU_to_GJ))*($C$7))*($G$7/$F$7)</f>
        <v>13.598126603380225</v>
      </c>
      <c r="T7" s="807">
        <f>((11.5382986068726/(mmBTU_to_GJ))*($C$7))*($G$7/$F$7)</f>
        <v>13.829308460603693</v>
      </c>
      <c r="U7" s="807">
        <f>((11.7583208084106/(mmBTU_to_GJ))*($C$7))*($G$7/$F$7)</f>
        <v>14.093017608453076</v>
      </c>
      <c r="V7" s="807">
        <f>((11.9751005172729/(mmBTU_to_GJ))*($C$7))*($G$7/$F$7)</f>
        <v>14.352840444037428</v>
      </c>
      <c r="W7" s="807">
        <f>((12.23952293396/(mmBTU_to_GJ))*($C$7))*($G$7/$F$7)</f>
        <v>14.669765780159871</v>
      </c>
      <c r="X7" s="807">
        <f>((12.557071685791/(mmBTU_to_GJ))*($C$7))*($G$7/$F$7)</f>
        <v>15.050366056680263</v>
      </c>
      <c r="Y7" s="807">
        <f>((12.7957820892334/(mmBTU_to_GJ))*($C$7))*($G$7/$F$7)</f>
        <v>15.336474079573154</v>
      </c>
      <c r="Z7" s="807">
        <f>((12.8716516494751/(mmBTU_to_GJ))*($C$7))*($G$7/$F$7)</f>
        <v>15.427408071412112</v>
      </c>
      <c r="AA7" s="807">
        <f>((12.6602811813354/(mmBTU_to_GJ))*($C$7))*($G$7/$F$7)</f>
        <v>15.174068519112346</v>
      </c>
      <c r="AB7" s="807">
        <f>((12.6240320205688/(mmBTU_to_GJ))*($C$7))*($G$7/$F$7)</f>
        <v>15.130621834054226</v>
      </c>
      <c r="AC7" s="807">
        <f>((12.5992183685303/(mmBTU_to_GJ))*($C$7))*($G$7/$F$7)</f>
        <v>15.100881257928895</v>
      </c>
      <c r="AD7" s="807">
        <f>((12.7868556976318/(mmBTU_to_GJ))*($C$7))*($G$7/$F$7)</f>
        <v>15.325775290513809</v>
      </c>
      <c r="AE7" s="807">
        <f>((13.07555103302/(mmBTU_to_GJ))*($C$7))*($G$7/$F$7)</f>
        <v>15.671793103039724</v>
      </c>
      <c r="AF7" s="807">
        <f>((13.407883644104/(mmBTU_to_GJ))*($C$7))*($G$7/$F$7)</f>
        <v>16.070112677423158</v>
      </c>
      <c r="AG7" s="807">
        <f>((13.6725673675537/(mmBTU_to_GJ))*($C$7))*($G$7/$F$7)</f>
        <v>16.387351204592733</v>
      </c>
      <c r="AH7" s="807">
        <f>((13.9620389938354/(mmBTU_to_GJ))*($C$7))*($G$7/$F$7)</f>
        <v>16.734299445996175</v>
      </c>
      <c r="AI7" s="807">
        <f>($BB7-$AH7)/20+AH7</f>
        <v>16.876364426263383</v>
      </c>
      <c r="AJ7" s="807">
        <f t="shared" ref="AJ7:AY10" si="1">($BB7-$AH7)/20+AI7</f>
        <v>17.01842940653059</v>
      </c>
      <c r="AK7" s="807">
        <f t="shared" si="1"/>
        <v>17.160494386797797</v>
      </c>
      <c r="AL7" s="807">
        <f t="shared" si="1"/>
        <v>17.302559367065005</v>
      </c>
      <c r="AM7" s="807">
        <f t="shared" si="1"/>
        <v>17.444624347332212</v>
      </c>
      <c r="AN7" s="807">
        <f t="shared" si="1"/>
        <v>17.586689327599419</v>
      </c>
      <c r="AO7" s="807">
        <f t="shared" si="1"/>
        <v>17.728754307866627</v>
      </c>
      <c r="AP7" s="807">
        <f t="shared" si="1"/>
        <v>17.870819288133834</v>
      </c>
      <c r="AQ7" s="807">
        <f t="shared" si="1"/>
        <v>18.012884268401042</v>
      </c>
      <c r="AR7" s="807">
        <f t="shared" si="1"/>
        <v>18.154949248668249</v>
      </c>
      <c r="AS7" s="807">
        <f t="shared" si="1"/>
        <v>18.297014228935456</v>
      </c>
      <c r="AT7" s="807">
        <f t="shared" si="1"/>
        <v>18.439079209202664</v>
      </c>
      <c r="AU7" s="807">
        <f t="shared" si="1"/>
        <v>18.581144189469871</v>
      </c>
      <c r="AV7" s="807">
        <f t="shared" si="1"/>
        <v>18.723209169737078</v>
      </c>
      <c r="AW7" s="807">
        <f t="shared" si="1"/>
        <v>18.865274150004286</v>
      </c>
      <c r="AX7" s="807">
        <f t="shared" si="1"/>
        <v>19.007339130271493</v>
      </c>
      <c r="AY7" s="807">
        <f t="shared" si="1"/>
        <v>19.149404110538701</v>
      </c>
      <c r="AZ7" s="807">
        <f t="shared" ref="AY7:BA10" si="2">($BB7-$AH7)/20+AY7</f>
        <v>19.291469090805908</v>
      </c>
      <c r="BA7" s="807">
        <f t="shared" si="2"/>
        <v>19.433534071073115</v>
      </c>
      <c r="BB7" s="858">
        <f>1.16978897829057*AH7</f>
        <v>19.575599051340316</v>
      </c>
      <c r="BC7" s="807">
        <f>($BQ7-$BB7)/15+BB7</f>
        <v>19.769431803386947</v>
      </c>
      <c r="BD7" s="807">
        <f t="shared" ref="BD7:BP7" si="3">($BQ7-$BB7)/15+BC7</f>
        <v>19.963264555433579</v>
      </c>
      <c r="BE7" s="807">
        <f t="shared" si="3"/>
        <v>20.15709730748021</v>
      </c>
      <c r="BF7" s="807">
        <f t="shared" si="3"/>
        <v>20.350930059526842</v>
      </c>
      <c r="BG7" s="807">
        <f t="shared" si="3"/>
        <v>20.544762811573474</v>
      </c>
      <c r="BH7" s="807">
        <f t="shared" si="3"/>
        <v>20.738595563620105</v>
      </c>
      <c r="BI7" s="807">
        <f t="shared" si="3"/>
        <v>20.932428315666737</v>
      </c>
      <c r="BJ7" s="807">
        <f t="shared" si="3"/>
        <v>21.126261067713369</v>
      </c>
      <c r="BK7" s="807">
        <f t="shared" si="3"/>
        <v>21.32009381976</v>
      </c>
      <c r="BL7" s="807">
        <f t="shared" si="3"/>
        <v>21.513926571806632</v>
      </c>
      <c r="BM7" s="807">
        <f t="shared" si="3"/>
        <v>21.707759323853264</v>
      </c>
      <c r="BN7" s="807">
        <f t="shared" si="3"/>
        <v>21.901592075899895</v>
      </c>
      <c r="BO7" s="807">
        <f t="shared" si="3"/>
        <v>22.095424827946527</v>
      </c>
      <c r="BP7" s="807">
        <f t="shared" si="3"/>
        <v>22.289257579993158</v>
      </c>
      <c r="BQ7" s="858">
        <f>1.14852629914794*BB7</f>
        <v>22.483090332039815</v>
      </c>
      <c r="BR7" s="807">
        <f>($BV7-$BQ7)/5+BQ7</f>
        <v>22.705712345401611</v>
      </c>
      <c r="BS7" s="807">
        <f>($BV7-$BQ7)/5+BR7</f>
        <v>22.928334358763408</v>
      </c>
      <c r="BT7" s="807">
        <f>($BV7-$BQ7)/5+BS7</f>
        <v>23.150956372125204</v>
      </c>
      <c r="BU7" s="807">
        <f>($BV7-$BQ7)/5+BT7</f>
        <v>23.373578385487001</v>
      </c>
      <c r="BV7" s="859">
        <f>1.04950876638265*BQ7</f>
        <v>23.59620039884879</v>
      </c>
      <c r="BW7" s="1148">
        <f>+BV7*BW$133/BV$133</f>
        <v>23.674546722408877</v>
      </c>
      <c r="BX7" s="1148">
        <f t="shared" ref="BX7:CZ7" si="4">+BW7*BX$133/BW$133</f>
        <v>23.753153178800169</v>
      </c>
      <c r="BY7" s="1148">
        <f t="shared" si="4"/>
        <v>23.832020631740154</v>
      </c>
      <c r="BZ7" s="1148">
        <f t="shared" si="4"/>
        <v>23.911149947814113</v>
      </c>
      <c r="CA7" s="1148">
        <f t="shared" si="4"/>
        <v>23.990541996484659</v>
      </c>
      <c r="CB7" s="1148">
        <f t="shared" si="4"/>
        <v>24.041736091563465</v>
      </c>
      <c r="CC7" s="1148">
        <f t="shared" si="4"/>
        <v>24.093039431167519</v>
      </c>
      <c r="CD7" s="1148">
        <f t="shared" si="4"/>
        <v>24.144452248416805</v>
      </c>
      <c r="CE7" s="1148">
        <f t="shared" si="4"/>
        <v>24.195974776928761</v>
      </c>
      <c r="CF7" s="1148">
        <f t="shared" si="4"/>
        <v>24.247607250819346</v>
      </c>
      <c r="CG7" s="1148">
        <f t="shared" si="4"/>
        <v>24.264371987566129</v>
      </c>
      <c r="CH7" s="1148">
        <f t="shared" si="4"/>
        <v>24.281148315411173</v>
      </c>
      <c r="CI7" s="1148">
        <f t="shared" si="4"/>
        <v>24.297936242368532</v>
      </c>
      <c r="CJ7" s="1148">
        <f t="shared" si="4"/>
        <v>24.314735776457805</v>
      </c>
      <c r="CK7" s="1148">
        <f t="shared" si="4"/>
        <v>24.331546925704139</v>
      </c>
      <c r="CL7" s="1148">
        <f t="shared" si="4"/>
        <v>24.337245159046461</v>
      </c>
      <c r="CM7" s="1148">
        <f t="shared" si="4"/>
        <v>24.34294472686469</v>
      </c>
      <c r="CN7" s="1148">
        <f t="shared" si="4"/>
        <v>24.348645629471353</v>
      </c>
      <c r="CO7" s="1148">
        <f t="shared" si="4"/>
        <v>24.354347867179047</v>
      </c>
      <c r="CP7" s="1148">
        <f t="shared" si="4"/>
        <v>24.360051440300435</v>
      </c>
      <c r="CQ7" s="1148">
        <f t="shared" si="4"/>
        <v>24.368695752977374</v>
      </c>
      <c r="CR7" s="1148">
        <f t="shared" si="4"/>
        <v>24.377343133141338</v>
      </c>
      <c r="CS7" s="1148">
        <f t="shared" si="4"/>
        <v>24.38599358188084</v>
      </c>
      <c r="CT7" s="1148">
        <f t="shared" si="4"/>
        <v>24.394647100284782</v>
      </c>
      <c r="CU7" s="1148">
        <f t="shared" si="4"/>
        <v>24.403303689442453</v>
      </c>
      <c r="CV7" s="1148">
        <f t="shared" si="4"/>
        <v>24.416626216805682</v>
      </c>
      <c r="CW7" s="1148">
        <f t="shared" si="4"/>
        <v>24.429956017353625</v>
      </c>
      <c r="CX7" s="1148">
        <f t="shared" si="4"/>
        <v>24.443293095056941</v>
      </c>
      <c r="CY7" s="1148">
        <f t="shared" si="4"/>
        <v>24.456637453888455</v>
      </c>
      <c r="CZ7" s="1148">
        <f t="shared" si="4"/>
        <v>24.469989097823163</v>
      </c>
    </row>
    <row r="8" spans="1:104">
      <c r="A8" s="739" t="str">
        <f>'HyARC Physical Property Data'!A71</f>
        <v>Commercial Natural Gas</v>
      </c>
      <c r="B8">
        <v>2007</v>
      </c>
      <c r="C8" s="738">
        <f>VLOOKUP(ref_year,DeflatorTable,2,FALSE)/VLOOKUP(B8,DeflatorTable,2,FALSE)</f>
        <v>1.1413971588333081</v>
      </c>
      <c r="D8" s="739" t="str">
        <f>'HyARC Physical Property Data'!H71</f>
        <v>mmBtu</v>
      </c>
      <c r="E8" s="738" t="s">
        <v>1055</v>
      </c>
      <c r="F8">
        <f>'HyARC Physical Property Data'!$E$6</f>
        <v>47.141269049911173</v>
      </c>
      <c r="G8">
        <f>'HyARC Physical Property Data'!$I$6</f>
        <v>52.224661236371581</v>
      </c>
      <c r="H8">
        <f>((11.8960943222046/(mmBTU_to_GJ))*($C$8))*($G$8/$F$8)</f>
        <v>14.25814701659854</v>
      </c>
      <c r="I8">
        <f>((11.8960943222046/(mmBTU_to_GJ))*($C$8))*($G$8/$F$8)</f>
        <v>14.25814701659854</v>
      </c>
      <c r="J8">
        <f>((11.8960943222046/(mmBTU_to_GJ))*($C$8))*($G$8/$F$8)</f>
        <v>14.25814701659854</v>
      </c>
      <c r="K8">
        <f>((10.9898433685303/(mmBTU_to_GJ))*($C$8))*($G$8/$F$8)</f>
        <v>13.1719536003861</v>
      </c>
      <c r="L8">
        <f>((11.3387994766235/(mmBTU_to_GJ))*($C$8))*($G$8/$F$8)</f>
        <v>13.590197383326352</v>
      </c>
      <c r="M8">
        <f>((8.90759468078613/(mmBTU_to_GJ))*($C$8))*($G$8/$F$8)</f>
        <v>10.676259878492866</v>
      </c>
      <c r="N8">
        <f>((9.46560573577881/(mmBTU_to_GJ))*($C$8))*($G$8/$F$8)</f>
        <v>11.345067929562392</v>
      </c>
      <c r="O8">
        <f>((9.74632167816162/(mmBTU_to_GJ))*($C$8))*($G$8/$F$8)</f>
        <v>11.681521984817001</v>
      </c>
      <c r="P8">
        <f>((9.72109222412109/(mmBTU_to_GJ))*($C$8))*($G$8/$F$8)</f>
        <v>11.651283046295227</v>
      </c>
      <c r="Q8">
        <f>((9.67193412780762/(mmBTU_to_GJ))*($C$8))*($G$8/$F$8)</f>
        <v>11.59236426628982</v>
      </c>
      <c r="R8">
        <f>((9.71388721466064/(mmBTU_to_GJ))*($C$8))*($G$8/$F$8)</f>
        <v>11.642647431835503</v>
      </c>
      <c r="S8">
        <f>((9.83065605163574/(mmBTU_to_GJ))*($C$8))*($G$8/$F$8)</f>
        <v>11.782601537733989</v>
      </c>
      <c r="T8">
        <f>((10.0382099151611/(mmBTU_to_GJ))*($C$8))*($G$8/$F$8)</f>
        <v>12.031366671890995</v>
      </c>
      <c r="U8">
        <f>((10.2545003890991/(mmBTU_to_GJ))*($C$8))*($G$8/$F$8)</f>
        <v>12.290603131536537</v>
      </c>
      <c r="V8">
        <f>((10.476261138916/(mmBTU_to_GJ))*($C$8))*($G$8/$F$8)</f>
        <v>12.556396028579952</v>
      </c>
      <c r="W8">
        <f>((10.746561050415/(mmBTU_to_GJ))*($C$8))*($G$8/$F$8)</f>
        <v>12.880365877199319</v>
      </c>
      <c r="X8">
        <f>((11.0803880691528/(mmBTU_to_GJ))*($C$8))*($G$8/$F$8)</f>
        <v>13.280476584323763</v>
      </c>
      <c r="Y8">
        <f>((11.3143692016602/(mmBTU_to_GJ))*($C$8))*($G$8/$F$8)</f>
        <v>13.560916306474725</v>
      </c>
      <c r="Z8">
        <f>((11.4017143249512/(mmBTU_to_GJ))*($C$8))*($G$8/$F$8)</f>
        <v>13.665604414633171</v>
      </c>
      <c r="AA8">
        <f>((11.2125005722046/(mmBTU_to_GJ))*($C$8))*($G$8/$F$8)</f>
        <v>13.438820948467498</v>
      </c>
      <c r="AB8">
        <f>((11.1975994110107/(mmBTU_to_GJ))*($C$8))*($G$8/$F$8)</f>
        <v>13.420961057543121</v>
      </c>
      <c r="AC8">
        <f>((11.159740447998/(mmBTU_to_GJ))*($C$8))*($G$8/$F$8)</f>
        <v>13.37558493274866</v>
      </c>
      <c r="AD8">
        <f>((11.3503875732422/(mmBTU_to_GJ))*($C$8))*($G$8/$F$8)</f>
        <v>13.604086377542172</v>
      </c>
      <c r="AE8">
        <f>((11.6409521102905/(mmBTU_to_GJ))*($C$8))*($G$8/$F$8)</f>
        <v>13.952344534785565</v>
      </c>
      <c r="AF8">
        <f>((11.9785671234131/(mmBTU_to_GJ))*($C$8))*($G$8/$F$8)</f>
        <v>14.356995369062137</v>
      </c>
      <c r="AG8">
        <f>((12.2332496643066/(mmBTU_to_GJ))*($C$8))*($G$8/$F$8)</f>
        <v>14.662246908959766</v>
      </c>
      <c r="AH8">
        <f>((12.5188312530518/(mmBTU_to_GJ))*($C$8))*($G$8/$F$8)</f>
        <v>15.004532718678215</v>
      </c>
      <c r="AI8">
        <f>($BB8-$AH8)/20+AH8</f>
        <v>15.131912932679805</v>
      </c>
      <c r="AJ8">
        <f t="shared" si="1"/>
        <v>15.259293146681395</v>
      </c>
      <c r="AK8">
        <f t="shared" si="1"/>
        <v>15.386673360682986</v>
      </c>
      <c r="AL8">
        <f t="shared" si="1"/>
        <v>15.514053574684576</v>
      </c>
      <c r="AM8">
        <f t="shared" si="1"/>
        <v>15.641433788686166</v>
      </c>
      <c r="AN8">
        <f t="shared" si="1"/>
        <v>15.768814002687757</v>
      </c>
      <c r="AO8">
        <f t="shared" si="1"/>
        <v>15.896194216689347</v>
      </c>
      <c r="AP8">
        <f t="shared" si="1"/>
        <v>16.023574430690935</v>
      </c>
      <c r="AQ8">
        <f t="shared" si="1"/>
        <v>16.150954644692526</v>
      </c>
      <c r="AR8">
        <f t="shared" si="1"/>
        <v>16.278334858694116</v>
      </c>
      <c r="AS8">
        <f t="shared" si="1"/>
        <v>16.405715072695706</v>
      </c>
      <c r="AT8">
        <f t="shared" si="1"/>
        <v>16.533095286697296</v>
      </c>
      <c r="AU8">
        <f t="shared" si="1"/>
        <v>16.660475500698887</v>
      </c>
      <c r="AV8">
        <f t="shared" si="1"/>
        <v>16.787855714700477</v>
      </c>
      <c r="AW8">
        <f t="shared" si="1"/>
        <v>16.915235928702067</v>
      </c>
      <c r="AX8">
        <f t="shared" si="1"/>
        <v>17.042616142703658</v>
      </c>
      <c r="AY8">
        <f t="shared" si="2"/>
        <v>17.169996356705248</v>
      </c>
      <c r="AZ8">
        <f t="shared" si="2"/>
        <v>17.297376570706838</v>
      </c>
      <c r="BA8">
        <f t="shared" si="2"/>
        <v>17.424756784708428</v>
      </c>
      <c r="BB8" s="857">
        <f>1.16978897829057*AH8</f>
        <v>17.552136998710015</v>
      </c>
      <c r="BC8">
        <f t="shared" ref="BC8:BP10" si="5">($BQ8-$BB8)/15+BB8</f>
        <v>17.725933928747082</v>
      </c>
      <c r="BD8">
        <f t="shared" si="5"/>
        <v>17.899730858784149</v>
      </c>
      <c r="BE8">
        <f t="shared" si="5"/>
        <v>18.073527788821217</v>
      </c>
      <c r="BF8">
        <f t="shared" si="5"/>
        <v>18.247324718858284</v>
      </c>
      <c r="BG8">
        <f t="shared" si="5"/>
        <v>18.421121648895351</v>
      </c>
      <c r="BH8">
        <f t="shared" si="5"/>
        <v>18.594918578932418</v>
      </c>
      <c r="BI8">
        <f t="shared" si="5"/>
        <v>18.768715508969485</v>
      </c>
      <c r="BJ8">
        <f t="shared" si="5"/>
        <v>18.942512439006553</v>
      </c>
      <c r="BK8">
        <f t="shared" si="5"/>
        <v>19.11630936904362</v>
      </c>
      <c r="BL8">
        <f t="shared" si="5"/>
        <v>19.290106299080687</v>
      </c>
      <c r="BM8">
        <f t="shared" si="5"/>
        <v>19.463903229117754</v>
      </c>
      <c r="BN8">
        <f t="shared" si="5"/>
        <v>19.637700159154821</v>
      </c>
      <c r="BO8">
        <f t="shared" si="5"/>
        <v>19.811497089191889</v>
      </c>
      <c r="BP8">
        <f t="shared" si="5"/>
        <v>19.985294019228956</v>
      </c>
      <c r="BQ8" s="857">
        <f>1.14852629914794*BB8</f>
        <v>20.159090949266044</v>
      </c>
      <c r="BR8">
        <f t="shared" ref="BR8:BU10" si="6">($BV8-$BQ8)/5+BQ8</f>
        <v>20.358701294124806</v>
      </c>
      <c r="BS8">
        <f t="shared" si="6"/>
        <v>20.558311638983568</v>
      </c>
      <c r="BT8">
        <f t="shared" si="6"/>
        <v>20.75792198384233</v>
      </c>
      <c r="BU8">
        <f t="shared" si="6"/>
        <v>20.957532328701092</v>
      </c>
      <c r="BV8" s="860">
        <f>1.04950876638265*BQ8</f>
        <v>21.15714267355985</v>
      </c>
      <c r="BW8" s="1148">
        <f>+BV8*BW$134/BV$134</f>
        <v>21.227390608290499</v>
      </c>
      <c r="BX8" s="1148">
        <f t="shared" ref="BX8:CZ8" si="7">+BW8*BX$134/BW$134</f>
        <v>21.297871786820185</v>
      </c>
      <c r="BY8" s="1148">
        <f t="shared" si="7"/>
        <v>21.368586983586905</v>
      </c>
      <c r="BZ8" s="1148">
        <f t="shared" si="7"/>
        <v>21.439536975600014</v>
      </c>
      <c r="CA8" s="1148">
        <f t="shared" si="7"/>
        <v>21.510722542448768</v>
      </c>
      <c r="CB8" s="1148">
        <f t="shared" si="7"/>
        <v>21.556624880762481</v>
      </c>
      <c r="CC8" s="1148">
        <f t="shared" si="7"/>
        <v>21.602625171372235</v>
      </c>
      <c r="CD8" s="1148">
        <f t="shared" si="7"/>
        <v>21.648723623301212</v>
      </c>
      <c r="CE8" s="1148">
        <f t="shared" si="7"/>
        <v>21.694920446018617</v>
      </c>
      <c r="CF8" s="1148">
        <f t="shared" si="7"/>
        <v>21.741215849440653</v>
      </c>
      <c r="CG8" s="1148">
        <f t="shared" si="7"/>
        <v>21.75624767326148</v>
      </c>
      <c r="CH8" s="1148">
        <f t="shared" si="7"/>
        <v>21.771289890048781</v>
      </c>
      <c r="CI8" s="1148">
        <f t="shared" si="7"/>
        <v>21.78634250698822</v>
      </c>
      <c r="CJ8" s="1148">
        <f t="shared" si="7"/>
        <v>21.801405531270447</v>
      </c>
      <c r="CK8" s="1148">
        <f t="shared" si="7"/>
        <v>21.816478970091065</v>
      </c>
      <c r="CL8" s="1148">
        <f t="shared" si="7"/>
        <v>21.821588196736581</v>
      </c>
      <c r="CM8" s="1148">
        <f t="shared" si="7"/>
        <v>21.826698619917845</v>
      </c>
      <c r="CN8" s="1148">
        <f t="shared" si="7"/>
        <v>21.831810239915068</v>
      </c>
      <c r="CO8" s="1148">
        <f t="shared" si="7"/>
        <v>21.836923057008537</v>
      </c>
      <c r="CP8" s="1148">
        <f t="shared" si="7"/>
        <v>21.8420370714786</v>
      </c>
      <c r="CQ8" s="1148">
        <f t="shared" si="7"/>
        <v>21.849787851414753</v>
      </c>
      <c r="CR8" s="1148">
        <f t="shared" si="7"/>
        <v>21.857541381762392</v>
      </c>
      <c r="CS8" s="1148">
        <f t="shared" si="7"/>
        <v>21.865297663497515</v>
      </c>
      <c r="CT8" s="1148">
        <f t="shared" si="7"/>
        <v>21.873056697596471</v>
      </c>
      <c r="CU8" s="1148">
        <f t="shared" si="7"/>
        <v>21.880818485035956</v>
      </c>
      <c r="CV8" s="1148">
        <f t="shared" si="7"/>
        <v>21.89276390876655</v>
      </c>
      <c r="CW8" s="1148">
        <f t="shared" si="7"/>
        <v>21.904715853877878</v>
      </c>
      <c r="CX8" s="1148">
        <f t="shared" si="7"/>
        <v>21.916674323930163</v>
      </c>
      <c r="CY8" s="1148">
        <f t="shared" si="7"/>
        <v>21.928639322485584</v>
      </c>
      <c r="CZ8" s="1148">
        <f t="shared" si="7"/>
        <v>21.940610853108243</v>
      </c>
    </row>
    <row r="9" spans="1:104">
      <c r="A9" s="739" t="str">
        <f>'HyARC Physical Property Data'!A72</f>
        <v>Industrial Natural Gas</v>
      </c>
      <c r="B9">
        <v>2007</v>
      </c>
      <c r="C9" s="738">
        <f t="shared" ref="C9:C18" si="8">VLOOKUP(ref_year,DeflatorTable,2,FALSE)/VLOOKUP(B9,DeflatorTable,2,FALSE)</f>
        <v>1.1413971588333081</v>
      </c>
      <c r="D9" s="1028" t="str">
        <f>'HyARC Physical Property Data'!H72</f>
        <v>mmBtu</v>
      </c>
      <c r="E9" s="738" t="s">
        <v>1055</v>
      </c>
      <c r="F9">
        <f>'HyARC Physical Property Data'!$E$6</f>
        <v>47.141269049911173</v>
      </c>
      <c r="G9">
        <f>'HyARC Physical Property Data'!$I$6</f>
        <v>52.224661236371581</v>
      </c>
      <c r="H9">
        <f>((7.95407009124756/(mmBTU_to_GJ))*($C$9))*($G$9/$F$9)</f>
        <v>9.5334063155208515</v>
      </c>
      <c r="I9">
        <f>((7.95407009124756/(mmBTU_to_GJ))*($C$9))*($G$9/$F$9)</f>
        <v>9.5334063155208515</v>
      </c>
      <c r="J9">
        <f>((7.95407009124756/(mmBTU_to_GJ))*($C$9))*($G$9/$F$9)</f>
        <v>9.5334063155208515</v>
      </c>
      <c r="K9">
        <f>((7.51525163650513/(mmBTU_to_GJ))*($C$9))*($G$9/$F$9)</f>
        <v>9.0074573887680014</v>
      </c>
      <c r="L9">
        <f>((8.80127239227294/(mmBTU_to_GJ))*($C$9))*($G$9/$F$9)</f>
        <v>10.54882655628621</v>
      </c>
      <c r="M9">
        <f>((4.84856796264648/(mmBTU_to_GJ))*($C$9))*($G$9/$F$9)</f>
        <v>5.8112850284270117</v>
      </c>
      <c r="N9">
        <f>((5.49891996383666/(mmBTU_to_GJ))*($C$9))*($G$9/$F$9)</f>
        <v>6.5907689661258342</v>
      </c>
      <c r="O9">
        <f>((5.82616424560547/(mmBTU_to_GJ))*($C$9))*($G$9/$F$9)</f>
        <v>6.9829898878355561</v>
      </c>
      <c r="P9">
        <f>((5.87778615951538/(mmBTU_to_GJ))*($C$9))*($G$9/$F$9)</f>
        <v>7.0448616936459612</v>
      </c>
      <c r="Q9">
        <f>((5.95383930206299/(mmBTU_to_GJ))*($C$9))*($G$9/$F$9)</f>
        <v>7.1360157193411098</v>
      </c>
      <c r="R9">
        <f>((6.10985708236694/(mmBTU_to_GJ))*($C$9))*($G$9/$F$9)</f>
        <v>7.3230119206594617</v>
      </c>
      <c r="S9">
        <f>((6.32948446273804/(mmBTU_to_GJ))*($C$9))*($G$9/$F$9)</f>
        <v>7.5862478528390263</v>
      </c>
      <c r="T9">
        <f>((6.51258134841919/(mmBTU_to_GJ))*($C$9))*($G$9/$F$9)</f>
        <v>7.8056999052198099</v>
      </c>
      <c r="U9">
        <f>((6.70273017883301/(mmBTU_to_GJ))*($C$9))*($G$9/$F$9)</f>
        <v>8.0336041152607454</v>
      </c>
      <c r="V9">
        <f>((6.89887094497681/(mmBTU_to_GJ))*($C$9))*($G$9/$F$9)</f>
        <v>8.2686900017610387</v>
      </c>
      <c r="W9">
        <f>((7.15282821655273/(mmBTU_to_GJ))*($C$9))*($G$9/$F$9)</f>
        <v>8.5730722650476565</v>
      </c>
      <c r="X9">
        <f>((7.46860218048096/(mmBTU_to_GJ))*($C$9))*($G$9/$F$9)</f>
        <v>8.9515453571194765</v>
      </c>
      <c r="Y9">
        <f>((7.67867755889893/(mmBTU_to_GJ))*($C$9))*($G$9/$F$9)</f>
        <v>9.2033326705791669</v>
      </c>
      <c r="Z9">
        <f>((7.75380706787109/(mmBTU_to_GJ))*($C$9))*($G$9/$F$9)</f>
        <v>9.2933796687952501</v>
      </c>
      <c r="AA9">
        <f>((7.55847835540771/(mmBTU_to_GJ))*($C$9))*($G$9/$F$9)</f>
        <v>9.0592670749107693</v>
      </c>
      <c r="AB9">
        <f>((7.54617786407471/(mmBTU_to_GJ))*($C$9))*($G$9/$F$9)</f>
        <v>9.0445242350297033</v>
      </c>
      <c r="AC9">
        <f>((7.45927095413208/(mmBTU_to_GJ))*($C$9))*($G$9/$F$9)</f>
        <v>8.9403613505435402</v>
      </c>
      <c r="AD9">
        <f>((7.60022306442261/(mmBTU_to_GJ))*($C$9))*($G$9/$F$9)</f>
        <v>9.109300487741784</v>
      </c>
      <c r="AE9">
        <f>((7.85960483551025/(mmBTU_to_GJ))*($C$9))*($G$9/$F$9)</f>
        <v>9.4201843228413633</v>
      </c>
      <c r="AF9">
        <f>((8.19417572021484/(mmBTU_to_GJ))*($C$9))*($G$9/$F$9)</f>
        <v>9.8211865957207394</v>
      </c>
      <c r="AG9">
        <f>((8.42161273956299/(mmBTU_to_GJ))*($C$9))*($G$9/$F$9)</f>
        <v>10.09378282529417</v>
      </c>
      <c r="AH9">
        <f>((8.69355010986328/(mmBTU_to_GJ))*($C$9))*($G$9/$F$9)</f>
        <v>10.419715261607452</v>
      </c>
      <c r="AI9">
        <f>($BB9-$AH9)/20+AH9</f>
        <v>10.508172902024802</v>
      </c>
      <c r="AJ9">
        <f t="shared" si="1"/>
        <v>10.596630542442151</v>
      </c>
      <c r="AK9">
        <f t="shared" si="1"/>
        <v>10.6850881828595</v>
      </c>
      <c r="AL9">
        <f t="shared" si="1"/>
        <v>10.77354582327685</v>
      </c>
      <c r="AM9">
        <f t="shared" si="1"/>
        <v>10.862003463694199</v>
      </c>
      <c r="AN9">
        <f t="shared" si="1"/>
        <v>10.950461104111548</v>
      </c>
      <c r="AO9">
        <f t="shared" si="1"/>
        <v>11.038918744528898</v>
      </c>
      <c r="AP9">
        <f t="shared" si="1"/>
        <v>11.127376384946247</v>
      </c>
      <c r="AQ9">
        <f t="shared" si="1"/>
        <v>11.215834025363597</v>
      </c>
      <c r="AR9">
        <f t="shared" si="1"/>
        <v>11.304291665780946</v>
      </c>
      <c r="AS9">
        <f t="shared" si="1"/>
        <v>11.392749306198295</v>
      </c>
      <c r="AT9">
        <f t="shared" si="1"/>
        <v>11.481206946615645</v>
      </c>
      <c r="AU9">
        <f t="shared" si="1"/>
        <v>11.569664587032994</v>
      </c>
      <c r="AV9">
        <f t="shared" si="1"/>
        <v>11.658122227450344</v>
      </c>
      <c r="AW9">
        <f t="shared" si="1"/>
        <v>11.746579867867693</v>
      </c>
      <c r="AX9">
        <f t="shared" si="1"/>
        <v>11.835037508285042</v>
      </c>
      <c r="AY9">
        <f t="shared" si="1"/>
        <v>11.923495148702392</v>
      </c>
      <c r="AZ9">
        <f t="shared" si="2"/>
        <v>12.011952789119741</v>
      </c>
      <c r="BA9">
        <f t="shared" si="2"/>
        <v>12.10041042953709</v>
      </c>
      <c r="BB9" s="857">
        <f>1.16978897829057*AH9</f>
        <v>12.18886806995444</v>
      </c>
      <c r="BC9">
        <f t="shared" si="5"/>
        <v>12.309559234303295</v>
      </c>
      <c r="BD9">
        <f t="shared" si="5"/>
        <v>12.43025039865215</v>
      </c>
      <c r="BE9">
        <f t="shared" si="5"/>
        <v>12.550941563001006</v>
      </c>
      <c r="BF9">
        <f t="shared" si="5"/>
        <v>12.671632727349861</v>
      </c>
      <c r="BG9">
        <f t="shared" si="5"/>
        <v>12.792323891698716</v>
      </c>
      <c r="BH9">
        <f t="shared" si="5"/>
        <v>12.913015056047572</v>
      </c>
      <c r="BI9">
        <f t="shared" si="5"/>
        <v>13.033706220396427</v>
      </c>
      <c r="BJ9">
        <f t="shared" si="5"/>
        <v>13.154397384745282</v>
      </c>
      <c r="BK9">
        <f t="shared" si="5"/>
        <v>13.275088549094137</v>
      </c>
      <c r="BL9">
        <f t="shared" si="5"/>
        <v>13.395779713442993</v>
      </c>
      <c r="BM9">
        <f t="shared" si="5"/>
        <v>13.516470877791848</v>
      </c>
      <c r="BN9">
        <f t="shared" si="5"/>
        <v>13.637162042140703</v>
      </c>
      <c r="BO9">
        <f t="shared" si="5"/>
        <v>13.757853206489559</v>
      </c>
      <c r="BP9">
        <f t="shared" si="5"/>
        <v>13.878544370838414</v>
      </c>
      <c r="BQ9" s="857">
        <f>1.14852629914794*BB9</f>
        <v>13.999235535187266</v>
      </c>
      <c r="BR9">
        <f t="shared" si="6"/>
        <v>14.137852511516721</v>
      </c>
      <c r="BS9">
        <f t="shared" si="6"/>
        <v>14.276469487846176</v>
      </c>
      <c r="BT9">
        <f t="shared" si="6"/>
        <v>14.415086464175632</v>
      </c>
      <c r="BU9">
        <f t="shared" si="6"/>
        <v>14.553703440505087</v>
      </c>
      <c r="BV9" s="860">
        <f>1.04950876638265*BQ9</f>
        <v>14.692320416834542</v>
      </c>
      <c r="BW9" s="1148">
        <f>+BV9*BW$135/BV$135</f>
        <v>14.741103240754025</v>
      </c>
      <c r="BX9" s="1148">
        <f t="shared" ref="BX9:CZ9" si="9">+BW9*BX$135/BW$135</f>
        <v>14.79004803799304</v>
      </c>
      <c r="BY9" s="1148">
        <f t="shared" si="9"/>
        <v>14.839155346350635</v>
      </c>
      <c r="BZ9" s="1148">
        <f t="shared" si="9"/>
        <v>14.888425705411509</v>
      </c>
      <c r="CA9" s="1148">
        <f t="shared" si="9"/>
        <v>14.937859656551939</v>
      </c>
      <c r="CB9" s="1148">
        <f t="shared" si="9"/>
        <v>14.969735977130417</v>
      </c>
      <c r="CC9" s="1148">
        <f t="shared" si="9"/>
        <v>15.001680319489591</v>
      </c>
      <c r="CD9" s="1148">
        <f t="shared" si="9"/>
        <v>15.033692828783058</v>
      </c>
      <c r="CE9" s="1148">
        <f t="shared" si="9"/>
        <v>15.065773650474167</v>
      </c>
      <c r="CF9" s="1148">
        <f t="shared" si="9"/>
        <v>15.09792293033667</v>
      </c>
      <c r="CG9" s="1148">
        <f t="shared" si="9"/>
        <v>15.10836159757225</v>
      </c>
      <c r="CH9" s="1148">
        <f t="shared" si="9"/>
        <v>15.118807482076999</v>
      </c>
      <c r="CI9" s="1148">
        <f t="shared" si="9"/>
        <v>15.129260588840916</v>
      </c>
      <c r="CJ9" s="1148">
        <f t="shared" si="9"/>
        <v>15.139720922857455</v>
      </c>
      <c r="CK9" s="1148">
        <f t="shared" si="9"/>
        <v>15.150188489123522</v>
      </c>
      <c r="CL9" s="1148">
        <f t="shared" si="9"/>
        <v>15.153736529429171</v>
      </c>
      <c r="CM9" s="1148">
        <f t="shared" si="9"/>
        <v>15.157285400654516</v>
      </c>
      <c r="CN9" s="1148">
        <f t="shared" si="9"/>
        <v>15.160835102994151</v>
      </c>
      <c r="CO9" s="1148">
        <f t="shared" si="9"/>
        <v>15.164385636642713</v>
      </c>
      <c r="CP9" s="1148">
        <f t="shared" si="9"/>
        <v>15.167937001794892</v>
      </c>
      <c r="CQ9" s="1148">
        <f t="shared" si="9"/>
        <v>15.173319436656698</v>
      </c>
      <c r="CR9" s="1148">
        <f t="shared" si="9"/>
        <v>15.178703781508307</v>
      </c>
      <c r="CS9" s="1148">
        <f t="shared" si="9"/>
        <v>15.184090037027495</v>
      </c>
      <c r="CT9" s="1148">
        <f t="shared" si="9"/>
        <v>15.189478203892271</v>
      </c>
      <c r="CU9" s="1148">
        <f t="shared" si="9"/>
        <v>15.194868282780888</v>
      </c>
      <c r="CV9" s="1148">
        <f t="shared" si="9"/>
        <v>15.203163637010553</v>
      </c>
      <c r="CW9" s="1148">
        <f t="shared" si="9"/>
        <v>15.211463519933757</v>
      </c>
      <c r="CX9" s="1148">
        <f t="shared" si="9"/>
        <v>15.219767934022853</v>
      </c>
      <c r="CY9" s="1148">
        <f t="shared" si="9"/>
        <v>15.228076881751546</v>
      </c>
      <c r="CZ9" s="1148">
        <f t="shared" si="9"/>
        <v>15.236390365594895</v>
      </c>
    </row>
    <row r="10" spans="1:104">
      <c r="A10" s="739" t="str">
        <f>'HyARC Physical Property Data'!A74</f>
        <v>Electric Utility Natural Gas</v>
      </c>
      <c r="B10">
        <v>2007</v>
      </c>
      <c r="C10" s="738">
        <f t="shared" si="8"/>
        <v>1.1413971588333081</v>
      </c>
      <c r="D10" s="1028" t="str">
        <f>'HyARC Physical Property Data'!H74</f>
        <v>mmBtu</v>
      </c>
      <c r="E10" s="738" t="s">
        <v>1055</v>
      </c>
      <c r="F10">
        <f>'HyARC Physical Property Data'!$E$6</f>
        <v>47.141269049911173</v>
      </c>
      <c r="G10">
        <f>'HyARC Physical Property Data'!$I$6</f>
        <v>52.224661236371581</v>
      </c>
      <c r="H10">
        <f>((7.05463790893555/(mmBTU_to_GJ))*($C$10))*($G$10/$F$10)</f>
        <v>8.4553855853953603</v>
      </c>
      <c r="I10">
        <f>((7.05463790893555/(mmBTU_to_GJ))*($C$10))*($G$10/$F$10)</f>
        <v>8.4553855853953603</v>
      </c>
      <c r="J10">
        <f>((7.05463790893555/(mmBTU_to_GJ))*($C$10))*($G$10/$F$10)</f>
        <v>8.4553855853953603</v>
      </c>
      <c r="K10">
        <f>((7.01915979385375/(mmBTU_to_GJ))*($C$10))*($G$10/$F$10)</f>
        <v>8.4128630425332123</v>
      </c>
      <c r="L10">
        <f>((8.87161254882813/(mmBTU_to_GJ))*($C$10))*($G$10/$F$10)</f>
        <v>10.63313324268012</v>
      </c>
      <c r="M10">
        <f>((4.55562210083008/(mmBTU_to_GJ))*($C$10))*($G$10/$F$10)</f>
        <v>5.4601727177347454</v>
      </c>
      <c r="N10">
        <f>((5.12931346893311/(mmBTU_to_GJ))*($C$10))*($G$10/$F$10)</f>
        <v>6.1477745177052308</v>
      </c>
      <c r="O10">
        <f>((5.45354604721069/(mmBTU_to_GJ))*($C$10))*($G$10/$F$10)</f>
        <v>6.5363857411404362</v>
      </c>
      <c r="P10">
        <f>((5.51876354217529/(mmBTU_to_GJ))*($C$10))*($G$10/$F$10)</f>
        <v>6.6145526256719327</v>
      </c>
      <c r="Q10">
        <f>((5.53977298736572/(mmBTU_to_GJ))*($C$10))*($G$10/$F$10)</f>
        <v>6.6397336430839395</v>
      </c>
      <c r="R10">
        <f>((5.68350362777709/(mmBTU_to_GJ))*($C$10))*($G$10/$F$10)</f>
        <v>6.8120030069834847</v>
      </c>
      <c r="S10">
        <f>((5.8920464515686/(mmBTU_to_GJ))*($C$10))*($G$10/$F$10)</f>
        <v>7.0619534663813974</v>
      </c>
      <c r="T10">
        <f>((6.08193254470825/(mmBTU_to_GJ))*($C$10))*($G$10/$F$10)</f>
        <v>7.2895427708255562</v>
      </c>
      <c r="U10">
        <f>((6.26939964294434/(mmBTU_to_GJ))*($C$10))*($G$10/$F$10)</f>
        <v>7.5142327720166309</v>
      </c>
      <c r="V10">
        <f>((6.47751331329346/(mmBTU_to_GJ))*($C$10))*($G$10/$F$10)</f>
        <v>7.7636688665559168</v>
      </c>
      <c r="W10">
        <f>((6.73541975021362/(mmBTU_to_GJ))*($C$10))*($G$10/$F$10)</f>
        <v>8.0727844295748614</v>
      </c>
      <c r="X10">
        <f>((7.02784395217896/(mmBTU_to_GJ))*($C$10))*($G$10/$F$10)</f>
        <v>8.4232715012056651</v>
      </c>
      <c r="Y10">
        <f>((7.25390911102295/(mmBTU_to_GJ))*($C$10))*($G$10/$F$10)</f>
        <v>8.6942234777810281</v>
      </c>
      <c r="Z10">
        <f>((7.3283839225769/(mmBTU_to_GJ))*($C$10))*($G$10/$F$10)</f>
        <v>8.7834857838294642</v>
      </c>
      <c r="AA10">
        <f>((7.15062761306763/(mmBTU_to_GJ))*($C$10))*($G$10/$F$10)</f>
        <v>8.5704347163559618</v>
      </c>
      <c r="AB10">
        <f>((7.19241189956665/(mmBTU_to_GJ))*($C$10))*($G$10/$F$10)</f>
        <v>8.6205155650572607</v>
      </c>
      <c r="AC10">
        <f>((7.13988399505615/(mmBTU_to_GJ))*($C$10))*($G$10/$F$10)</f>
        <v>8.5575578778786525</v>
      </c>
      <c r="AD10">
        <f>((7.28062534332275/(mmBTU_to_GJ))*($C$10))*($G$10/$F$10)</f>
        <v>8.7262444047796599</v>
      </c>
      <c r="AE10">
        <f>((7.5354790687561/(mmBTU_to_GJ))*($C$10))*($G$10/$F$10)</f>
        <v>9.0317011191042926</v>
      </c>
      <c r="AF10">
        <f>((7.86007928848267/(mmBTU_to_GJ))*($C$10))*($G$10/$F$10)</f>
        <v>9.4207529817684019</v>
      </c>
      <c r="AG10">
        <f>((8.07421207427979/(mmBTU_to_GJ))*($C$10))*($G$10/$F$10)</f>
        <v>9.6774033292080919</v>
      </c>
      <c r="AH10">
        <f>((8.33951759338379/(mmBTU_to_GJ))*($C$10))*($G$10/$F$10)</f>
        <v>9.9953871139061636</v>
      </c>
      <c r="AI10">
        <f>($BB10-$AH10)/20+AH10</f>
        <v>10.080242442190606</v>
      </c>
      <c r="AJ10">
        <f t="shared" si="1"/>
        <v>10.165097770475048</v>
      </c>
      <c r="AK10">
        <f t="shared" si="1"/>
        <v>10.249953098759491</v>
      </c>
      <c r="AL10">
        <f t="shared" si="1"/>
        <v>10.334808427043933</v>
      </c>
      <c r="AM10">
        <f t="shared" si="1"/>
        <v>10.419663755328376</v>
      </c>
      <c r="AN10">
        <f t="shared" si="1"/>
        <v>10.504519083612818</v>
      </c>
      <c r="AO10">
        <f t="shared" si="1"/>
        <v>10.589374411897261</v>
      </c>
      <c r="AP10">
        <f t="shared" si="1"/>
        <v>10.674229740181703</v>
      </c>
      <c r="AQ10">
        <f t="shared" si="1"/>
        <v>10.759085068466145</v>
      </c>
      <c r="AR10">
        <f t="shared" si="1"/>
        <v>10.843940396750588</v>
      </c>
      <c r="AS10">
        <f t="shared" si="1"/>
        <v>10.92879572503503</v>
      </c>
      <c r="AT10">
        <f t="shared" si="1"/>
        <v>11.013651053319473</v>
      </c>
      <c r="AU10">
        <f t="shared" si="1"/>
        <v>11.098506381603915</v>
      </c>
      <c r="AV10">
        <f t="shared" si="1"/>
        <v>11.183361709888358</v>
      </c>
      <c r="AW10">
        <f t="shared" si="1"/>
        <v>11.2682170381728</v>
      </c>
      <c r="AX10">
        <f t="shared" si="1"/>
        <v>11.353072366457242</v>
      </c>
      <c r="AY10">
        <f t="shared" si="1"/>
        <v>11.437927694741685</v>
      </c>
      <c r="AZ10">
        <f t="shared" si="2"/>
        <v>11.522783023026127</v>
      </c>
      <c r="BA10">
        <f t="shared" si="2"/>
        <v>11.60763835131057</v>
      </c>
      <c r="BB10" s="857">
        <f>1.16978897829057*AH10</f>
        <v>11.692493679595019</v>
      </c>
      <c r="BC10">
        <f t="shared" si="5"/>
        <v>11.808269867197748</v>
      </c>
      <c r="BD10">
        <f t="shared" si="5"/>
        <v>11.924046054800476</v>
      </c>
      <c r="BE10">
        <f t="shared" si="5"/>
        <v>12.039822242403204</v>
      </c>
      <c r="BF10">
        <f t="shared" si="5"/>
        <v>12.155598430005933</v>
      </c>
      <c r="BG10">
        <f t="shared" si="5"/>
        <v>12.271374617608661</v>
      </c>
      <c r="BH10">
        <f t="shared" si="5"/>
        <v>12.387150805211389</v>
      </c>
      <c r="BI10">
        <f t="shared" si="5"/>
        <v>12.502926992814118</v>
      </c>
      <c r="BJ10">
        <f t="shared" si="5"/>
        <v>12.618703180416846</v>
      </c>
      <c r="BK10">
        <f t="shared" si="5"/>
        <v>12.734479368019574</v>
      </c>
      <c r="BL10">
        <f t="shared" si="5"/>
        <v>12.850255555622303</v>
      </c>
      <c r="BM10">
        <f t="shared" si="5"/>
        <v>12.966031743225031</v>
      </c>
      <c r="BN10">
        <f t="shared" si="5"/>
        <v>13.081807930827759</v>
      </c>
      <c r="BO10">
        <f t="shared" si="5"/>
        <v>13.197584118430488</v>
      </c>
      <c r="BP10">
        <f t="shared" si="5"/>
        <v>13.313360306033216</v>
      </c>
      <c r="BQ10" s="857">
        <f>1.14852629914794*BB10</f>
        <v>13.429136493635946</v>
      </c>
      <c r="BR10">
        <f t="shared" si="6"/>
        <v>13.562108489912774</v>
      </c>
      <c r="BS10">
        <f t="shared" si="6"/>
        <v>13.695080486189601</v>
      </c>
      <c r="BT10">
        <f t="shared" si="6"/>
        <v>13.828052482466429</v>
      </c>
      <c r="BU10">
        <f t="shared" si="6"/>
        <v>13.961024478743257</v>
      </c>
      <c r="BV10" s="860">
        <f>1.04950876638265*BQ10</f>
        <v>14.093996475020086</v>
      </c>
      <c r="BW10" s="1148">
        <f>+BV10*BW$136/BV$136</f>
        <v>14.140792687521339</v>
      </c>
      <c r="BX10" s="1148">
        <f t="shared" ref="BX10:CZ10" si="10">+BW10*BX$136/BW$136</f>
        <v>14.187744277208072</v>
      </c>
      <c r="BY10" s="1148">
        <f t="shared" si="10"/>
        <v>14.234851759978229</v>
      </c>
      <c r="BZ10" s="1148">
        <f t="shared" si="10"/>
        <v>14.282115653442684</v>
      </c>
      <c r="CA10" s="1148">
        <f t="shared" si="10"/>
        <v>14.329536476930937</v>
      </c>
      <c r="CB10" s="1148">
        <f t="shared" si="10"/>
        <v>14.360114679496878</v>
      </c>
      <c r="CC10" s="1148">
        <f t="shared" si="10"/>
        <v>14.390758133752827</v>
      </c>
      <c r="CD10" s="1148">
        <f t="shared" si="10"/>
        <v>14.42146697894121</v>
      </c>
      <c r="CE10" s="1148">
        <f t="shared" si="10"/>
        <v>14.452241354601584</v>
      </c>
      <c r="CF10" s="1148">
        <f t="shared" si="10"/>
        <v>14.483081400571274</v>
      </c>
      <c r="CG10" s="1148">
        <f t="shared" si="10"/>
        <v>14.493094967866853</v>
      </c>
      <c r="CH10" s="1148">
        <f t="shared" si="10"/>
        <v>14.503115458518533</v>
      </c>
      <c r="CI10" s="1148">
        <f t="shared" si="10"/>
        <v>14.513142877313106</v>
      </c>
      <c r="CJ10" s="1148">
        <f t="shared" si="10"/>
        <v>14.523177229040675</v>
      </c>
      <c r="CK10" s="1148">
        <f t="shared" si="10"/>
        <v>14.53321851849465</v>
      </c>
      <c r="CL10" s="1148">
        <f t="shared" si="10"/>
        <v>14.536622069883558</v>
      </c>
      <c r="CM10" s="1148">
        <f t="shared" si="10"/>
        <v>14.540026418354136</v>
      </c>
      <c r="CN10" s="1148">
        <f t="shared" si="10"/>
        <v>14.543431564093051</v>
      </c>
      <c r="CO10" s="1148">
        <f t="shared" si="10"/>
        <v>14.546837507287016</v>
      </c>
      <c r="CP10" s="1148">
        <f t="shared" si="10"/>
        <v>14.550244248122791</v>
      </c>
      <c r="CQ10" s="1148">
        <f t="shared" si="10"/>
        <v>14.555407490947415</v>
      </c>
      <c r="CR10" s="1148">
        <f t="shared" si="10"/>
        <v>14.560572565980214</v>
      </c>
      <c r="CS10" s="1148">
        <f t="shared" si="10"/>
        <v>14.565739473871359</v>
      </c>
      <c r="CT10" s="1148">
        <f t="shared" si="10"/>
        <v>14.570908215271251</v>
      </c>
      <c r="CU10" s="1148">
        <f t="shared" si="10"/>
        <v>14.576078790830522</v>
      </c>
      <c r="CV10" s="1148">
        <f t="shared" si="10"/>
        <v>14.584036328507008</v>
      </c>
      <c r="CW10" s="1148">
        <f t="shared" si="10"/>
        <v>14.591998210452399</v>
      </c>
      <c r="CX10" s="1148">
        <f t="shared" si="10"/>
        <v>14.59996443903837</v>
      </c>
      <c r="CY10" s="1148">
        <f t="shared" si="10"/>
        <v>14.607935016637887</v>
      </c>
      <c r="CZ10" s="1148">
        <f t="shared" si="10"/>
        <v>14.615909945625214</v>
      </c>
    </row>
    <row r="11" spans="1:104">
      <c r="A11" s="739" t="str">
        <f>'HyARC Physical Property Data'!A75</f>
        <v>Bio Methane</v>
      </c>
      <c r="B11">
        <v>2007</v>
      </c>
      <c r="C11" s="738">
        <f t="shared" si="8"/>
        <v>1.1413971588333081</v>
      </c>
      <c r="D11" s="1028" t="str">
        <f>'HyARC Physical Property Data'!H75</f>
        <v>mmBtu</v>
      </c>
      <c r="E11" s="738" t="s">
        <v>1055</v>
      </c>
      <c r="F11">
        <f>'HyARC Physical Property Data'!$E$6</f>
        <v>47.141269049911173</v>
      </c>
      <c r="G11">
        <f>'HyARC Physical Property Data'!$I$6</f>
        <v>52.224661236371581</v>
      </c>
      <c r="H11">
        <f t="shared" ref="H11:AM11" si="11">13.11*($C$11/mmBTU_to_GJ)</f>
        <v>14.183617774696369</v>
      </c>
      <c r="I11">
        <f t="shared" si="11"/>
        <v>14.183617774696369</v>
      </c>
      <c r="J11">
        <f t="shared" si="11"/>
        <v>14.183617774696369</v>
      </c>
      <c r="K11">
        <f t="shared" si="11"/>
        <v>14.183617774696369</v>
      </c>
      <c r="L11">
        <f t="shared" si="11"/>
        <v>14.183617774696369</v>
      </c>
      <c r="M11">
        <f t="shared" si="11"/>
        <v>14.183617774696369</v>
      </c>
      <c r="N11">
        <f t="shared" si="11"/>
        <v>14.183617774696369</v>
      </c>
      <c r="O11">
        <f t="shared" si="11"/>
        <v>14.183617774696369</v>
      </c>
      <c r="P11">
        <f t="shared" si="11"/>
        <v>14.183617774696369</v>
      </c>
      <c r="Q11">
        <f t="shared" si="11"/>
        <v>14.183617774696369</v>
      </c>
      <c r="R11">
        <f t="shared" si="11"/>
        <v>14.183617774696369</v>
      </c>
      <c r="S11">
        <f t="shared" si="11"/>
        <v>14.183617774696369</v>
      </c>
      <c r="T11">
        <f t="shared" si="11"/>
        <v>14.183617774696369</v>
      </c>
      <c r="U11">
        <f t="shared" si="11"/>
        <v>14.183617774696369</v>
      </c>
      <c r="V11">
        <f t="shared" si="11"/>
        <v>14.183617774696369</v>
      </c>
      <c r="W11">
        <f t="shared" si="11"/>
        <v>14.183617774696369</v>
      </c>
      <c r="X11">
        <f t="shared" si="11"/>
        <v>14.183617774696369</v>
      </c>
      <c r="Y11">
        <f t="shared" si="11"/>
        <v>14.183617774696369</v>
      </c>
      <c r="Z11">
        <f t="shared" si="11"/>
        <v>14.183617774696369</v>
      </c>
      <c r="AA11">
        <f t="shared" si="11"/>
        <v>14.183617774696369</v>
      </c>
      <c r="AB11">
        <f t="shared" si="11"/>
        <v>14.183617774696369</v>
      </c>
      <c r="AC11">
        <f t="shared" si="11"/>
        <v>14.183617774696369</v>
      </c>
      <c r="AD11">
        <f t="shared" si="11"/>
        <v>14.183617774696369</v>
      </c>
      <c r="AE11">
        <f t="shared" si="11"/>
        <v>14.183617774696369</v>
      </c>
      <c r="AF11">
        <f t="shared" si="11"/>
        <v>14.183617774696369</v>
      </c>
      <c r="AG11">
        <f t="shared" si="11"/>
        <v>14.183617774696369</v>
      </c>
      <c r="AH11">
        <f t="shared" si="11"/>
        <v>14.183617774696369</v>
      </c>
      <c r="AI11">
        <f t="shared" si="11"/>
        <v>14.183617774696369</v>
      </c>
      <c r="AJ11">
        <f t="shared" si="11"/>
        <v>14.183617774696369</v>
      </c>
      <c r="AK11">
        <f t="shared" si="11"/>
        <v>14.183617774696369</v>
      </c>
      <c r="AL11">
        <f t="shared" si="11"/>
        <v>14.183617774696369</v>
      </c>
      <c r="AM11">
        <f t="shared" si="11"/>
        <v>14.183617774696369</v>
      </c>
      <c r="AN11">
        <f t="shared" ref="AN11:BV11" si="12">13.11*($C$11/mmBTU_to_GJ)</f>
        <v>14.183617774696369</v>
      </c>
      <c r="AO11">
        <f t="shared" si="12"/>
        <v>14.183617774696369</v>
      </c>
      <c r="AP11">
        <f t="shared" si="12"/>
        <v>14.183617774696369</v>
      </c>
      <c r="AQ11">
        <f t="shared" si="12"/>
        <v>14.183617774696369</v>
      </c>
      <c r="AR11">
        <f t="shared" si="12"/>
        <v>14.183617774696369</v>
      </c>
      <c r="AS11">
        <f t="shared" si="12"/>
        <v>14.183617774696369</v>
      </c>
      <c r="AT11">
        <f t="shared" si="12"/>
        <v>14.183617774696369</v>
      </c>
      <c r="AU11">
        <f t="shared" si="12"/>
        <v>14.183617774696369</v>
      </c>
      <c r="AV11">
        <f t="shared" si="12"/>
        <v>14.183617774696369</v>
      </c>
      <c r="AW11">
        <f t="shared" si="12"/>
        <v>14.183617774696369</v>
      </c>
      <c r="AX11">
        <f t="shared" si="12"/>
        <v>14.183617774696369</v>
      </c>
      <c r="AY11">
        <f t="shared" si="12"/>
        <v>14.183617774696369</v>
      </c>
      <c r="AZ11">
        <f t="shared" si="12"/>
        <v>14.183617774696369</v>
      </c>
      <c r="BA11">
        <f t="shared" si="12"/>
        <v>14.183617774696369</v>
      </c>
      <c r="BB11">
        <f t="shared" si="12"/>
        <v>14.183617774696369</v>
      </c>
      <c r="BC11">
        <f t="shared" si="12"/>
        <v>14.183617774696369</v>
      </c>
      <c r="BD11">
        <f t="shared" si="12"/>
        <v>14.183617774696369</v>
      </c>
      <c r="BE11">
        <f t="shared" si="12"/>
        <v>14.183617774696369</v>
      </c>
      <c r="BF11">
        <f t="shared" si="12"/>
        <v>14.183617774696369</v>
      </c>
      <c r="BG11">
        <f t="shared" si="12"/>
        <v>14.183617774696369</v>
      </c>
      <c r="BH11">
        <f t="shared" si="12"/>
        <v>14.183617774696369</v>
      </c>
      <c r="BI11">
        <f t="shared" si="12"/>
        <v>14.183617774696369</v>
      </c>
      <c r="BJ11">
        <f t="shared" si="12"/>
        <v>14.183617774696369</v>
      </c>
      <c r="BK11">
        <f t="shared" si="12"/>
        <v>14.183617774696369</v>
      </c>
      <c r="BL11">
        <f t="shared" si="12"/>
        <v>14.183617774696369</v>
      </c>
      <c r="BM11">
        <f t="shared" si="12"/>
        <v>14.183617774696369</v>
      </c>
      <c r="BN11">
        <f t="shared" si="12"/>
        <v>14.183617774696369</v>
      </c>
      <c r="BO11">
        <f t="shared" si="12"/>
        <v>14.183617774696369</v>
      </c>
      <c r="BP11">
        <f t="shared" si="12"/>
        <v>14.183617774696369</v>
      </c>
      <c r="BQ11">
        <f t="shared" si="12"/>
        <v>14.183617774696369</v>
      </c>
      <c r="BR11">
        <f t="shared" si="12"/>
        <v>14.183617774696369</v>
      </c>
      <c r="BS11">
        <f t="shared" si="12"/>
        <v>14.183617774696369</v>
      </c>
      <c r="BT11">
        <f t="shared" si="12"/>
        <v>14.183617774696369</v>
      </c>
      <c r="BU11">
        <f t="shared" si="12"/>
        <v>14.183617774696369</v>
      </c>
      <c r="BV11">
        <f t="shared" si="12"/>
        <v>14.183617774696369</v>
      </c>
      <c r="BW11" s="1148">
        <f>+BV11*BW$136/BV$136</f>
        <v>14.230711556264829</v>
      </c>
      <c r="BX11" s="1148">
        <f t="shared" ref="BX11:CZ11" si="13">+BW11*BX$136/BW$136</f>
        <v>14.277961703035571</v>
      </c>
      <c r="BY11" s="1148">
        <f t="shared" si="13"/>
        <v>14.325368734187041</v>
      </c>
      <c r="BZ11" s="1148">
        <f t="shared" si="13"/>
        <v>14.372933170621517</v>
      </c>
      <c r="CA11" s="1148">
        <f t="shared" si="13"/>
        <v>14.420655534970821</v>
      </c>
      <c r="CB11" s="1148">
        <f t="shared" si="13"/>
        <v>14.451428179067991</v>
      </c>
      <c r="CC11" s="1148">
        <f t="shared" si="13"/>
        <v>14.482266489779443</v>
      </c>
      <c r="CD11" s="1148">
        <f t="shared" si="13"/>
        <v>14.51317060723302</v>
      </c>
      <c r="CE11" s="1148">
        <f t="shared" si="13"/>
        <v>14.54414067185559</v>
      </c>
      <c r="CF11" s="1148">
        <f t="shared" si="13"/>
        <v>14.575176824373679</v>
      </c>
      <c r="CG11" s="1148">
        <f t="shared" si="13"/>
        <v>14.585254066221541</v>
      </c>
      <c r="CH11" s="1148">
        <f t="shared" si="13"/>
        <v>14.595338275449933</v>
      </c>
      <c r="CI11" s="1148">
        <f t="shared" si="13"/>
        <v>14.605429456876088</v>
      </c>
      <c r="CJ11" s="1148">
        <f t="shared" si="13"/>
        <v>14.615527615320566</v>
      </c>
      <c r="CK11" s="1148">
        <f t="shared" si="13"/>
        <v>14.625632755607262</v>
      </c>
      <c r="CL11" s="1148">
        <f t="shared" si="13"/>
        <v>14.629057949594106</v>
      </c>
      <c r="CM11" s="1148">
        <f t="shared" si="13"/>
        <v>14.632483945731124</v>
      </c>
      <c r="CN11" s="1148">
        <f t="shared" si="13"/>
        <v>14.635910744206171</v>
      </c>
      <c r="CO11" s="1148">
        <f t="shared" si="13"/>
        <v>14.639338345207147</v>
      </c>
      <c r="CP11" s="1148">
        <f t="shared" si="13"/>
        <v>14.642766748922</v>
      </c>
      <c r="CQ11" s="1148">
        <f t="shared" si="13"/>
        <v>14.647962823919764</v>
      </c>
      <c r="CR11" s="1148">
        <f t="shared" si="13"/>
        <v>14.6531607427764</v>
      </c>
      <c r="CS11" s="1148">
        <f t="shared" si="13"/>
        <v>14.658360506146211</v>
      </c>
      <c r="CT11" s="1148">
        <f t="shared" si="13"/>
        <v>14.663562114683737</v>
      </c>
      <c r="CU11" s="1148">
        <f t="shared" si="13"/>
        <v>14.668765569043746</v>
      </c>
      <c r="CV11" s="1148">
        <f t="shared" si="13"/>
        <v>14.676773707333766</v>
      </c>
      <c r="CW11" s="1148">
        <f t="shared" si="13"/>
        <v>14.68478621751715</v>
      </c>
      <c r="CX11" s="1148">
        <f t="shared" si="13"/>
        <v>14.692803101980653</v>
      </c>
      <c r="CY11" s="1148">
        <f t="shared" si="13"/>
        <v>14.700824363112332</v>
      </c>
      <c r="CZ11" s="1148">
        <f t="shared" si="13"/>
        <v>14.708850003301547</v>
      </c>
    </row>
    <row r="12" spans="1:104">
      <c r="A12" s="812" t="str">
        <f>'HyARC Physical Property Data'!A85</f>
        <v>Woody Biomass</v>
      </c>
      <c r="B12">
        <v>2005</v>
      </c>
      <c r="C12" s="738">
        <f>VLOOKUP(ref_year,DeflatorTable,2,FALSE)/VLOOKUP(B12,DeflatorTable,2,FALSE)</f>
        <v>1.208440716126562</v>
      </c>
      <c r="D12" s="1028" t="str">
        <f>+'HyARC Physical Property Data'!$H$85</f>
        <v>kg</v>
      </c>
      <c r="E12" s="756" t="s">
        <v>1049</v>
      </c>
      <c r="F12">
        <f>'HyARC Physical Property Data'!$E$45</f>
        <v>19.551069237418005</v>
      </c>
      <c r="G12">
        <f>'HyARC Physical Property Data'!$I$45</f>
        <v>20.588656379262464</v>
      </c>
      <c r="H12" s="813">
        <f t="shared" ref="H12:O12" si="14">1.27*($C$12)</f>
        <v>1.5347197094807337</v>
      </c>
      <c r="I12" s="813">
        <f t="shared" si="14"/>
        <v>1.5347197094807337</v>
      </c>
      <c r="J12" s="813">
        <f t="shared" si="14"/>
        <v>1.5347197094807337</v>
      </c>
      <c r="K12" s="813">
        <f t="shared" si="14"/>
        <v>1.5347197094807337</v>
      </c>
      <c r="L12" s="813">
        <f t="shared" si="14"/>
        <v>1.5347197094807337</v>
      </c>
      <c r="M12" s="813">
        <f t="shared" si="14"/>
        <v>1.5347197094807337</v>
      </c>
      <c r="N12" s="813">
        <f t="shared" si="14"/>
        <v>1.5347197094807337</v>
      </c>
      <c r="O12" s="813">
        <f t="shared" si="14"/>
        <v>1.5347197094807337</v>
      </c>
      <c r="P12" s="813">
        <f>1.28*($C$12)</f>
        <v>1.5468041166419995</v>
      </c>
      <c r="Q12" s="813">
        <f>1.32*($C$12)</f>
        <v>1.595141745287062</v>
      </c>
      <c r="R12" s="813">
        <f>1.32*($C$12)</f>
        <v>1.595141745287062</v>
      </c>
      <c r="S12" s="813">
        <f>1.34*($C$12)</f>
        <v>1.6193105596095931</v>
      </c>
      <c r="T12" s="813">
        <f>1.34*($C$12)</f>
        <v>1.6193105596095931</v>
      </c>
      <c r="U12" s="813">
        <f>1.36*($C$12)</f>
        <v>1.6434793739321245</v>
      </c>
      <c r="V12" s="813">
        <f>1.36*($C$12)</f>
        <v>1.6434793739321245</v>
      </c>
      <c r="W12" s="813">
        <f>1.38*($C$12)</f>
        <v>1.6676481882546554</v>
      </c>
      <c r="X12" s="813">
        <f>1.4*($C$12)</f>
        <v>1.6918170025771868</v>
      </c>
      <c r="Y12" s="813">
        <f>1.46*($C$12)</f>
        <v>1.7643234455447805</v>
      </c>
      <c r="Z12" s="813">
        <f>1.48*($C$12)</f>
        <v>1.7884922598673119</v>
      </c>
      <c r="AA12" s="813">
        <f>1.48*($C$12)</f>
        <v>1.7884922598673119</v>
      </c>
      <c r="AB12" s="813">
        <f>1.51*($C$12)</f>
        <v>1.8247454813511086</v>
      </c>
      <c r="AC12" s="813">
        <f>1.52*($C$12)</f>
        <v>1.8368298885123742</v>
      </c>
      <c r="AD12" s="813">
        <f>1.62*($C$12)</f>
        <v>1.9576739601250306</v>
      </c>
      <c r="AE12" s="813">
        <f>1.72*($C$12)</f>
        <v>2.0785180317376866</v>
      </c>
      <c r="AF12" s="813">
        <f>1.82*($C$12)</f>
        <v>2.1993621033503428</v>
      </c>
      <c r="AG12" s="813">
        <f>1.91*($C$12)</f>
        <v>2.3081217678017332</v>
      </c>
      <c r="AH12" s="813">
        <f>2.01*($C$12)</f>
        <v>2.4289658394143894</v>
      </c>
      <c r="AI12" s="813">
        <f>2.11*($C$12)</f>
        <v>2.5498099110270456</v>
      </c>
      <c r="AJ12" s="813">
        <f>2.2*($C$12)</f>
        <v>2.6585695754784364</v>
      </c>
      <c r="AK12" s="813">
        <f>2.3*($C$12)</f>
        <v>2.7794136470910926</v>
      </c>
      <c r="AL12" s="813">
        <f>2.4*($C$12)</f>
        <v>2.9002577187037488</v>
      </c>
      <c r="AM12" s="813">
        <f>2.5*($C$12)</f>
        <v>3.021101790316405</v>
      </c>
      <c r="AN12" s="813">
        <f>2.57*($C$12)</f>
        <v>3.1056926404452643</v>
      </c>
      <c r="AO12" s="813">
        <f>2.64*($C$12)</f>
        <v>3.190283490574124</v>
      </c>
      <c r="AP12" s="813">
        <f>2.71*($C$12)</f>
        <v>3.2748743407029832</v>
      </c>
      <c r="AQ12" s="813">
        <f>2.78*($C$12)</f>
        <v>3.359465190831842</v>
      </c>
      <c r="AR12" s="813">
        <f>2.85*($C$12)</f>
        <v>3.4440560409607017</v>
      </c>
      <c r="AS12" s="813">
        <f>2.92*($C$12)</f>
        <v>3.528646891089561</v>
      </c>
      <c r="AT12" s="813">
        <f>2.99*($C$12)</f>
        <v>3.6132377412184207</v>
      </c>
      <c r="AU12" s="813">
        <f>3.07*($C$12)</f>
        <v>3.7099129985085453</v>
      </c>
      <c r="AV12" s="813">
        <f>3.14*($C$12)</f>
        <v>3.794503848637405</v>
      </c>
      <c r="AW12" s="813">
        <f>3.21*($C$12)</f>
        <v>3.8790946987662642</v>
      </c>
      <c r="AX12" s="813">
        <f>3.28*($C$12)</f>
        <v>3.963685548895123</v>
      </c>
      <c r="AY12" s="813">
        <f>3.35*($C$12)</f>
        <v>4.0482763990239832</v>
      </c>
      <c r="AZ12" s="813">
        <f>3.42*($C$12)</f>
        <v>4.1328672491528424</v>
      </c>
      <c r="BA12" s="813">
        <f>3.49*($C$12)</f>
        <v>4.2174580992817017</v>
      </c>
      <c r="BB12" s="813">
        <f>3.56*($C$12)</f>
        <v>4.3020489494105609</v>
      </c>
      <c r="BC12" s="813">
        <f>3.64*($C$12)</f>
        <v>4.3987242067006855</v>
      </c>
      <c r="BD12" s="813">
        <f>3.71*($C$12)</f>
        <v>4.4833150568295448</v>
      </c>
      <c r="BE12" s="813">
        <f>3.78*($C$12)</f>
        <v>4.567905906958404</v>
      </c>
      <c r="BF12" s="813">
        <f>3.85*($C$12)</f>
        <v>4.6524967570872642</v>
      </c>
      <c r="BG12" s="813">
        <f>3.92*($C$12)</f>
        <v>4.7370876072161234</v>
      </c>
      <c r="BH12" s="813">
        <f>3.99*($C$12)</f>
        <v>4.8216784573449827</v>
      </c>
      <c r="BI12" s="813">
        <f>4.06*($C$12)</f>
        <v>4.906269307473841</v>
      </c>
      <c r="BJ12" s="813">
        <f>4.14*($C$12)</f>
        <v>5.0029445647639665</v>
      </c>
      <c r="BK12" s="813">
        <f>4.21*($C$12)</f>
        <v>5.0875354148928258</v>
      </c>
      <c r="BL12" s="813">
        <f>4.28*($C$12)</f>
        <v>5.1721262650216859</v>
      </c>
      <c r="BM12" s="813">
        <f>4.35*($C$12)</f>
        <v>5.2567171151505443</v>
      </c>
      <c r="BN12" s="813">
        <f>4.42*($C$12)</f>
        <v>5.3413079652794044</v>
      </c>
      <c r="BO12" s="813">
        <f>4.49*($C$12)</f>
        <v>5.4258988154082637</v>
      </c>
      <c r="BP12" s="813">
        <f>4.56*($C$12)</f>
        <v>5.5104896655371221</v>
      </c>
      <c r="BQ12" s="813">
        <f>4.63*($C$12)</f>
        <v>5.5950805156659822</v>
      </c>
      <c r="BR12" s="813">
        <f>4.71*($C$12)</f>
        <v>5.6917557729561068</v>
      </c>
      <c r="BS12" s="813">
        <f>4.78*($C$12)</f>
        <v>5.7763466230849669</v>
      </c>
      <c r="BT12" s="813">
        <f>4.85*($C$12)</f>
        <v>5.8609374732138253</v>
      </c>
      <c r="BU12" s="813">
        <f>4.92*($C$12)</f>
        <v>5.9455283233426854</v>
      </c>
      <c r="BV12" s="814">
        <f>4.99*($C$12)</f>
        <v>6.0301191734715447</v>
      </c>
      <c r="BW12" s="1148">
        <f>+BV12*BW$137/BV$137</f>
        <v>6.0446132076616896</v>
      </c>
      <c r="BX12" s="1148">
        <f t="shared" ref="BX12:CZ12" si="15">+BW12*BX$137/BW$137</f>
        <v>6.0591420798079438</v>
      </c>
      <c r="BY12" s="1148">
        <f t="shared" si="15"/>
        <v>6.0737058736470511</v>
      </c>
      <c r="BZ12" s="1148">
        <f t="shared" si="15"/>
        <v>6.0883046731170198</v>
      </c>
      <c r="CA12" s="1148">
        <f t="shared" si="15"/>
        <v>6.1029385623576156</v>
      </c>
      <c r="CB12" s="1148">
        <f t="shared" si="15"/>
        <v>6.1157485681116217</v>
      </c>
      <c r="CC12" s="1148">
        <f t="shared" si="15"/>
        <v>6.1285854619369617</v>
      </c>
      <c r="CD12" s="1148">
        <f t="shared" si="15"/>
        <v>6.1414493002714252</v>
      </c>
      <c r="CE12" s="1148">
        <f t="shared" si="15"/>
        <v>6.1543401396712598</v>
      </c>
      <c r="CF12" s="1148">
        <f t="shared" si="15"/>
        <v>6.167258036811428</v>
      </c>
      <c r="CG12" s="1148">
        <f t="shared" si="15"/>
        <v>6.183149548139812</v>
      </c>
      <c r="CH12" s="1148">
        <f t="shared" si="15"/>
        <v>6.1990820079952069</v>
      </c>
      <c r="CI12" s="1148">
        <f t="shared" si="15"/>
        <v>6.215055521891923</v>
      </c>
      <c r="CJ12" s="1148">
        <f t="shared" si="15"/>
        <v>6.2310701956161552</v>
      </c>
      <c r="CK12" s="1148">
        <f t="shared" si="15"/>
        <v>6.2471261352266838</v>
      </c>
      <c r="CL12" s="1148">
        <f t="shared" si="15"/>
        <v>6.2604975997429575</v>
      </c>
      <c r="CM12" s="1148">
        <f t="shared" si="15"/>
        <v>6.2738976847896071</v>
      </c>
      <c r="CN12" s="1148">
        <f t="shared" si="15"/>
        <v>6.2873264516265444</v>
      </c>
      <c r="CO12" s="1148">
        <f t="shared" si="15"/>
        <v>6.3007839616448056</v>
      </c>
      <c r="CP12" s="1148">
        <f t="shared" si="15"/>
        <v>6.3142702763668277</v>
      </c>
      <c r="CQ12" s="1148">
        <f t="shared" si="15"/>
        <v>6.326614172551615</v>
      </c>
      <c r="CR12" s="1148">
        <f t="shared" si="15"/>
        <v>6.3389822000716718</v>
      </c>
      <c r="CS12" s="1148">
        <f t="shared" si="15"/>
        <v>6.3513744061018391</v>
      </c>
      <c r="CT12" s="1148">
        <f t="shared" si="15"/>
        <v>6.3637908379091801</v>
      </c>
      <c r="CU12" s="1148">
        <f t="shared" si="15"/>
        <v>6.376231542853164</v>
      </c>
      <c r="CV12" s="1148">
        <f t="shared" si="15"/>
        <v>6.3909193633613004</v>
      </c>
      <c r="CW12" s="1148">
        <f t="shared" si="15"/>
        <v>6.4056410176582252</v>
      </c>
      <c r="CX12" s="1148">
        <f t="shared" si="15"/>
        <v>6.4203965836809767</v>
      </c>
      <c r="CY12" s="1148">
        <f t="shared" si="15"/>
        <v>6.4351861395461265</v>
      </c>
      <c r="CZ12" s="1148">
        <f t="shared" si="15"/>
        <v>6.450009763550189</v>
      </c>
    </row>
    <row r="13" spans="1:104">
      <c r="A13" s="812" t="str">
        <f>'HyARC Physical Property Data'!A86</f>
        <v>Woody Biomass B2A</v>
      </c>
      <c r="B13">
        <v>2007</v>
      </c>
      <c r="C13" s="738">
        <f>VLOOKUP(ref_year,DeflatorTable,2,FALSE)/VLOOKUP(B13,DeflatorTable,2,FALSE)</f>
        <v>1.1413971588333081</v>
      </c>
      <c r="D13" s="1028" t="str">
        <f>+'HyARC Physical Property Data'!$H$86</f>
        <v>kg</v>
      </c>
      <c r="E13" s="756" t="s">
        <v>1049</v>
      </c>
      <c r="F13">
        <f>'HyARC Physical Property Data'!$E$45</f>
        <v>19.551069237418005</v>
      </c>
      <c r="G13">
        <f>'HyARC Physical Property Data'!$I$45</f>
        <v>20.588656379262464</v>
      </c>
      <c r="H13" s="813">
        <f>3.80872262322035*($C$13)</f>
        <v>4.3472651809278515</v>
      </c>
      <c r="I13" s="813">
        <f>3.80872262322035*($C$13)</f>
        <v>4.3472651809278515</v>
      </c>
      <c r="J13" s="813">
        <f>3.80872262322035*($C$13)</f>
        <v>4.3472651809278515</v>
      </c>
      <c r="K13" s="813">
        <f>3.80872262322035*($C$13)</f>
        <v>4.3472651809278515</v>
      </c>
      <c r="L13" s="813">
        <f>3.58036841709093*($C$13)</f>
        <v>4.0866223388440961</v>
      </c>
      <c r="M13" s="813">
        <f>3.28153451771169*($C$13)</f>
        <v>3.7455341751295528</v>
      </c>
      <c r="N13" s="813">
        <f>3.05599949931226*($C$13)</f>
        <v>3.4881091459110256</v>
      </c>
      <c r="O13" s="813">
        <f>2.9206784882726*($C$13)</f>
        <v>3.3336541283799068</v>
      </c>
      <c r="P13" s="813">
        <f t="shared" ref="P13:BV13" si="16">2.85865635821276*($C$13)</f>
        <v>3.2628622453448157</v>
      </c>
      <c r="Q13" s="813">
        <f t="shared" si="16"/>
        <v>3.2628622453448157</v>
      </c>
      <c r="R13" s="813">
        <f t="shared" si="16"/>
        <v>3.2628622453448157</v>
      </c>
      <c r="S13" s="813">
        <f t="shared" si="16"/>
        <v>3.2628622453448157</v>
      </c>
      <c r="T13" s="813">
        <f t="shared" si="16"/>
        <v>3.2628622453448157</v>
      </c>
      <c r="U13" s="813">
        <f t="shared" si="16"/>
        <v>3.2628622453448157</v>
      </c>
      <c r="V13" s="813">
        <f t="shared" si="16"/>
        <v>3.2628622453448157</v>
      </c>
      <c r="W13" s="813">
        <f t="shared" si="16"/>
        <v>3.2628622453448157</v>
      </c>
      <c r="X13" s="813">
        <f t="shared" si="16"/>
        <v>3.2628622453448157</v>
      </c>
      <c r="Y13" s="813">
        <f t="shared" si="16"/>
        <v>3.2628622453448157</v>
      </c>
      <c r="Z13" s="813">
        <f t="shared" si="16"/>
        <v>3.2628622453448157</v>
      </c>
      <c r="AA13" s="813">
        <f t="shared" si="16"/>
        <v>3.2628622453448157</v>
      </c>
      <c r="AB13" s="813">
        <f t="shared" si="16"/>
        <v>3.2628622453448157</v>
      </c>
      <c r="AC13" s="813">
        <f t="shared" si="16"/>
        <v>3.2628622453448157</v>
      </c>
      <c r="AD13" s="813">
        <f t="shared" si="16"/>
        <v>3.2628622453448157</v>
      </c>
      <c r="AE13" s="813">
        <f t="shared" si="16"/>
        <v>3.2628622453448157</v>
      </c>
      <c r="AF13" s="813">
        <f t="shared" si="16"/>
        <v>3.2628622453448157</v>
      </c>
      <c r="AG13" s="813">
        <f t="shared" si="16"/>
        <v>3.2628622453448157</v>
      </c>
      <c r="AH13" s="813">
        <f t="shared" si="16"/>
        <v>3.2628622453448157</v>
      </c>
      <c r="AI13" s="813">
        <f t="shared" si="16"/>
        <v>3.2628622453448157</v>
      </c>
      <c r="AJ13" s="813">
        <f t="shared" si="16"/>
        <v>3.2628622453448157</v>
      </c>
      <c r="AK13" s="813">
        <f t="shared" si="16"/>
        <v>3.2628622453448157</v>
      </c>
      <c r="AL13" s="813">
        <f t="shared" si="16"/>
        <v>3.2628622453448157</v>
      </c>
      <c r="AM13" s="813">
        <f t="shared" si="16"/>
        <v>3.2628622453448157</v>
      </c>
      <c r="AN13" s="813">
        <f t="shared" si="16"/>
        <v>3.2628622453448157</v>
      </c>
      <c r="AO13" s="813">
        <f t="shared" si="16"/>
        <v>3.2628622453448157</v>
      </c>
      <c r="AP13" s="813">
        <f t="shared" si="16"/>
        <v>3.2628622453448157</v>
      </c>
      <c r="AQ13" s="813">
        <f t="shared" si="16"/>
        <v>3.2628622453448157</v>
      </c>
      <c r="AR13" s="813">
        <f t="shared" si="16"/>
        <v>3.2628622453448157</v>
      </c>
      <c r="AS13" s="813">
        <f t="shared" si="16"/>
        <v>3.2628622453448157</v>
      </c>
      <c r="AT13" s="813">
        <f t="shared" si="16"/>
        <v>3.2628622453448157</v>
      </c>
      <c r="AU13" s="813">
        <f t="shared" si="16"/>
        <v>3.2628622453448157</v>
      </c>
      <c r="AV13" s="813">
        <f t="shared" si="16"/>
        <v>3.2628622453448157</v>
      </c>
      <c r="AW13" s="813">
        <f t="shared" si="16"/>
        <v>3.2628622453448157</v>
      </c>
      <c r="AX13" s="813">
        <f t="shared" si="16"/>
        <v>3.2628622453448157</v>
      </c>
      <c r="AY13" s="813">
        <f t="shared" si="16"/>
        <v>3.2628622453448157</v>
      </c>
      <c r="AZ13" s="813">
        <f t="shared" si="16"/>
        <v>3.2628622453448157</v>
      </c>
      <c r="BA13" s="813">
        <f t="shared" si="16"/>
        <v>3.2628622453448157</v>
      </c>
      <c r="BB13" s="813">
        <f t="shared" si="16"/>
        <v>3.2628622453448157</v>
      </c>
      <c r="BC13" s="813">
        <f t="shared" si="16"/>
        <v>3.2628622453448157</v>
      </c>
      <c r="BD13" s="813">
        <f t="shared" si="16"/>
        <v>3.2628622453448157</v>
      </c>
      <c r="BE13" s="813">
        <f t="shared" si="16"/>
        <v>3.2628622453448157</v>
      </c>
      <c r="BF13" s="813">
        <f t="shared" si="16"/>
        <v>3.2628622453448157</v>
      </c>
      <c r="BG13" s="813">
        <f t="shared" si="16"/>
        <v>3.2628622453448157</v>
      </c>
      <c r="BH13" s="813">
        <f t="shared" si="16"/>
        <v>3.2628622453448157</v>
      </c>
      <c r="BI13" s="813">
        <f t="shared" si="16"/>
        <v>3.2628622453448157</v>
      </c>
      <c r="BJ13" s="813">
        <f t="shared" si="16"/>
        <v>3.2628622453448157</v>
      </c>
      <c r="BK13" s="813">
        <f t="shared" si="16"/>
        <v>3.2628622453448157</v>
      </c>
      <c r="BL13" s="813">
        <f t="shared" si="16"/>
        <v>3.2628622453448157</v>
      </c>
      <c r="BM13" s="813">
        <f t="shared" si="16"/>
        <v>3.2628622453448157</v>
      </c>
      <c r="BN13" s="813">
        <f t="shared" si="16"/>
        <v>3.2628622453448157</v>
      </c>
      <c r="BO13" s="813">
        <f t="shared" si="16"/>
        <v>3.2628622453448157</v>
      </c>
      <c r="BP13" s="813">
        <f t="shared" si="16"/>
        <v>3.2628622453448157</v>
      </c>
      <c r="BQ13" s="813">
        <f t="shared" si="16"/>
        <v>3.2628622453448157</v>
      </c>
      <c r="BR13" s="813">
        <f t="shared" si="16"/>
        <v>3.2628622453448157</v>
      </c>
      <c r="BS13" s="813">
        <f t="shared" si="16"/>
        <v>3.2628622453448157</v>
      </c>
      <c r="BT13" s="813">
        <f t="shared" si="16"/>
        <v>3.2628622453448157</v>
      </c>
      <c r="BU13" s="813">
        <f t="shared" si="16"/>
        <v>3.2628622453448157</v>
      </c>
      <c r="BV13" s="814">
        <f t="shared" si="16"/>
        <v>3.2628622453448157</v>
      </c>
      <c r="BW13" s="1148">
        <f>+BV13*BW$137/BV$137</f>
        <v>3.2707048825433991</v>
      </c>
      <c r="BX13" s="1148">
        <f t="shared" ref="BX13:CZ13" si="17">+BW13*BX$137/BW$137</f>
        <v>3.2785663703564443</v>
      </c>
      <c r="BY13" s="1148">
        <f t="shared" si="17"/>
        <v>3.2864467540934128</v>
      </c>
      <c r="BZ13" s="1148">
        <f t="shared" si="17"/>
        <v>3.2943460791726715</v>
      </c>
      <c r="CA13" s="1148">
        <f t="shared" si="17"/>
        <v>3.3022643911217555</v>
      </c>
      <c r="CB13" s="1148">
        <f t="shared" si="17"/>
        <v>3.3091958103748405</v>
      </c>
      <c r="CC13" s="1148">
        <f t="shared" si="17"/>
        <v>3.3161417786061929</v>
      </c>
      <c r="CD13" s="1148">
        <f t="shared" si="17"/>
        <v>3.323102326353971</v>
      </c>
      <c r="CE13" s="1148">
        <f t="shared" si="17"/>
        <v>3.3300774842204302</v>
      </c>
      <c r="CF13" s="1148">
        <f t="shared" si="17"/>
        <v>3.3370672828720607</v>
      </c>
      <c r="CG13" s="1148">
        <f t="shared" si="17"/>
        <v>3.3456660867834271</v>
      </c>
      <c r="CH13" s="1148">
        <f t="shared" si="17"/>
        <v>3.3542870477034605</v>
      </c>
      <c r="CI13" s="1148">
        <f t="shared" si="17"/>
        <v>3.3629302227253368</v>
      </c>
      <c r="CJ13" s="1148">
        <f t="shared" si="17"/>
        <v>3.3715956690893476</v>
      </c>
      <c r="CK13" s="1148">
        <f t="shared" si="17"/>
        <v>3.3802834441832799</v>
      </c>
      <c r="CL13" s="1148">
        <f t="shared" si="17"/>
        <v>3.3875186654915184</v>
      </c>
      <c r="CM13" s="1148">
        <f t="shared" si="17"/>
        <v>3.3947693732014868</v>
      </c>
      <c r="CN13" s="1148">
        <f t="shared" si="17"/>
        <v>3.4020356004605672</v>
      </c>
      <c r="CO13" s="1148">
        <f t="shared" si="17"/>
        <v>3.4093173804870895</v>
      </c>
      <c r="CP13" s="1148">
        <f t="shared" si="17"/>
        <v>3.416614746570485</v>
      </c>
      <c r="CQ13" s="1148">
        <f t="shared" si="17"/>
        <v>3.4232939566595637</v>
      </c>
      <c r="CR13" s="1148">
        <f t="shared" si="17"/>
        <v>3.4299862240731356</v>
      </c>
      <c r="CS13" s="1148">
        <f t="shared" si="17"/>
        <v>3.4366915743372313</v>
      </c>
      <c r="CT13" s="1148">
        <f t="shared" si="17"/>
        <v>3.4434100330277828</v>
      </c>
      <c r="CU13" s="1148">
        <f t="shared" si="17"/>
        <v>3.4501416257707223</v>
      </c>
      <c r="CV13" s="1148">
        <f t="shared" si="17"/>
        <v>3.4580891196135033</v>
      </c>
      <c r="CW13" s="1148">
        <f t="shared" si="17"/>
        <v>3.466054920721676</v>
      </c>
      <c r="CX13" s="1148">
        <f t="shared" si="17"/>
        <v>3.474039071266517</v>
      </c>
      <c r="CY13" s="1148">
        <f t="shared" si="17"/>
        <v>3.4820416135164467</v>
      </c>
      <c r="CZ13" s="1148">
        <f t="shared" si="17"/>
        <v>3.490062589837251</v>
      </c>
    </row>
    <row r="14" spans="1:104">
      <c r="A14" s="812" t="str">
        <f>'HyARC Physical Property Data'!$A$87</f>
        <v>Woody Biomass MYPP</v>
      </c>
      <c r="B14">
        <v>2007</v>
      </c>
      <c r="C14" s="738">
        <f>VLOOKUP(ref_year,DeflatorTable,2,FALSE)/VLOOKUP(B14,DeflatorTable,2,FALSE)</f>
        <v>1.1413971588333081</v>
      </c>
      <c r="D14" s="1028" t="str">
        <f>+'HyARC Physical Property Data'!$H$87</f>
        <v>kg</v>
      </c>
      <c r="E14" s="756" t="s">
        <v>1049</v>
      </c>
      <c r="F14">
        <v>18.608000000000001</v>
      </c>
      <c r="H14">
        <f>4.44432502149613*$C$14</f>
        <v>5.0727399524674635</v>
      </c>
      <c r="I14">
        <f t="shared" ref="I14:N14" si="18">4.44432502149613*$C$14</f>
        <v>5.0727399524674635</v>
      </c>
      <c r="J14">
        <f t="shared" si="18"/>
        <v>5.0727399524674635</v>
      </c>
      <c r="K14">
        <f t="shared" si="18"/>
        <v>5.0727399524674635</v>
      </c>
      <c r="L14">
        <f t="shared" si="18"/>
        <v>5.0727399524674635</v>
      </c>
      <c r="M14">
        <f t="shared" si="18"/>
        <v>5.0727399524674635</v>
      </c>
      <c r="N14">
        <f t="shared" si="18"/>
        <v>5.0727399524674635</v>
      </c>
      <c r="O14" s="813">
        <f t="shared" ref="O14:T14" si="19">N14-($N$14-$U$14)/7</f>
        <v>4.9524277749801975</v>
      </c>
      <c r="P14" s="813">
        <f t="shared" si="19"/>
        <v>4.8321155974929315</v>
      </c>
      <c r="Q14" s="813">
        <f t="shared" si="19"/>
        <v>4.7118034200056655</v>
      </c>
      <c r="R14" s="813">
        <f t="shared" si="19"/>
        <v>4.5914912425183996</v>
      </c>
      <c r="S14" s="813">
        <f t="shared" si="19"/>
        <v>4.4711790650311336</v>
      </c>
      <c r="T14" s="813">
        <f t="shared" si="19"/>
        <v>4.3508668875438676</v>
      </c>
      <c r="U14" s="813">
        <f>3.70647033533964*$C$14</f>
        <v>4.2305547100566034</v>
      </c>
      <c r="V14" s="813">
        <f t="shared" ref="V14:BV14" si="20">3.70647033533964*$C$14</f>
        <v>4.2305547100566034</v>
      </c>
      <c r="W14" s="813">
        <f t="shared" si="20"/>
        <v>4.2305547100566034</v>
      </c>
      <c r="X14" s="813">
        <f t="shared" si="20"/>
        <v>4.2305547100566034</v>
      </c>
      <c r="Y14" s="813">
        <f t="shared" si="20"/>
        <v>4.2305547100566034</v>
      </c>
      <c r="Z14" s="813">
        <f t="shared" si="20"/>
        <v>4.2305547100566034</v>
      </c>
      <c r="AA14" s="813">
        <f t="shared" si="20"/>
        <v>4.2305547100566034</v>
      </c>
      <c r="AB14" s="813">
        <f t="shared" si="20"/>
        <v>4.2305547100566034</v>
      </c>
      <c r="AC14" s="813">
        <f t="shared" si="20"/>
        <v>4.2305547100566034</v>
      </c>
      <c r="AD14" s="813">
        <f t="shared" si="20"/>
        <v>4.2305547100566034</v>
      </c>
      <c r="AE14" s="813">
        <f t="shared" si="20"/>
        <v>4.2305547100566034</v>
      </c>
      <c r="AF14" s="813">
        <f t="shared" si="20"/>
        <v>4.2305547100566034</v>
      </c>
      <c r="AG14" s="813">
        <f t="shared" si="20"/>
        <v>4.2305547100566034</v>
      </c>
      <c r="AH14" s="813">
        <f t="shared" si="20"/>
        <v>4.2305547100566034</v>
      </c>
      <c r="AI14" s="813">
        <f t="shared" si="20"/>
        <v>4.2305547100566034</v>
      </c>
      <c r="AJ14" s="813">
        <f t="shared" si="20"/>
        <v>4.2305547100566034</v>
      </c>
      <c r="AK14" s="813">
        <f t="shared" si="20"/>
        <v>4.2305547100566034</v>
      </c>
      <c r="AL14" s="813">
        <f t="shared" si="20"/>
        <v>4.2305547100566034</v>
      </c>
      <c r="AM14" s="813">
        <f t="shared" si="20"/>
        <v>4.2305547100566034</v>
      </c>
      <c r="AN14" s="813">
        <f t="shared" si="20"/>
        <v>4.2305547100566034</v>
      </c>
      <c r="AO14" s="813">
        <f t="shared" si="20"/>
        <v>4.2305547100566034</v>
      </c>
      <c r="AP14" s="813">
        <f t="shared" si="20"/>
        <v>4.2305547100566034</v>
      </c>
      <c r="AQ14" s="813">
        <f t="shared" si="20"/>
        <v>4.2305547100566034</v>
      </c>
      <c r="AR14" s="813">
        <f t="shared" si="20"/>
        <v>4.2305547100566034</v>
      </c>
      <c r="AS14" s="813">
        <f t="shared" si="20"/>
        <v>4.2305547100566034</v>
      </c>
      <c r="AT14" s="813">
        <f t="shared" si="20"/>
        <v>4.2305547100566034</v>
      </c>
      <c r="AU14" s="813">
        <f t="shared" si="20"/>
        <v>4.2305547100566034</v>
      </c>
      <c r="AV14" s="813">
        <f t="shared" si="20"/>
        <v>4.2305547100566034</v>
      </c>
      <c r="AW14" s="813">
        <f t="shared" si="20"/>
        <v>4.2305547100566034</v>
      </c>
      <c r="AX14" s="813">
        <f t="shared" si="20"/>
        <v>4.2305547100566034</v>
      </c>
      <c r="AY14" s="813">
        <f t="shared" si="20"/>
        <v>4.2305547100566034</v>
      </c>
      <c r="AZ14" s="813">
        <f t="shared" si="20"/>
        <v>4.2305547100566034</v>
      </c>
      <c r="BA14" s="813">
        <f t="shared" si="20"/>
        <v>4.2305547100566034</v>
      </c>
      <c r="BB14" s="813">
        <f t="shared" si="20"/>
        <v>4.2305547100566034</v>
      </c>
      <c r="BC14" s="813">
        <f t="shared" si="20"/>
        <v>4.2305547100566034</v>
      </c>
      <c r="BD14" s="813">
        <f t="shared" si="20"/>
        <v>4.2305547100566034</v>
      </c>
      <c r="BE14" s="813">
        <f t="shared" si="20"/>
        <v>4.2305547100566034</v>
      </c>
      <c r="BF14" s="813">
        <f t="shared" si="20"/>
        <v>4.2305547100566034</v>
      </c>
      <c r="BG14" s="813">
        <f t="shared" si="20"/>
        <v>4.2305547100566034</v>
      </c>
      <c r="BH14" s="813">
        <f t="shared" si="20"/>
        <v>4.2305547100566034</v>
      </c>
      <c r="BI14" s="813">
        <f t="shared" si="20"/>
        <v>4.2305547100566034</v>
      </c>
      <c r="BJ14" s="813">
        <f t="shared" si="20"/>
        <v>4.2305547100566034</v>
      </c>
      <c r="BK14" s="813">
        <f t="shared" si="20"/>
        <v>4.2305547100566034</v>
      </c>
      <c r="BL14" s="813">
        <f t="shared" si="20"/>
        <v>4.2305547100566034</v>
      </c>
      <c r="BM14" s="813">
        <f t="shared" si="20"/>
        <v>4.2305547100566034</v>
      </c>
      <c r="BN14" s="813">
        <f t="shared" si="20"/>
        <v>4.2305547100566034</v>
      </c>
      <c r="BO14" s="813">
        <f t="shared" si="20"/>
        <v>4.2305547100566034</v>
      </c>
      <c r="BP14" s="813">
        <f t="shared" si="20"/>
        <v>4.2305547100566034</v>
      </c>
      <c r="BQ14" s="813">
        <f t="shared" si="20"/>
        <v>4.2305547100566034</v>
      </c>
      <c r="BR14" s="813">
        <f t="shared" si="20"/>
        <v>4.2305547100566034</v>
      </c>
      <c r="BS14" s="813">
        <f t="shared" si="20"/>
        <v>4.2305547100566034</v>
      </c>
      <c r="BT14" s="813">
        <f t="shared" si="20"/>
        <v>4.2305547100566034</v>
      </c>
      <c r="BU14" s="813">
        <f t="shared" si="20"/>
        <v>4.2305547100566034</v>
      </c>
      <c r="BV14" s="813">
        <f t="shared" si="20"/>
        <v>4.2305547100566034</v>
      </c>
      <c r="BW14" s="1148">
        <f>+BV14*BW$137/BV$137</f>
        <v>4.2407232992414734</v>
      </c>
      <c r="BX14" s="1148">
        <f t="shared" ref="BX14:CZ14" si="21">+BW14*BX$137/BW$137</f>
        <v>4.2509163297143298</v>
      </c>
      <c r="BY14" s="1148">
        <f t="shared" si="21"/>
        <v>4.2611338602224134</v>
      </c>
      <c r="BZ14" s="1148">
        <f t="shared" si="21"/>
        <v>4.2713759496541703</v>
      </c>
      <c r="CA14" s="1148">
        <f t="shared" si="21"/>
        <v>4.2816426570395922</v>
      </c>
      <c r="CB14" s="1148">
        <f t="shared" si="21"/>
        <v>4.2906297812770164</v>
      </c>
      <c r="CC14" s="1148">
        <f t="shared" si="21"/>
        <v>4.2996357693964899</v>
      </c>
      <c r="CD14" s="1148">
        <f t="shared" si="21"/>
        <v>4.3086606609931088</v>
      </c>
      <c r="CE14" s="1148">
        <f t="shared" si="21"/>
        <v>4.3177044957450779</v>
      </c>
      <c r="CF14" s="1148">
        <f t="shared" si="21"/>
        <v>4.3267673134138871</v>
      </c>
      <c r="CG14" s="1148">
        <f t="shared" si="21"/>
        <v>4.3379163315619822</v>
      </c>
      <c r="CH14" s="1148">
        <f t="shared" si="21"/>
        <v>4.3490940779953462</v>
      </c>
      <c r="CI14" s="1148">
        <f t="shared" si="21"/>
        <v>4.3603006267397229</v>
      </c>
      <c r="CJ14" s="1148">
        <f t="shared" si="21"/>
        <v>4.3715360520116029</v>
      </c>
      <c r="CK14" s="1148">
        <f t="shared" si="21"/>
        <v>4.3828004282187161</v>
      </c>
      <c r="CL14" s="1148">
        <f t="shared" si="21"/>
        <v>4.3921814554525627</v>
      </c>
      <c r="CM14" s="1148">
        <f t="shared" si="21"/>
        <v>4.4015825620108968</v>
      </c>
      <c r="CN14" s="1148">
        <f t="shared" si="21"/>
        <v>4.4110037908718764</v>
      </c>
      <c r="CO14" s="1148">
        <f t="shared" si="21"/>
        <v>4.4204451851056508</v>
      </c>
      <c r="CP14" s="1148">
        <f t="shared" si="21"/>
        <v>4.4299067878745575</v>
      </c>
      <c r="CQ14" s="1148">
        <f t="shared" si="21"/>
        <v>4.4385669033121991</v>
      </c>
      <c r="CR14" s="1148">
        <f t="shared" si="21"/>
        <v>4.4472439485867392</v>
      </c>
      <c r="CS14" s="1148">
        <f t="shared" si="21"/>
        <v>4.4559379567946618</v>
      </c>
      <c r="CT14" s="1148">
        <f t="shared" si="21"/>
        <v>4.4646489610971525</v>
      </c>
      <c r="CU14" s="1148">
        <f t="shared" si="21"/>
        <v>4.4733769947202253</v>
      </c>
      <c r="CV14" s="1148">
        <f t="shared" si="21"/>
        <v>4.4836815387008029</v>
      </c>
      <c r="CW14" s="1148">
        <f t="shared" si="21"/>
        <v>4.494009819475032</v>
      </c>
      <c r="CX14" s="1148">
        <f t="shared" si="21"/>
        <v>4.5043618917212536</v>
      </c>
      <c r="CY14" s="1148">
        <f t="shared" si="21"/>
        <v>4.5147378102437621</v>
      </c>
      <c r="CZ14" s="1148">
        <f t="shared" si="21"/>
        <v>4.525137629973095</v>
      </c>
    </row>
    <row r="15" spans="1:104">
      <c r="A15" s="818" t="str">
        <f>'HyARC Physical Property Data'!A79</f>
        <v>Electric Utility Steam Coal</v>
      </c>
      <c r="B15">
        <v>2007</v>
      </c>
      <c r="C15" s="738">
        <f>VLOOKUP(ref_year,DeflatorTable,2,FALSE)/VLOOKUP(B15,DeflatorTable,2,FALSE)</f>
        <v>1.1413971588333081</v>
      </c>
      <c r="D15" s="1028" t="str">
        <f>+'HyARC Physical Property Data'!$H$79</f>
        <v>kg</v>
      </c>
      <c r="E15" s="756" t="s">
        <v>1049</v>
      </c>
      <c r="F15">
        <f>'HyARC Physical Property Data'!E42</f>
        <v>22.7322030001394</v>
      </c>
      <c r="G15">
        <f>'HyARC Physical Property Data'!I42</f>
        <v>23.967615189707661</v>
      </c>
      <c r="H15">
        <f>1.73552525043488*($C$15/mmBTU_to_GJ*$G$15/$F$15)</f>
        <v>1.9796962563875427</v>
      </c>
      <c r="I15">
        <f>1.73552525043488*($C$15/mmBTU_to_GJ*$G$15/$F$15)</f>
        <v>1.9796962563875427</v>
      </c>
      <c r="J15">
        <f>1.73552525043488*($C$15/mmBTU_to_GJ*$G$15/$F$15)</f>
        <v>1.9796962563875427</v>
      </c>
      <c r="K15">
        <f>1.78000020980835*($C$15/mmBTU_to_GJ*$G$15/$F$15)</f>
        <v>2.0304283967309829</v>
      </c>
      <c r="L15">
        <f>1.9310736656189*($C$15/mmBTU_to_GJ*$G$15/$F$15)</f>
        <v>2.2027563734243398</v>
      </c>
      <c r="M15">
        <f>1.98230564594269*($C$15/mmBTU_to_GJ*$G$15/$F$15)</f>
        <v>2.2611961798339055</v>
      </c>
      <c r="N15">
        <f>1.86225914955139*($C$15/mmBTU_to_GJ*$G$15/$F$15)</f>
        <v>2.1242603447380195</v>
      </c>
      <c r="O15">
        <f>1.87335216999054*($C$15/mmBTU_to_GJ*$G$15/$F$15)</f>
        <v>2.1369140419572981</v>
      </c>
      <c r="P15">
        <f>1.85759365558624*($C$15/mmBTU_to_GJ*$G$15/$F$15)</f>
        <v>2.1189384625385577</v>
      </c>
      <c r="Q15">
        <f>1.88174879550934*($C$15/mmBTU_to_GJ*$G$15/$F$15)</f>
        <v>2.1464919885194074</v>
      </c>
      <c r="R15">
        <f>1.90431761741638*($C$15/mmBTU_to_GJ*$G$15/$F$15)</f>
        <v>2.1722360174404782</v>
      </c>
      <c r="S15">
        <f>1.90719401836395*($C$15/mmBTU_to_GJ*$G$15/$F$15)</f>
        <v>2.1755170991685295</v>
      </c>
      <c r="T15">
        <f>1.91704928874969*($C$15/mmBTU_to_GJ*$G$15/$F$15)</f>
        <v>2.1867589073090032</v>
      </c>
      <c r="U15">
        <f>1.92595064640045*($C$15/mmBTU_to_GJ*$G$15/$F$15)</f>
        <v>2.1969125967546401</v>
      </c>
      <c r="V15">
        <f>1.94080138206482*($C$15/mmBTU_to_GJ*$G$15/$F$15)</f>
        <v>2.2138526820642528</v>
      </c>
      <c r="W15">
        <f>1.94636797904968*($C$15/mmBTU_to_GJ*$G$15/$F$15)</f>
        <v>2.2202024434457042</v>
      </c>
      <c r="X15">
        <f>1.95628917217255*($C$15/mmBTU_to_GJ*$G$15/$F$15)</f>
        <v>2.2315194489916172</v>
      </c>
      <c r="Y15">
        <f>1.96225011348724*($C$15/mmBTU_to_GJ*$G$15/$F$15)</f>
        <v>2.2383190349972262</v>
      </c>
      <c r="Z15">
        <f>1.97535526752472*($C$15/mmBTU_to_GJ*$G$15/$F$15)</f>
        <v>2.2532679528426334</v>
      </c>
      <c r="AA15">
        <f>1.98115420341492*($C$15/mmBTU_to_GJ*$G$15/$F$15)</f>
        <v>2.259882740884458</v>
      </c>
      <c r="AB15">
        <f>1.98549652099609*($C$15/mmBTU_to_GJ*$G$15/$F$15)</f>
        <v>2.264835979022211</v>
      </c>
      <c r="AC15">
        <f>1.98988306522369*($C$15/mmBTU_to_GJ*$G$15/$F$15)</f>
        <v>2.2698396660522224</v>
      </c>
      <c r="AD15">
        <f>1.99634909629822*($C$15/mmBTU_to_GJ*$G$15/$F$15)</f>
        <v>2.277215402883896</v>
      </c>
      <c r="AE15">
        <f>2.00744533538818*($C$15/mmBTU_to_GJ*$G$15/$F$15)</f>
        <v>2.2898727715858902</v>
      </c>
      <c r="AF15">
        <f>2.02021908760071*($C$15/mmBTU_to_GJ*$G$15/$F$15)</f>
        <v>2.3044436626915257</v>
      </c>
      <c r="AG15">
        <f>2.03361201286316*($C$15/mmBTU_to_GJ*$G$15/$F$15)</f>
        <v>2.3197208382886583</v>
      </c>
      <c r="AH15">
        <f>2.04451942443848*($C$15/mmBTU_to_GJ*$G$15/$F$15)</f>
        <v>2.3321628133374963</v>
      </c>
      <c r="AI15">
        <f>(($BB$15-$AH$15)/20+AH15)</f>
        <v>2.3372909448097223</v>
      </c>
      <c r="AJ15">
        <f t="shared" ref="AJ15:BA15" si="22">(($BB$15-$AH$15)/20+AI15)</f>
        <v>2.3424190762819483</v>
      </c>
      <c r="AK15">
        <f t="shared" si="22"/>
        <v>2.3475472077541744</v>
      </c>
      <c r="AL15">
        <f t="shared" si="22"/>
        <v>2.3526753392264004</v>
      </c>
      <c r="AM15">
        <f t="shared" si="22"/>
        <v>2.3578034706986264</v>
      </c>
      <c r="AN15">
        <f t="shared" si="22"/>
        <v>2.3629316021708524</v>
      </c>
      <c r="AO15">
        <f t="shared" si="22"/>
        <v>2.3680597336430784</v>
      </c>
      <c r="AP15">
        <f t="shared" si="22"/>
        <v>2.3731878651153044</v>
      </c>
      <c r="AQ15">
        <f t="shared" si="22"/>
        <v>2.3783159965875305</v>
      </c>
      <c r="AR15">
        <f t="shared" si="22"/>
        <v>2.3834441280597565</v>
      </c>
      <c r="AS15">
        <f t="shared" si="22"/>
        <v>2.3885722595319825</v>
      </c>
      <c r="AT15">
        <f t="shared" si="22"/>
        <v>2.3937003910042085</v>
      </c>
      <c r="AU15">
        <f t="shared" si="22"/>
        <v>2.3988285224764345</v>
      </c>
      <c r="AV15">
        <f t="shared" si="22"/>
        <v>2.4039566539486605</v>
      </c>
      <c r="AW15">
        <f t="shared" si="22"/>
        <v>2.4090847854208866</v>
      </c>
      <c r="AX15">
        <f t="shared" si="22"/>
        <v>2.4142129168931126</v>
      </c>
      <c r="AY15">
        <f t="shared" si="22"/>
        <v>2.4193410483653386</v>
      </c>
      <c r="AZ15">
        <f t="shared" si="22"/>
        <v>2.4244691798375646</v>
      </c>
      <c r="BA15">
        <f t="shared" si="22"/>
        <v>2.4295973113097906</v>
      </c>
      <c r="BB15" s="857">
        <f>(1.04397747398165*AH15)</f>
        <v>2.434725442782018</v>
      </c>
      <c r="BC15">
        <f>(($BQ$15-$BB$15)/15+BB15)</f>
        <v>2.4393430815285027</v>
      </c>
      <c r="BD15">
        <f t="shared" ref="BD15:BP15" si="23">(($BQ$15-$BB$15)/15+BC15)</f>
        <v>2.4439607202749873</v>
      </c>
      <c r="BE15">
        <f t="shared" si="23"/>
        <v>2.448578359021472</v>
      </c>
      <c r="BF15">
        <f t="shared" si="23"/>
        <v>2.4531959977679567</v>
      </c>
      <c r="BG15">
        <f t="shared" si="23"/>
        <v>2.4578136365144414</v>
      </c>
      <c r="BH15">
        <f t="shared" si="23"/>
        <v>2.4624312752609261</v>
      </c>
      <c r="BI15">
        <f t="shared" si="23"/>
        <v>2.4670489140074108</v>
      </c>
      <c r="BJ15">
        <f t="shared" si="23"/>
        <v>2.4716665527538955</v>
      </c>
      <c r="BK15">
        <f t="shared" si="23"/>
        <v>2.4762841915003801</v>
      </c>
      <c r="BL15">
        <f t="shared" si="23"/>
        <v>2.4809018302468648</v>
      </c>
      <c r="BM15">
        <f t="shared" si="23"/>
        <v>2.4855194689933495</v>
      </c>
      <c r="BN15">
        <f t="shared" si="23"/>
        <v>2.4901371077398342</v>
      </c>
      <c r="BO15">
        <f t="shared" si="23"/>
        <v>2.4947547464863189</v>
      </c>
      <c r="BP15">
        <f t="shared" si="23"/>
        <v>2.4993723852328036</v>
      </c>
      <c r="BQ15" s="857">
        <f>(1.02844862093285*BB15)</f>
        <v>2.5039900239792892</v>
      </c>
      <c r="BR15">
        <f>(($BV$15-$BQ$15)/5+BQ15)</f>
        <v>2.5087390281800759</v>
      </c>
      <c r="BS15">
        <f>(($BV$15-$BQ$15)/5+BR15)</f>
        <v>2.5134880323808626</v>
      </c>
      <c r="BT15">
        <f>(($BV$15-$BQ$15)/5+BS15)</f>
        <v>2.5182370365816493</v>
      </c>
      <c r="BU15">
        <f>(($BV$15-$BQ$15)/5+BT15)</f>
        <v>2.522986040782436</v>
      </c>
      <c r="BV15" s="860">
        <f>(1.00948287364428*BQ15)</f>
        <v>2.5277350449832223</v>
      </c>
      <c r="BW15" s="1148">
        <f>+BV15*BW$138/BV$138</f>
        <v>2.536281204043199</v>
      </c>
      <c r="BX15" s="1148">
        <f t="shared" ref="BX15:CZ15" si="24">+BW15*BX$138/BW$138</f>
        <v>2.5448562572844797</v>
      </c>
      <c r="BY15" s="1148">
        <f t="shared" si="24"/>
        <v>2.5534603023969979</v>
      </c>
      <c r="BZ15" s="1148">
        <f t="shared" si="24"/>
        <v>2.5620934374009732</v>
      </c>
      <c r="CA15" s="1148">
        <f t="shared" si="24"/>
        <v>2.5707557606480269</v>
      </c>
      <c r="CB15" s="1148">
        <f t="shared" si="24"/>
        <v>2.5781162379988212</v>
      </c>
      <c r="CC15" s="1148">
        <f t="shared" si="24"/>
        <v>2.585497789551864</v>
      </c>
      <c r="CD15" s="1148">
        <f t="shared" si="24"/>
        <v>2.5929004756459051</v>
      </c>
      <c r="CE15" s="1148">
        <f t="shared" si="24"/>
        <v>2.6003243567924534</v>
      </c>
      <c r="CF15" s="1148">
        <f t="shared" si="24"/>
        <v>2.6077694936762716</v>
      </c>
      <c r="CG15" s="1148">
        <f t="shared" si="24"/>
        <v>2.6134538634410465</v>
      </c>
      <c r="CH15" s="1148">
        <f t="shared" si="24"/>
        <v>2.6191506238943774</v>
      </c>
      <c r="CI15" s="1148">
        <f t="shared" si="24"/>
        <v>2.6248598020452683</v>
      </c>
      <c r="CJ15" s="1148">
        <f t="shared" si="24"/>
        <v>2.6305814249615964</v>
      </c>
      <c r="CK15" s="1148">
        <f t="shared" si="24"/>
        <v>2.6363155197702408</v>
      </c>
      <c r="CL15" s="1148">
        <f t="shared" si="24"/>
        <v>2.640202757935151</v>
      </c>
      <c r="CM15" s="1148">
        <f t="shared" si="24"/>
        <v>2.6440957278193635</v>
      </c>
      <c r="CN15" s="1148">
        <f t="shared" si="24"/>
        <v>2.6479944378742784</v>
      </c>
      <c r="CO15" s="1148">
        <f t="shared" si="24"/>
        <v>2.6518988965637571</v>
      </c>
      <c r="CP15" s="1148">
        <f t="shared" si="24"/>
        <v>2.6558091123641421</v>
      </c>
      <c r="CQ15" s="1148">
        <f t="shared" si="24"/>
        <v>2.6571185824873536</v>
      </c>
      <c r="CR15" s="1148">
        <f t="shared" si="24"/>
        <v>2.6584286982563667</v>
      </c>
      <c r="CS15" s="1148">
        <f t="shared" si="24"/>
        <v>2.659739459989523</v>
      </c>
      <c r="CT15" s="1148">
        <f t="shared" si="24"/>
        <v>2.6610508680053204</v>
      </c>
      <c r="CU15" s="1148">
        <f t="shared" si="24"/>
        <v>2.6623629226224148</v>
      </c>
      <c r="CV15" s="1148">
        <f t="shared" si="24"/>
        <v>2.6604772171816178</v>
      </c>
      <c r="CW15" s="1148">
        <f t="shared" si="24"/>
        <v>2.6585928473532499</v>
      </c>
      <c r="CX15" s="1148">
        <f t="shared" si="24"/>
        <v>2.6567098121913197</v>
      </c>
      <c r="CY15" s="1148">
        <f t="shared" si="24"/>
        <v>2.6548281107505058</v>
      </c>
      <c r="CZ15" s="1148">
        <f t="shared" si="24"/>
        <v>2.6529477420861576</v>
      </c>
    </row>
    <row r="16" spans="1:104">
      <c r="A16" s="812" t="str">
        <f>'HyARC Physical Property Data'!A76</f>
        <v>Commercial Electricity</v>
      </c>
      <c r="B16">
        <v>2007</v>
      </c>
      <c r="C16" s="738">
        <f t="shared" si="8"/>
        <v>1.1413971588333081</v>
      </c>
      <c r="D16" s="1028" t="str">
        <f>'HyARC Physical Property Data'!$H$76</f>
        <v>kWh</v>
      </c>
      <c r="E16" s="738" t="s">
        <v>1068</v>
      </c>
      <c r="F16" s="738"/>
      <c r="G16" s="738"/>
      <c r="H16">
        <f>(28.3762531280518/(mmBTU_to_GJ))*($C$16)</f>
        <v>30.700070804448433</v>
      </c>
      <c r="I16">
        <f>(28.3762531280518/(mmBTU_to_GJ))*($C$16)</f>
        <v>30.700070804448433</v>
      </c>
      <c r="J16">
        <f>(28.3762531280518/(mmBTU_to_GJ))*($C$16)</f>
        <v>30.700070804448433</v>
      </c>
      <c r="K16">
        <f>(28.0297355651855/(mmBTU_to_GJ))*($C$16)</f>
        <v>30.325175864409157</v>
      </c>
      <c r="L16">
        <f>(29.057315826416/(mmBTU_to_GJ))*($C$16)</f>
        <v>31.436907798666674</v>
      </c>
      <c r="M16">
        <f>(27.6067714691162/(mmBTU_to_GJ))*($C$16)</f>
        <v>29.867573952047074</v>
      </c>
      <c r="N16">
        <f>(24.8355846405029/(mmBTU_to_GJ))*($C$16)</f>
        <v>26.869446205340434</v>
      </c>
      <c r="O16">
        <f>(25.5812511444092/(mmBTU_to_GJ))*($C$16)</f>
        <v>27.676177607232201</v>
      </c>
      <c r="P16">
        <f>(25.4402256011963/(mmBTU_to_GJ))*($C$16)</f>
        <v>27.523603053349618</v>
      </c>
      <c r="Q16">
        <f>(25.4701290130615/(mmBTU_to_GJ))*($C$16)</f>
        <v>27.555955346565124</v>
      </c>
      <c r="R16">
        <f>(25.6722831726074/(mmBTU_to_GJ))*($C$16)</f>
        <v>27.774664525097851</v>
      </c>
      <c r="S16">
        <f>(25.7632827758789/(mmBTU_to_GJ))*($C$16)</f>
        <v>27.87311636266093</v>
      </c>
      <c r="T16">
        <f>(26.1006698608398/(mmBTU_to_GJ))*($C$16)</f>
        <v>28.238133102188346</v>
      </c>
      <c r="U16">
        <f>(26.4680442810059/(mmBTU_to_GJ))*($C$16)</f>
        <v>28.635592931008837</v>
      </c>
      <c r="V16">
        <f>(26.885612487793/(mmBTU_to_GJ))*($C$16)</f>
        <v>29.087357068303547</v>
      </c>
      <c r="W16">
        <f>(27.1694507598877/(mmBTU_to_GJ))*($C$16)</f>
        <v>29.394439719807853</v>
      </c>
      <c r="X16">
        <f>(27.6201095581055/(mmBTU_to_GJ))*($C$16)</f>
        <v>29.882004337712146</v>
      </c>
      <c r="Y16">
        <f>(28.0024471282958/(mmBTU_to_GJ))*($C$16)</f>
        <v>30.29565269442346</v>
      </c>
      <c r="Z16">
        <f>(28.2454071044922/(mmBTU_to_GJ))*($C$16)</f>
        <v>30.558509402045058</v>
      </c>
      <c r="AA16">
        <f>(28.1863746643066/(mmBTU_to_GJ))*($C$16)</f>
        <v>30.494642615782649</v>
      </c>
      <c r="AB16">
        <f>(28.2032489776611/(mmBTU_to_GJ))*($C$16)</f>
        <v>30.512898817981785</v>
      </c>
      <c r="AC16">
        <f>(28.1397113800049/(mmBTU_to_GJ))*($C$16)</f>
        <v>30.444157933200852</v>
      </c>
      <c r="AD16">
        <f>(28.178466796875/(mmBTU_to_GJ))*($C$16)</f>
        <v>30.486087149034912</v>
      </c>
      <c r="AE16">
        <f>(28.4951820373535/(mmBTU_to_GJ))*($C$16)</f>
        <v>30.828739163860856</v>
      </c>
      <c r="AF16">
        <f>(28.9155654907227/(mmBTU_to_GJ))*($C$16)</f>
        <v>31.283549096842975</v>
      </c>
      <c r="AG16">
        <f>(29.2894115447998/(mmBTU_to_GJ))*($C$16)</f>
        <v>31.688010541359226</v>
      </c>
      <c r="AH16">
        <f>(29.6516952514648/(mmBTU_to_GJ))*($C$16)</f>
        <v>32.079962762666369</v>
      </c>
      <c r="AI16">
        <f t="shared" ref="AI16:BA18" si="25">($BB16-$AH16)/20+AH16</f>
        <v>32.070504288889573</v>
      </c>
      <c r="AJ16">
        <f t="shared" si="25"/>
        <v>32.061045815112777</v>
      </c>
      <c r="AK16">
        <f t="shared" si="25"/>
        <v>32.051587341335981</v>
      </c>
      <c r="AL16">
        <f t="shared" si="25"/>
        <v>32.042128867559185</v>
      </c>
      <c r="AM16">
        <f t="shared" si="25"/>
        <v>32.032670393782389</v>
      </c>
      <c r="AN16">
        <f t="shared" si="25"/>
        <v>32.023211920005593</v>
      </c>
      <c r="AO16">
        <f t="shared" si="25"/>
        <v>32.013753446228797</v>
      </c>
      <c r="AP16">
        <f t="shared" si="25"/>
        <v>32.004294972452001</v>
      </c>
      <c r="AQ16">
        <f t="shared" si="25"/>
        <v>31.994836498675209</v>
      </c>
      <c r="AR16">
        <f t="shared" si="25"/>
        <v>31.985378024898417</v>
      </c>
      <c r="AS16">
        <f t="shared" si="25"/>
        <v>31.975919551121624</v>
      </c>
      <c r="AT16">
        <f t="shared" si="25"/>
        <v>31.966461077344832</v>
      </c>
      <c r="AU16">
        <f t="shared" si="25"/>
        <v>31.957002603568039</v>
      </c>
      <c r="AV16">
        <f t="shared" si="25"/>
        <v>31.947544129791247</v>
      </c>
      <c r="AW16">
        <f t="shared" si="25"/>
        <v>31.938085656014454</v>
      </c>
      <c r="AX16">
        <f t="shared" si="25"/>
        <v>31.928627182237662</v>
      </c>
      <c r="AY16">
        <f t="shared" si="25"/>
        <v>31.91916870846087</v>
      </c>
      <c r="AZ16">
        <f t="shared" si="25"/>
        <v>31.909710234684077</v>
      </c>
      <c r="BA16">
        <f t="shared" si="25"/>
        <v>31.900251760907285</v>
      </c>
      <c r="BB16" s="857">
        <f>0.994103189054944*AH16</f>
        <v>31.890793287130489</v>
      </c>
      <c r="BC16">
        <f t="shared" ref="BC16:BP18" si="26">($BQ16-$BB16)/15+BB16</f>
        <v>31.911051832953525</v>
      </c>
      <c r="BD16">
        <f t="shared" si="26"/>
        <v>31.931310378776562</v>
      </c>
      <c r="BE16">
        <f t="shared" si="26"/>
        <v>31.951568924599599</v>
      </c>
      <c r="BF16">
        <f t="shared" si="26"/>
        <v>31.971827470422635</v>
      </c>
      <c r="BG16">
        <f t="shared" si="26"/>
        <v>31.992086016245672</v>
      </c>
      <c r="BH16">
        <f t="shared" si="26"/>
        <v>32.012344562068712</v>
      </c>
      <c r="BI16">
        <f t="shared" si="26"/>
        <v>32.032603107891752</v>
      </c>
      <c r="BJ16">
        <f t="shared" si="26"/>
        <v>32.052861653714793</v>
      </c>
      <c r="BK16">
        <f t="shared" si="26"/>
        <v>32.073120199537833</v>
      </c>
      <c r="BL16">
        <f t="shared" si="26"/>
        <v>32.093378745360873</v>
      </c>
      <c r="BM16">
        <f t="shared" si="26"/>
        <v>32.113637291183913</v>
      </c>
      <c r="BN16">
        <f t="shared" si="26"/>
        <v>32.133895837006953</v>
      </c>
      <c r="BO16">
        <f t="shared" si="26"/>
        <v>32.154154382829994</v>
      </c>
      <c r="BP16">
        <f t="shared" si="26"/>
        <v>32.174412928653034</v>
      </c>
      <c r="BQ16" s="857">
        <f>1.00952871208344*BB16</f>
        <v>32.194671474476053</v>
      </c>
      <c r="BR16">
        <f t="shared" ref="BR16:BU18" si="27">($BV16-$BQ16)/5+BQ16</f>
        <v>32.215123058149487</v>
      </c>
      <c r="BS16">
        <f t="shared" si="27"/>
        <v>32.235574641822922</v>
      </c>
      <c r="BT16">
        <f t="shared" si="27"/>
        <v>32.256026225496356</v>
      </c>
      <c r="BU16">
        <f t="shared" si="27"/>
        <v>32.276477809169791</v>
      </c>
      <c r="BV16" s="860">
        <f>1.00317623736115*BQ16</f>
        <v>32.296929392843232</v>
      </c>
      <c r="BW16" s="1148">
        <f>+BV16*BW$139/BV$139</f>
        <v>32.282708933053591</v>
      </c>
      <c r="BX16" s="1148">
        <f t="shared" ref="BX16:CZ16" si="28">+BW16*BX$139/BW$139</f>
        <v>32.268494734586014</v>
      </c>
      <c r="BY16" s="1148">
        <f t="shared" si="28"/>
        <v>32.254286794683622</v>
      </c>
      <c r="BZ16" s="1148">
        <f t="shared" si="28"/>
        <v>32.240085110590741</v>
      </c>
      <c r="CA16" s="1148">
        <f t="shared" si="28"/>
        <v>32.225889679552914</v>
      </c>
      <c r="CB16" s="1148">
        <f t="shared" si="28"/>
        <v>32.20007724517788</v>
      </c>
      <c r="CC16" s="1148">
        <f t="shared" si="28"/>
        <v>32.174285486159683</v>
      </c>
      <c r="CD16" s="1148">
        <f t="shared" si="28"/>
        <v>32.148514385937681</v>
      </c>
      <c r="CE16" s="1148">
        <f t="shared" si="28"/>
        <v>32.122763927964499</v>
      </c>
      <c r="CF16" s="1148">
        <f t="shared" si="28"/>
        <v>32.097034095706015</v>
      </c>
      <c r="CG16" s="1148">
        <f t="shared" si="28"/>
        <v>32.061589809857011</v>
      </c>
      <c r="CH16" s="1148">
        <f t="shared" si="28"/>
        <v>32.026184664615073</v>
      </c>
      <c r="CI16" s="1148">
        <f t="shared" si="28"/>
        <v>31.990818616757792</v>
      </c>
      <c r="CJ16" s="1148">
        <f t="shared" si="28"/>
        <v>31.9554916231105</v>
      </c>
      <c r="CK16" s="1148">
        <f t="shared" si="28"/>
        <v>31.920203640546202</v>
      </c>
      <c r="CL16" s="1148">
        <f t="shared" si="28"/>
        <v>31.881731115497008</v>
      </c>
      <c r="CM16" s="1148">
        <f t="shared" si="28"/>
        <v>31.843304960301854</v>
      </c>
      <c r="CN16" s="1148">
        <f t="shared" si="28"/>
        <v>31.804925119072454</v>
      </c>
      <c r="CO16" s="1148">
        <f t="shared" si="28"/>
        <v>31.766591535987885</v>
      </c>
      <c r="CP16" s="1148">
        <f t="shared" si="28"/>
        <v>31.728304155294506</v>
      </c>
      <c r="CQ16" s="1148">
        <f t="shared" si="28"/>
        <v>31.683957370716094</v>
      </c>
      <c r="CR16" s="1148">
        <f t="shared" si="28"/>
        <v>31.639672569825585</v>
      </c>
      <c r="CS16" s="1148">
        <f t="shared" si="28"/>
        <v>31.59544966598812</v>
      </c>
      <c r="CT16" s="1148">
        <f t="shared" si="28"/>
        <v>31.551288572689923</v>
      </c>
      <c r="CU16" s="1148">
        <f t="shared" si="28"/>
        <v>31.50718920353814</v>
      </c>
      <c r="CV16" s="1148">
        <f t="shared" si="28"/>
        <v>31.46414036817173</v>
      </c>
      <c r="CW16" s="1148">
        <f t="shared" si="28"/>
        <v>31.421150351197987</v>
      </c>
      <c r="CX16" s="1148">
        <f t="shared" si="28"/>
        <v>31.378219072252289</v>
      </c>
      <c r="CY16" s="1148">
        <f t="shared" si="28"/>
        <v>31.335346451079825</v>
      </c>
      <c r="CZ16" s="1148">
        <f t="shared" si="28"/>
        <v>31.292532407535425</v>
      </c>
    </row>
    <row r="17" spans="1:104">
      <c r="A17" s="812" t="str">
        <f>'HyARC Physical Property Data'!A77</f>
        <v>Industrial Electricity</v>
      </c>
      <c r="B17">
        <v>2007</v>
      </c>
      <c r="C17" s="738">
        <f t="shared" si="8"/>
        <v>1.1413971588333081</v>
      </c>
      <c r="D17" s="812" t="str">
        <f>'HyARC Physical Property Data'!$H$77</f>
        <v>kWh</v>
      </c>
      <c r="E17" s="738" t="s">
        <v>1068</v>
      </c>
      <c r="F17" s="738"/>
      <c r="G17" s="738"/>
      <c r="H17">
        <f>(18.4008941650391/(mmBTU_to_GJ))*($C$17)</f>
        <v>19.907799355419932</v>
      </c>
      <c r="I17">
        <f>(18.4008941650391/(mmBTU_to_GJ))*($C$17)</f>
        <v>19.907799355419932</v>
      </c>
      <c r="J17">
        <f>(18.4008941650391/(mmBTU_to_GJ))*($C$17)</f>
        <v>19.907799355419932</v>
      </c>
      <c r="K17">
        <f>(18.6226921081543/(mmBTU_to_GJ))*($C$17)</f>
        <v>20.147761006705959</v>
      </c>
      <c r="L17">
        <f>(20.3344097137451/(mmBTU_to_GJ))*($C$17)</f>
        <v>21.999656373290122</v>
      </c>
      <c r="M17">
        <f>(19.1594867706299/(mmBTU_to_GJ))*($C$17)</f>
        <v>20.728515416778507</v>
      </c>
      <c r="N17">
        <f>(16.8281726837158/(mmBTU_to_GJ))*($C$17)</f>
        <v>18.206282928482938</v>
      </c>
      <c r="O17">
        <f>(17.2643089294434/(mmBTU_to_GJ))*($C$17)</f>
        <v>18.678135697902565</v>
      </c>
      <c r="P17">
        <f>(17.1560707092285/(mmBTU_to_GJ))*($C$17)</f>
        <v>18.561033520622512</v>
      </c>
      <c r="Q17">
        <f>(17.0836048126221/(mmBTU_to_GJ))*($C$17)</f>
        <v>18.482633171334495</v>
      </c>
      <c r="R17">
        <f>(17.1988334655762/(mmBTU_to_GJ))*($C$17)</f>
        <v>18.607298249152503</v>
      </c>
      <c r="S17">
        <f>(17.3181438446045/(mmBTU_to_GJ))*($C$17)</f>
        <v>18.736379318007696</v>
      </c>
      <c r="T17">
        <f>(17.6150741577148/(mmBTU_to_GJ))*($C$17)</f>
        <v>19.057626157586448</v>
      </c>
      <c r="U17">
        <f>(17.9101543426514/(mmBTU_to_GJ))*($C$17)</f>
        <v>19.376871356368099</v>
      </c>
      <c r="V17">
        <f>(18.2101707458496/(mmBTU_to_GJ))*($C$17)</f>
        <v>19.701457015338534</v>
      </c>
      <c r="W17">
        <f>(18.456880569458/(mmBTU_to_GJ))*($C$17)</f>
        <v>19.968370656782042</v>
      </c>
      <c r="X17">
        <f>(18.8030014038086/(mmBTU_to_GJ))*($C$17)</f>
        <v>20.342836379000801</v>
      </c>
      <c r="Y17">
        <f>(19.0852069854736/(mmBTU_to_GJ))*($C$17)</f>
        <v>20.648152634090209</v>
      </c>
      <c r="Z17">
        <f>(19.30615234375/(mmBTU_to_GJ))*($C$17)</f>
        <v>20.887191879771816</v>
      </c>
      <c r="AA17">
        <f>(19.3043308258057/(mmBTU_to_GJ))*($C$17)</f>
        <v>20.885221192182819</v>
      </c>
      <c r="AB17">
        <f>(19.3253479003906/(mmBTU_to_GJ))*($C$17)</f>
        <v>20.90795941892992</v>
      </c>
      <c r="AC17">
        <f>(19.3248138427734/(mmBTU_to_GJ))*($C$17)</f>
        <v>20.907381625710087</v>
      </c>
      <c r="AD17">
        <f>(19.3542194366455/(mmBTU_to_GJ))*($C$17)</f>
        <v>20.939195333102905</v>
      </c>
      <c r="AE17">
        <f>(19.6148834228516/(mmBTU_to_GJ))*($C$17)</f>
        <v>21.221205885961488</v>
      </c>
      <c r="AF17">
        <f>(19.97239112854/(mmBTU_to_GJ))*($C$17)</f>
        <v>21.607990985045614</v>
      </c>
      <c r="AG17">
        <f>(20.29469871521/(mmBTU_to_GJ))*($C$17)</f>
        <v>21.956693320302069</v>
      </c>
      <c r="AH17">
        <f>(20.5609893798828/(mmBTU_to_GJ))*($C$17)</f>
        <v>22.244791337440805</v>
      </c>
      <c r="AI17">
        <f t="shared" si="25"/>
        <v>22.238232670989351</v>
      </c>
      <c r="AJ17">
        <f t="shared" si="25"/>
        <v>22.231674004537897</v>
      </c>
      <c r="AK17">
        <f t="shared" si="25"/>
        <v>22.225115338086443</v>
      </c>
      <c r="AL17">
        <f t="shared" si="25"/>
        <v>22.218556671634989</v>
      </c>
      <c r="AM17">
        <f t="shared" si="25"/>
        <v>22.211998005183535</v>
      </c>
      <c r="AN17">
        <f t="shared" si="25"/>
        <v>22.205439338732081</v>
      </c>
      <c r="AO17">
        <f t="shared" si="25"/>
        <v>22.198880672280627</v>
      </c>
      <c r="AP17">
        <f t="shared" si="25"/>
        <v>22.192322005829173</v>
      </c>
      <c r="AQ17">
        <f t="shared" si="25"/>
        <v>22.185763339377718</v>
      </c>
      <c r="AR17">
        <f t="shared" si="25"/>
        <v>22.179204672926264</v>
      </c>
      <c r="AS17">
        <f t="shared" si="25"/>
        <v>22.17264600647481</v>
      </c>
      <c r="AT17">
        <f t="shared" si="25"/>
        <v>22.166087340023356</v>
      </c>
      <c r="AU17">
        <f t="shared" si="25"/>
        <v>22.159528673571902</v>
      </c>
      <c r="AV17">
        <f t="shared" si="25"/>
        <v>22.152970007120448</v>
      </c>
      <c r="AW17">
        <f t="shared" si="25"/>
        <v>22.146411340668994</v>
      </c>
      <c r="AX17">
        <f t="shared" si="25"/>
        <v>22.13985267421754</v>
      </c>
      <c r="AY17">
        <f t="shared" si="25"/>
        <v>22.133294007766086</v>
      </c>
      <c r="AZ17">
        <f t="shared" si="25"/>
        <v>22.126735341314632</v>
      </c>
      <c r="BA17">
        <f t="shared" si="25"/>
        <v>22.120176674863178</v>
      </c>
      <c r="BB17" s="857">
        <f>0.994103189054944*AH17</f>
        <v>22.113618008411699</v>
      </c>
      <c r="BC17">
        <f t="shared" si="26"/>
        <v>22.127665628353387</v>
      </c>
      <c r="BD17">
        <f t="shared" si="26"/>
        <v>22.141713248295076</v>
      </c>
      <c r="BE17">
        <f t="shared" si="26"/>
        <v>22.155760868236765</v>
      </c>
      <c r="BF17">
        <f t="shared" si="26"/>
        <v>22.169808488178454</v>
      </c>
      <c r="BG17">
        <f t="shared" si="26"/>
        <v>22.183856108120143</v>
      </c>
      <c r="BH17">
        <f t="shared" si="26"/>
        <v>22.197903728061831</v>
      </c>
      <c r="BI17">
        <f t="shared" si="26"/>
        <v>22.21195134800352</v>
      </c>
      <c r="BJ17">
        <f t="shared" si="26"/>
        <v>22.225998967945209</v>
      </c>
      <c r="BK17">
        <f t="shared" si="26"/>
        <v>22.240046587886898</v>
      </c>
      <c r="BL17">
        <f t="shared" si="26"/>
        <v>22.254094207828587</v>
      </c>
      <c r="BM17">
        <f t="shared" si="26"/>
        <v>22.268141827770275</v>
      </c>
      <c r="BN17">
        <f t="shared" si="26"/>
        <v>22.282189447711964</v>
      </c>
      <c r="BO17">
        <f t="shared" si="26"/>
        <v>22.296237067653653</v>
      </c>
      <c r="BP17">
        <f t="shared" si="26"/>
        <v>22.310284687595342</v>
      </c>
      <c r="BQ17" s="857">
        <f>1.00952871208344*BB17</f>
        <v>22.324332307537027</v>
      </c>
      <c r="BR17">
        <f t="shared" si="27"/>
        <v>22.338513783204611</v>
      </c>
      <c r="BS17">
        <f t="shared" si="27"/>
        <v>22.352695258872195</v>
      </c>
      <c r="BT17">
        <f t="shared" si="27"/>
        <v>22.36687673453978</v>
      </c>
      <c r="BU17">
        <f t="shared" si="27"/>
        <v>22.381058210207364</v>
      </c>
      <c r="BV17" s="860">
        <f>1.00317623736115*BQ17</f>
        <v>22.395239685874952</v>
      </c>
      <c r="BW17" s="1148">
        <f>+BV17*BW$140/BV$140</f>
        <v>22.402006623717899</v>
      </c>
      <c r="BX17" s="1148">
        <f t="shared" ref="BX17:CZ17" si="29">+BW17*BX$140/BW$140</f>
        <v>22.40877560625643</v>
      </c>
      <c r="BY17" s="1148">
        <f t="shared" si="29"/>
        <v>22.415546634108377</v>
      </c>
      <c r="BZ17" s="1148">
        <f t="shared" si="29"/>
        <v>22.422319707891749</v>
      </c>
      <c r="CA17" s="1148">
        <f t="shared" si="29"/>
        <v>22.429094828224738</v>
      </c>
      <c r="CB17" s="1148">
        <f t="shared" si="29"/>
        <v>22.426558269957198</v>
      </c>
      <c r="CC17" s="1148">
        <f t="shared" si="29"/>
        <v>22.424021998554906</v>
      </c>
      <c r="CD17" s="1148">
        <f t="shared" si="29"/>
        <v>22.421486013985415</v>
      </c>
      <c r="CE17" s="1148">
        <f t="shared" si="29"/>
        <v>22.418950316216293</v>
      </c>
      <c r="CF17" s="1148">
        <f t="shared" si="29"/>
        <v>22.416414905215102</v>
      </c>
      <c r="CG17" s="1148">
        <f t="shared" si="29"/>
        <v>22.406246620986774</v>
      </c>
      <c r="CH17" s="1148">
        <f t="shared" si="29"/>
        <v>22.39608294918218</v>
      </c>
      <c r="CI17" s="1148">
        <f t="shared" si="29"/>
        <v>22.385923887709083</v>
      </c>
      <c r="CJ17" s="1148">
        <f t="shared" si="29"/>
        <v>22.375769434476197</v>
      </c>
      <c r="CK17" s="1148">
        <f t="shared" si="29"/>
        <v>22.365619587393184</v>
      </c>
      <c r="CL17" s="1148">
        <f t="shared" si="29"/>
        <v>22.353167809865965</v>
      </c>
      <c r="CM17" s="1148">
        <f t="shared" si="29"/>
        <v>22.340722964709347</v>
      </c>
      <c r="CN17" s="1148">
        <f t="shared" si="29"/>
        <v>22.328285048063812</v>
      </c>
      <c r="CO17" s="1148">
        <f t="shared" si="29"/>
        <v>22.315854056072002</v>
      </c>
      <c r="CP17" s="1148">
        <f t="shared" si="29"/>
        <v>22.303429984878701</v>
      </c>
      <c r="CQ17" s="1148">
        <f t="shared" si="29"/>
        <v>22.286408389138984</v>
      </c>
      <c r="CR17" s="1148">
        <f t="shared" si="29"/>
        <v>22.269399783989581</v>
      </c>
      <c r="CS17" s="1148">
        <f t="shared" si="29"/>
        <v>22.252404159516296</v>
      </c>
      <c r="CT17" s="1148">
        <f t="shared" si="29"/>
        <v>22.2354215058125</v>
      </c>
      <c r="CU17" s="1148">
        <f t="shared" si="29"/>
        <v>22.218451812979119</v>
      </c>
      <c r="CV17" s="1148">
        <f t="shared" si="29"/>
        <v>22.202497084041635</v>
      </c>
      <c r="CW17" s="1148">
        <f t="shared" si="29"/>
        <v>22.186553811949913</v>
      </c>
      <c r="CX17" s="1148">
        <f t="shared" si="29"/>
        <v>22.17062198847697</v>
      </c>
      <c r="CY17" s="1148">
        <f t="shared" si="29"/>
        <v>22.154701605401723</v>
      </c>
      <c r="CZ17" s="1148">
        <f t="shared" si="29"/>
        <v>22.138792654509</v>
      </c>
    </row>
    <row r="18" spans="1:104" ht="14" thickBot="1">
      <c r="A18" s="815" t="str">
        <f>'HyARC Physical Property Data'!A78</f>
        <v>Residential Electricity</v>
      </c>
      <c r="B18" s="492">
        <v>2007</v>
      </c>
      <c r="C18" s="743">
        <f t="shared" si="8"/>
        <v>1.1413971588333081</v>
      </c>
      <c r="D18" s="815" t="str">
        <f>'HyARC Physical Property Data'!$H$78</f>
        <v>kWh</v>
      </c>
      <c r="E18" s="743" t="s">
        <v>1068</v>
      </c>
      <c r="F18" s="492"/>
      <c r="G18" s="492"/>
      <c r="H18" s="492">
        <f>(31.2067794799805/(mmBTU_to_GJ))*($C$18)</f>
        <v>33.762397568518793</v>
      </c>
      <c r="I18" s="492">
        <f>(31.2067794799805/(mmBTU_to_GJ))*($C$18)</f>
        <v>33.762397568518793</v>
      </c>
      <c r="J18" s="492">
        <f>(31.2067794799805/(mmBTU_to_GJ))*($C$18)</f>
        <v>33.762397568518793</v>
      </c>
      <c r="K18" s="492">
        <f>(31.181957244873/(mmBTU_to_GJ))*($C$18)</f>
        <v>33.735542565080316</v>
      </c>
      <c r="L18" s="492">
        <f>(31.772819519043/(mmBTU_to_GJ))*($C$18)</f>
        <v>34.374792348018154</v>
      </c>
      <c r="M18" s="492">
        <f>(30.736837387085/(mmBTU_to_GJ))*($C$18)</f>
        <v>33.253970488284573</v>
      </c>
      <c r="N18" s="492">
        <f>(28.6163578033447/(mmBTU_to_GJ))*($C$18)</f>
        <v>30.959838381891004</v>
      </c>
      <c r="O18" s="492">
        <f>(29.8736190795898/(mmBTU_to_GJ))*($C$18)</f>
        <v>32.320060608068538</v>
      </c>
      <c r="P18" s="492">
        <f>(30.101655960083/(mmBTU_to_GJ))*($C$18)</f>
        <v>32.56677212229048</v>
      </c>
      <c r="Q18" s="492">
        <f>(30.4253902435303/(mmBTU_to_GJ))*($C$18)</f>
        <v>32.917017990862689</v>
      </c>
      <c r="R18" s="492">
        <f>(30.7938537597656/(mmBTU_to_GJ))*($C$18)</f>
        <v>33.315656105142033</v>
      </c>
      <c r="S18" s="492">
        <f>(30.8830280303955/(mmBTU_to_GJ))*($C$18)</f>
        <v>33.412133128021651</v>
      </c>
      <c r="T18" s="492">
        <f>(31.1491451263428/(mmBTU_to_GJ))*($C$18)</f>
        <v>33.700043362364035</v>
      </c>
      <c r="U18" s="492">
        <f>(31.4898681640625/(mmBTU_to_GJ))*($C$18)</f>
        <v>34.068669245968131</v>
      </c>
      <c r="V18" s="492">
        <f>(31.8156299591064/(mmBTU_to_GJ))*($C$18)</f>
        <v>34.42110866522836</v>
      </c>
      <c r="W18" s="492">
        <f>(32.0206985473633/(mmBTU_to_GJ))*($C$18)</f>
        <v>34.642970943903613</v>
      </c>
      <c r="X18" s="492">
        <f>(32.4303588867188/(mmBTU_to_GJ))*($C$18)</f>
        <v>35.086179614450586</v>
      </c>
      <c r="Y18" s="492">
        <f>(32.7907905578613/(mmBTU_to_GJ))*($C$18)</f>
        <v>35.476128131413226</v>
      </c>
      <c r="Z18" s="492">
        <f>(32.9940071105957/(mmBTU_to_GJ))*($C$18)</f>
        <v>35.695986705743984</v>
      </c>
      <c r="AA18" s="492">
        <f>(32.9234657287598/(mmBTU_to_GJ))*($C$18)</f>
        <v>35.61966847559453</v>
      </c>
      <c r="AB18" s="492">
        <f>(32.9201545715332/(mmBTU_to_GJ))*($C$18)</f>
        <v>35.616086157631599</v>
      </c>
      <c r="AC18" s="492">
        <f>(32.902271270752/(mmBTU_to_GJ))*($C$18)</f>
        <v>35.596738338956506</v>
      </c>
      <c r="AD18" s="492">
        <f>(32.9582405090332/(mmBTU_to_GJ))*($C$18)</f>
        <v>35.657291068393683</v>
      </c>
      <c r="AE18" s="492">
        <f>(33.321102142334/(mmBTU_to_GJ))*($C$18)</f>
        <v>36.049868544506616</v>
      </c>
      <c r="AF18" s="492">
        <f>(33.7343635559082/(mmBTU_to_GJ))*($C$18)</f>
        <v>36.496973192192904</v>
      </c>
      <c r="AG18" s="492">
        <f>(34.1495399475098/(mmBTU_to_GJ))*($C$18)</f>
        <v>36.94614964128175</v>
      </c>
      <c r="AH18" s="492">
        <f>(34.4904899597167/(mmBTU_to_GJ))*($C$18)</f>
        <v>37.315021087004148</v>
      </c>
      <c r="AI18" s="492">
        <f t="shared" si="25"/>
        <v>37.304019105766102</v>
      </c>
      <c r="AJ18" s="492">
        <f t="shared" si="25"/>
        <v>37.293017124528063</v>
      </c>
      <c r="AK18" s="492">
        <f t="shared" si="25"/>
        <v>37.282015143290025</v>
      </c>
      <c r="AL18" s="492">
        <f t="shared" si="25"/>
        <v>37.271013162051986</v>
      </c>
      <c r="AM18" s="492">
        <f t="shared" si="25"/>
        <v>37.260011180813947</v>
      </c>
      <c r="AN18" s="492">
        <f t="shared" si="25"/>
        <v>37.249009199575909</v>
      </c>
      <c r="AO18" s="492">
        <f t="shared" si="25"/>
        <v>37.23800721833787</v>
      </c>
      <c r="AP18" s="492">
        <f t="shared" si="25"/>
        <v>37.227005237099831</v>
      </c>
      <c r="AQ18" s="492">
        <f t="shared" si="25"/>
        <v>37.216003255861793</v>
      </c>
      <c r="AR18" s="492">
        <f t="shared" si="25"/>
        <v>37.205001274623754</v>
      </c>
      <c r="AS18" s="492">
        <f t="shared" si="25"/>
        <v>37.193999293385716</v>
      </c>
      <c r="AT18" s="492">
        <f t="shared" si="25"/>
        <v>37.182997312147677</v>
      </c>
      <c r="AU18" s="492">
        <f t="shared" si="25"/>
        <v>37.171995330909638</v>
      </c>
      <c r="AV18" s="492">
        <f t="shared" si="25"/>
        <v>37.1609933496716</v>
      </c>
      <c r="AW18" s="492">
        <f t="shared" si="25"/>
        <v>37.149991368433561</v>
      </c>
      <c r="AX18" s="492">
        <f t="shared" si="25"/>
        <v>37.138989387195522</v>
      </c>
      <c r="AY18" s="492">
        <f t="shared" si="25"/>
        <v>37.127987405957484</v>
      </c>
      <c r="AZ18" s="492">
        <f t="shared" si="25"/>
        <v>37.116985424719445</v>
      </c>
      <c r="BA18" s="492">
        <f t="shared" si="25"/>
        <v>37.105983443481406</v>
      </c>
      <c r="BB18" s="861">
        <f>0.994103189054944*AH18</f>
        <v>37.094981462243304</v>
      </c>
      <c r="BC18" s="492">
        <f t="shared" si="26"/>
        <v>37.118545955449591</v>
      </c>
      <c r="BD18" s="492">
        <f t="shared" si="26"/>
        <v>37.142110448655878</v>
      </c>
      <c r="BE18" s="492">
        <f t="shared" si="26"/>
        <v>37.165674941862164</v>
      </c>
      <c r="BF18" s="492">
        <f t="shared" si="26"/>
        <v>37.189239435068451</v>
      </c>
      <c r="BG18" s="492">
        <f t="shared" si="26"/>
        <v>37.212803928274738</v>
      </c>
      <c r="BH18" s="492">
        <f t="shared" si="26"/>
        <v>37.236368421481025</v>
      </c>
      <c r="BI18" s="492">
        <f t="shared" si="26"/>
        <v>37.259932914687312</v>
      </c>
      <c r="BJ18" s="492">
        <f t="shared" si="26"/>
        <v>37.283497407893599</v>
      </c>
      <c r="BK18" s="492">
        <f t="shared" si="26"/>
        <v>37.307061901099885</v>
      </c>
      <c r="BL18" s="492">
        <f t="shared" si="26"/>
        <v>37.330626394306172</v>
      </c>
      <c r="BM18" s="492">
        <f t="shared" si="26"/>
        <v>37.354190887512459</v>
      </c>
      <c r="BN18" s="492">
        <f t="shared" si="26"/>
        <v>37.377755380718746</v>
      </c>
      <c r="BO18" s="492">
        <f t="shared" si="26"/>
        <v>37.401319873925033</v>
      </c>
      <c r="BP18" s="492">
        <f t="shared" si="26"/>
        <v>37.42488436713132</v>
      </c>
      <c r="BQ18" s="861">
        <f>1.00952871208344*BB18</f>
        <v>37.448448860337564</v>
      </c>
      <c r="BR18" s="492">
        <f t="shared" si="27"/>
        <v>37.472237892815023</v>
      </c>
      <c r="BS18" s="492">
        <f t="shared" si="27"/>
        <v>37.496026925292483</v>
      </c>
      <c r="BT18" s="492">
        <f t="shared" si="27"/>
        <v>37.519815957769943</v>
      </c>
      <c r="BU18" s="492">
        <f t="shared" si="27"/>
        <v>37.543604990247402</v>
      </c>
      <c r="BV18" s="862">
        <f>1.00317623736115*BQ18</f>
        <v>37.567394022724876</v>
      </c>
      <c r="BW18" s="1148">
        <f>+BV18*BW$141/BV$141</f>
        <v>37.550852957486022</v>
      </c>
      <c r="BX18" s="1148">
        <f t="shared" ref="BX18:CZ18" si="30">+BW18*BX$141/BW$141</f>
        <v>37.534319175340556</v>
      </c>
      <c r="BY18" s="1148">
        <f t="shared" si="30"/>
        <v>37.517792673081715</v>
      </c>
      <c r="BZ18" s="1148">
        <f t="shared" si="30"/>
        <v>37.501273447504133</v>
      </c>
      <c r="CA18" s="1148">
        <f t="shared" si="30"/>
        <v>37.484761495403866</v>
      </c>
      <c r="CB18" s="1148">
        <f t="shared" si="30"/>
        <v>37.454736786829947</v>
      </c>
      <c r="CC18" s="1148">
        <f t="shared" si="30"/>
        <v>37.424736127578718</v>
      </c>
      <c r="CD18" s="1148">
        <f t="shared" si="30"/>
        <v>37.394759498387039</v>
      </c>
      <c r="CE18" s="1148">
        <f t="shared" si="30"/>
        <v>37.364806880007208</v>
      </c>
      <c r="CF18" s="1148">
        <f t="shared" si="30"/>
        <v>37.334878253206945</v>
      </c>
      <c r="CG18" s="1148">
        <f t="shared" si="30"/>
        <v>37.293649892574038</v>
      </c>
      <c r="CH18" s="1148">
        <f t="shared" si="30"/>
        <v>37.252467059817484</v>
      </c>
      <c r="CI18" s="1148">
        <f t="shared" si="30"/>
        <v>37.211329704661502</v>
      </c>
      <c r="CJ18" s="1148">
        <f t="shared" si="30"/>
        <v>37.170237776885841</v>
      </c>
      <c r="CK18" s="1148">
        <f t="shared" si="30"/>
        <v>37.129191226325716</v>
      </c>
      <c r="CL18" s="1148">
        <f t="shared" si="30"/>
        <v>37.084440454820722</v>
      </c>
      <c r="CM18" s="1148">
        <f t="shared" si="30"/>
        <v>37.039743620163904</v>
      </c>
      <c r="CN18" s="1148">
        <f t="shared" si="30"/>
        <v>36.995100657346704</v>
      </c>
      <c r="CO18" s="1148">
        <f t="shared" si="30"/>
        <v>36.950511501438903</v>
      </c>
      <c r="CP18" s="1148">
        <f t="shared" si="30"/>
        <v>36.905976087588542</v>
      </c>
      <c r="CQ18" s="1148">
        <f t="shared" si="30"/>
        <v>36.854392449105958</v>
      </c>
      <c r="CR18" s="1148">
        <f t="shared" si="30"/>
        <v>36.802880909292512</v>
      </c>
      <c r="CS18" s="1148">
        <f t="shared" si="30"/>
        <v>36.751441367375584</v>
      </c>
      <c r="CT18" s="1148">
        <f t="shared" si="30"/>
        <v>36.70007372272341</v>
      </c>
      <c r="CU18" s="1148">
        <f t="shared" si="30"/>
        <v>36.648777874844889</v>
      </c>
      <c r="CV18" s="1148">
        <f t="shared" si="30"/>
        <v>36.598703995041703</v>
      </c>
      <c r="CW18" s="1148">
        <f t="shared" si="30"/>
        <v>36.548698532074873</v>
      </c>
      <c r="CX18" s="1148">
        <f t="shared" si="30"/>
        <v>36.498761392465255</v>
      </c>
      <c r="CY18" s="1148">
        <f t="shared" si="30"/>
        <v>36.448892482861424</v>
      </c>
      <c r="CZ18" s="1148">
        <f t="shared" si="30"/>
        <v>36.399091710039507</v>
      </c>
    </row>
    <row r="19" spans="1:104" ht="14" thickTop="1"/>
    <row r="21" spans="1:104" ht="14" thickBot="1"/>
    <row r="22" spans="1:104" ht="14" thickTop="1">
      <c r="A22" s="732" t="s">
        <v>1101</v>
      </c>
      <c r="B22" s="607" t="str">
        <f>"Prices are in $(" &amp; ref_year&amp;")/GJ LHV"</f>
        <v>Prices are in $(2016)/GJ LHV</v>
      </c>
      <c r="C22" s="733"/>
      <c r="D22" s="733"/>
      <c r="E22" s="733"/>
      <c r="F22" s="733"/>
      <c r="G22" s="733"/>
      <c r="H22" s="733"/>
      <c r="I22" s="733"/>
      <c r="J22" s="733"/>
      <c r="K22" s="733"/>
      <c r="L22" s="733"/>
      <c r="M22" s="733"/>
      <c r="N22" s="733"/>
      <c r="O22" s="733"/>
      <c r="P22" s="733"/>
      <c r="Q22" s="733"/>
      <c r="R22" s="733"/>
      <c r="S22" s="733"/>
      <c r="T22" s="733"/>
      <c r="U22" s="733"/>
      <c r="V22" s="733"/>
      <c r="W22" s="733"/>
      <c r="X22" s="733"/>
      <c r="Y22" s="733"/>
      <c r="Z22" s="733"/>
      <c r="AA22" s="733"/>
      <c r="AB22" s="733"/>
      <c r="AC22" s="733"/>
      <c r="AD22" s="733"/>
      <c r="AE22" s="733"/>
      <c r="AF22" s="733"/>
      <c r="AG22" s="733"/>
      <c r="AH22" s="733"/>
      <c r="AI22" s="733"/>
      <c r="AJ22" s="733"/>
      <c r="AK22" s="733"/>
      <c r="AL22" s="733"/>
      <c r="AM22" s="733"/>
      <c r="AN22" s="733"/>
      <c r="AO22" s="733"/>
      <c r="AP22" s="733"/>
      <c r="AQ22" s="733"/>
      <c r="AR22" s="733"/>
      <c r="AS22" s="744" t="s">
        <v>770</v>
      </c>
      <c r="AT22" s="745"/>
      <c r="AU22" s="745"/>
      <c r="AV22" s="745"/>
      <c r="AW22" s="745"/>
      <c r="AX22" s="745"/>
      <c r="AY22" s="745"/>
      <c r="AZ22" s="745"/>
      <c r="BA22" s="745"/>
      <c r="BB22" s="745"/>
      <c r="BC22" s="745"/>
      <c r="BD22" s="745"/>
      <c r="BE22" s="745"/>
      <c r="BF22" s="745"/>
      <c r="BG22" s="745"/>
      <c r="BH22" s="745"/>
      <c r="BI22" s="745"/>
      <c r="BJ22" s="745"/>
      <c r="BK22" s="745"/>
      <c r="BL22" s="745"/>
      <c r="BM22" s="745"/>
      <c r="BN22" s="745"/>
      <c r="BO22" s="745"/>
      <c r="BP22" s="745"/>
      <c r="BQ22" s="745"/>
      <c r="BR22" s="745"/>
      <c r="BS22" s="745"/>
      <c r="BT22" s="745"/>
      <c r="BU22" s="745"/>
      <c r="BV22" s="746"/>
    </row>
    <row r="23" spans="1:104" ht="43" thickBot="1">
      <c r="A23" s="748" t="s">
        <v>1081</v>
      </c>
      <c r="B23" s="749" t="s">
        <v>676</v>
      </c>
      <c r="C23" s="749" t="s">
        <v>677</v>
      </c>
      <c r="D23" s="749" t="s">
        <v>688</v>
      </c>
      <c r="E23" s="749" t="s">
        <v>689</v>
      </c>
      <c r="F23" s="1" t="s">
        <v>678</v>
      </c>
      <c r="G23" s="1" t="s">
        <v>690</v>
      </c>
      <c r="H23" s="850">
        <v>2004</v>
      </c>
      <c r="I23" s="850">
        <v>2005</v>
      </c>
      <c r="J23" s="850">
        <v>2006</v>
      </c>
      <c r="K23" s="850">
        <v>2007</v>
      </c>
      <c r="L23" s="850">
        <v>2008</v>
      </c>
      <c r="M23" s="850">
        <v>2009</v>
      </c>
      <c r="N23" s="1">
        <v>2010</v>
      </c>
      <c r="O23" s="1">
        <v>2011</v>
      </c>
      <c r="P23" s="1">
        <v>2012</v>
      </c>
      <c r="Q23" s="1">
        <v>2013</v>
      </c>
      <c r="R23" s="1">
        <v>2014</v>
      </c>
      <c r="S23" s="1">
        <v>2015</v>
      </c>
      <c r="T23" s="1">
        <v>2016</v>
      </c>
      <c r="U23" s="1">
        <v>2017</v>
      </c>
      <c r="V23" s="1">
        <v>2018</v>
      </c>
      <c r="W23" s="1">
        <v>2019</v>
      </c>
      <c r="X23" s="1">
        <v>2020</v>
      </c>
      <c r="Y23" s="1">
        <v>2021</v>
      </c>
      <c r="Z23" s="1">
        <v>2022</v>
      </c>
      <c r="AA23" s="1">
        <v>2023</v>
      </c>
      <c r="AB23" s="1">
        <v>2024</v>
      </c>
      <c r="AC23" s="1">
        <v>2025</v>
      </c>
      <c r="AD23" s="1">
        <v>2026</v>
      </c>
      <c r="AE23" s="1">
        <v>2027</v>
      </c>
      <c r="AF23" s="1">
        <v>2028</v>
      </c>
      <c r="AG23" s="1">
        <v>2029</v>
      </c>
      <c r="AH23" s="1">
        <v>2030</v>
      </c>
      <c r="AI23" s="1">
        <v>2031</v>
      </c>
      <c r="AJ23" s="1">
        <v>2032</v>
      </c>
      <c r="AK23" s="1">
        <v>2033</v>
      </c>
      <c r="AL23" s="1">
        <v>2034</v>
      </c>
      <c r="AM23" s="1">
        <v>2035</v>
      </c>
      <c r="AN23" s="1">
        <v>2036</v>
      </c>
      <c r="AO23" s="1">
        <v>2037</v>
      </c>
      <c r="AP23" s="1">
        <v>2038</v>
      </c>
      <c r="AQ23" s="1">
        <v>2039</v>
      </c>
      <c r="AR23" s="1">
        <v>2040</v>
      </c>
      <c r="AS23" s="1">
        <v>2041</v>
      </c>
      <c r="AT23" s="1">
        <v>2042</v>
      </c>
      <c r="AU23" s="1">
        <v>2043</v>
      </c>
      <c r="AV23" s="1">
        <v>2044</v>
      </c>
      <c r="AW23" s="1">
        <v>2045</v>
      </c>
      <c r="AX23" s="1">
        <v>2046</v>
      </c>
      <c r="AY23" s="1">
        <v>2047</v>
      </c>
      <c r="AZ23" s="1">
        <v>2048</v>
      </c>
      <c r="BA23" s="1">
        <v>2049</v>
      </c>
      <c r="BB23" s="1">
        <v>2050</v>
      </c>
      <c r="BC23" s="1">
        <v>2051</v>
      </c>
      <c r="BD23" s="1">
        <v>2052</v>
      </c>
      <c r="BE23" s="1">
        <v>2053</v>
      </c>
      <c r="BF23" s="1">
        <v>2054</v>
      </c>
      <c r="BG23" s="1">
        <v>2055</v>
      </c>
      <c r="BH23" s="1">
        <v>2056</v>
      </c>
      <c r="BI23" s="1">
        <v>2057</v>
      </c>
      <c r="BJ23" s="1">
        <v>2058</v>
      </c>
      <c r="BK23" s="1">
        <v>2059</v>
      </c>
      <c r="BL23" s="1">
        <v>2060</v>
      </c>
      <c r="BM23" s="1">
        <v>2061</v>
      </c>
      <c r="BN23" s="1">
        <v>2062</v>
      </c>
      <c r="BO23" s="1">
        <v>2063</v>
      </c>
      <c r="BP23" s="1">
        <v>2064</v>
      </c>
      <c r="BQ23" s="1">
        <v>2065</v>
      </c>
      <c r="BR23" s="1">
        <v>2066</v>
      </c>
      <c r="BS23" s="1">
        <v>2067</v>
      </c>
      <c r="BT23" s="1">
        <v>2068</v>
      </c>
      <c r="BU23" s="1">
        <v>2069</v>
      </c>
      <c r="BV23" s="750">
        <v>2070</v>
      </c>
      <c r="BW23" s="1149">
        <f t="shared" ref="BW23:CZ23" si="31">+BV23+1</f>
        <v>2071</v>
      </c>
      <c r="BX23" s="1149">
        <f t="shared" si="31"/>
        <v>2072</v>
      </c>
      <c r="BY23" s="1149">
        <f t="shared" si="31"/>
        <v>2073</v>
      </c>
      <c r="BZ23" s="1149">
        <f t="shared" si="31"/>
        <v>2074</v>
      </c>
      <c r="CA23" s="1149">
        <f t="shared" si="31"/>
        <v>2075</v>
      </c>
      <c r="CB23" s="1149">
        <f t="shared" si="31"/>
        <v>2076</v>
      </c>
      <c r="CC23" s="1149">
        <f t="shared" si="31"/>
        <v>2077</v>
      </c>
      <c r="CD23" s="1149">
        <f t="shared" si="31"/>
        <v>2078</v>
      </c>
      <c r="CE23" s="1149">
        <f t="shared" si="31"/>
        <v>2079</v>
      </c>
      <c r="CF23" s="1149">
        <f t="shared" si="31"/>
        <v>2080</v>
      </c>
      <c r="CG23" s="1149">
        <f t="shared" si="31"/>
        <v>2081</v>
      </c>
      <c r="CH23" s="1149">
        <f t="shared" si="31"/>
        <v>2082</v>
      </c>
      <c r="CI23" s="1149">
        <f t="shared" si="31"/>
        <v>2083</v>
      </c>
      <c r="CJ23" s="1149">
        <f t="shared" si="31"/>
        <v>2084</v>
      </c>
      <c r="CK23" s="1149">
        <f t="shared" si="31"/>
        <v>2085</v>
      </c>
      <c r="CL23" s="1149">
        <f t="shared" si="31"/>
        <v>2086</v>
      </c>
      <c r="CM23" s="1149">
        <f t="shared" si="31"/>
        <v>2087</v>
      </c>
      <c r="CN23" s="1149">
        <f t="shared" si="31"/>
        <v>2088</v>
      </c>
      <c r="CO23" s="1149">
        <f t="shared" si="31"/>
        <v>2089</v>
      </c>
      <c r="CP23" s="1149">
        <f t="shared" si="31"/>
        <v>2090</v>
      </c>
      <c r="CQ23" s="1149">
        <f t="shared" si="31"/>
        <v>2091</v>
      </c>
      <c r="CR23" s="1149">
        <f t="shared" si="31"/>
        <v>2092</v>
      </c>
      <c r="CS23" s="1149">
        <f t="shared" si="31"/>
        <v>2093</v>
      </c>
      <c r="CT23" s="1149">
        <f t="shared" si="31"/>
        <v>2094</v>
      </c>
      <c r="CU23" s="1149">
        <f t="shared" si="31"/>
        <v>2095</v>
      </c>
      <c r="CV23" s="1149">
        <f t="shared" si="31"/>
        <v>2096</v>
      </c>
      <c r="CW23" s="1149">
        <f t="shared" si="31"/>
        <v>2097</v>
      </c>
      <c r="CX23" s="1149">
        <f t="shared" si="31"/>
        <v>2098</v>
      </c>
      <c r="CY23" s="1149">
        <f t="shared" si="31"/>
        <v>2099</v>
      </c>
      <c r="CZ23" s="1149">
        <f t="shared" si="31"/>
        <v>2100</v>
      </c>
    </row>
    <row r="24" spans="1:104" ht="14" thickBot="1">
      <c r="A24" s="806" t="s">
        <v>1087</v>
      </c>
      <c r="B24" s="807"/>
      <c r="C24" s="807"/>
      <c r="D24" s="807"/>
      <c r="E24" s="807"/>
      <c r="F24" s="735"/>
      <c r="G24" s="807"/>
      <c r="H24" s="807"/>
      <c r="I24" s="807"/>
      <c r="J24" s="807"/>
      <c r="K24" s="807"/>
      <c r="L24" s="807"/>
      <c r="M24" s="807"/>
      <c r="N24" s="807"/>
      <c r="O24" s="807"/>
      <c r="P24" s="807"/>
      <c r="Q24" s="807"/>
      <c r="R24" s="807"/>
      <c r="S24" s="807"/>
      <c r="T24" s="807"/>
      <c r="U24" s="807"/>
      <c r="V24" s="807"/>
      <c r="W24" s="807"/>
      <c r="X24" s="807"/>
      <c r="Y24" s="807"/>
      <c r="Z24" s="807"/>
      <c r="AA24" s="807"/>
      <c r="AB24" s="807"/>
      <c r="AC24" s="807"/>
      <c r="AD24" s="807"/>
      <c r="AE24" s="807"/>
      <c r="AF24" s="807"/>
      <c r="AG24" s="807"/>
      <c r="AH24" s="807"/>
      <c r="AI24" s="807"/>
      <c r="AJ24" s="807"/>
      <c r="AK24" s="807"/>
      <c r="AL24" s="807"/>
      <c r="AM24" s="807"/>
      <c r="AN24" s="807"/>
      <c r="AO24" s="807"/>
      <c r="AP24" s="807"/>
      <c r="AQ24" s="807"/>
      <c r="AR24" s="807"/>
      <c r="AS24" s="807"/>
      <c r="AT24" s="807"/>
      <c r="AU24" s="807"/>
      <c r="AV24" s="807"/>
      <c r="AW24" s="807"/>
      <c r="AX24" s="807"/>
      <c r="AY24" s="807"/>
      <c r="AZ24" s="807"/>
      <c r="BA24" s="807"/>
      <c r="BC24" s="807"/>
      <c r="BD24" s="807"/>
      <c r="BE24" s="807"/>
      <c r="BF24" s="807"/>
      <c r="BG24" s="807"/>
      <c r="BH24" s="807"/>
      <c r="BI24" s="807"/>
      <c r="BJ24" s="807"/>
      <c r="BK24" s="807"/>
      <c r="BL24" s="807"/>
      <c r="BM24" s="807"/>
      <c r="BN24" s="807"/>
      <c r="BO24" s="807"/>
      <c r="BP24" s="807"/>
      <c r="BR24" s="807"/>
      <c r="BS24" s="807"/>
      <c r="BT24" s="807"/>
      <c r="BU24" s="807"/>
    </row>
    <row r="25" spans="1:104">
      <c r="A25" s="821" t="str">
        <f>'HyARC Physical Property Data'!A73</f>
        <v>Residential Natural Gas</v>
      </c>
      <c r="B25" s="807">
        <v>2011</v>
      </c>
      <c r="C25" s="808">
        <f>VLOOKUP(ref_year,DeflatorTable,2,FALSE)/VLOOKUP(B25,DeflatorTable,2,FALSE)</f>
        <v>1.0771767810026385</v>
      </c>
      <c r="D25" s="1014" t="str">
        <f>'HyARC Physical Property Data'!H73</f>
        <v>mmBtu</v>
      </c>
      <c r="E25" s="808" t="s">
        <v>1055</v>
      </c>
      <c r="F25" s="807">
        <f>'HyARC Physical Property Data'!$E$6</f>
        <v>47.141269049911173</v>
      </c>
      <c r="G25" s="807">
        <f>'HyARC Physical Property Data'!$I$6</f>
        <v>52.224661236371581</v>
      </c>
      <c r="H25" s="851">
        <v>14.386141835345208</v>
      </c>
      <c r="I25" s="851">
        <v>14.386141835345208</v>
      </c>
      <c r="J25" s="851">
        <v>14.386141835345208</v>
      </c>
      <c r="K25" s="851">
        <v>13.326716630976858</v>
      </c>
      <c r="L25" s="851">
        <v>13.627764477872551</v>
      </c>
      <c r="M25" s="851">
        <v>11.254339733155913</v>
      </c>
      <c r="N25" s="807">
        <f t="shared" ref="N25:AR25" si="32">((N42/(mmBTU_to_GJ))*($C25))*($G25/$F25)</f>
        <v>12.848820030872972</v>
      </c>
      <c r="O25" s="807">
        <f t="shared" si="32"/>
        <v>12.218751960936617</v>
      </c>
      <c r="P25" s="807">
        <f t="shared" si="32"/>
        <v>11.836476203703018</v>
      </c>
      <c r="Q25" s="807">
        <f t="shared" si="32"/>
        <v>11.8517734777777</v>
      </c>
      <c r="R25" s="807">
        <f t="shared" si="32"/>
        <v>11.597927407987708</v>
      </c>
      <c r="S25" s="807">
        <f t="shared" si="32"/>
        <v>11.487750612568879</v>
      </c>
      <c r="T25" s="807">
        <f t="shared" si="32"/>
        <v>12.060887123888937</v>
      </c>
      <c r="U25" s="807">
        <f t="shared" si="32"/>
        <v>12.431586993598115</v>
      </c>
      <c r="V25" s="807">
        <f t="shared" si="32"/>
        <v>12.891966623565866</v>
      </c>
      <c r="W25" s="807">
        <f t="shared" si="32"/>
        <v>13.149168727974281</v>
      </c>
      <c r="X25" s="807">
        <f t="shared" si="32"/>
        <v>13.320350247045116</v>
      </c>
      <c r="Y25" s="807">
        <f t="shared" si="32"/>
        <v>13.528204956004251</v>
      </c>
      <c r="Z25" s="807">
        <f t="shared" si="32"/>
        <v>13.803266322492309</v>
      </c>
      <c r="AA25" s="807">
        <f t="shared" si="32"/>
        <v>14.062393594046176</v>
      </c>
      <c r="AB25" s="807">
        <f t="shared" si="32"/>
        <v>14.234621399609106</v>
      </c>
      <c r="AC25" s="807">
        <f t="shared" si="32"/>
        <v>14.336189236658935</v>
      </c>
      <c r="AD25" s="807">
        <f t="shared" si="32"/>
        <v>14.525745808772006</v>
      </c>
      <c r="AE25" s="807">
        <f t="shared" si="32"/>
        <v>14.629217321677178</v>
      </c>
      <c r="AF25" s="807">
        <f t="shared" si="32"/>
        <v>14.801367079923402</v>
      </c>
      <c r="AG25" s="807">
        <f t="shared" si="32"/>
        <v>14.969684601807232</v>
      </c>
      <c r="AH25" s="807">
        <f t="shared" si="32"/>
        <v>15.121948129980476</v>
      </c>
      <c r="AI25" s="807">
        <f t="shared" si="32"/>
        <v>15.323390516643737</v>
      </c>
      <c r="AJ25" s="807">
        <f t="shared" si="32"/>
        <v>15.521017633752583</v>
      </c>
      <c r="AK25" s="807">
        <f t="shared" si="32"/>
        <v>15.763176966206016</v>
      </c>
      <c r="AL25" s="807">
        <f t="shared" si="32"/>
        <v>16.117258413059144</v>
      </c>
      <c r="AM25" s="807">
        <f t="shared" si="32"/>
        <v>16.51303296272155</v>
      </c>
      <c r="AN25" s="807">
        <f t="shared" si="32"/>
        <v>16.993618929872834</v>
      </c>
      <c r="AO25" s="807">
        <f t="shared" si="32"/>
        <v>17.437235353556446</v>
      </c>
      <c r="AP25" s="807">
        <f t="shared" si="32"/>
        <v>17.919522525987844</v>
      </c>
      <c r="AQ25" s="807">
        <f t="shared" si="32"/>
        <v>18.161000923881019</v>
      </c>
      <c r="AR25" s="807">
        <f t="shared" si="32"/>
        <v>18.508607836809013</v>
      </c>
      <c r="AS25" s="807">
        <f>($BB25-$AR25)/10+AR25</f>
        <v>18.515839395504365</v>
      </c>
      <c r="AT25" s="807">
        <f t="shared" ref="AT25:BA25" si="33">($BB25-$AR25)/10+AS25</f>
        <v>18.523070954199717</v>
      </c>
      <c r="AU25" s="807">
        <f t="shared" si="33"/>
        <v>18.530302512895069</v>
      </c>
      <c r="AV25" s="807">
        <f t="shared" si="33"/>
        <v>18.537534071590422</v>
      </c>
      <c r="AW25" s="807">
        <f t="shared" si="33"/>
        <v>18.544765630285774</v>
      </c>
      <c r="AX25" s="807">
        <f t="shared" si="33"/>
        <v>18.551997188981126</v>
      </c>
      <c r="AY25" s="807">
        <f t="shared" si="33"/>
        <v>18.559228747676478</v>
      </c>
      <c r="AZ25" s="807">
        <f t="shared" si="33"/>
        <v>18.56646030637183</v>
      </c>
      <c r="BA25" s="807">
        <f t="shared" si="33"/>
        <v>18.573691865067183</v>
      </c>
      <c r="BB25" s="809">
        <f>'AEO Data'!$B$30*AM25</f>
        <v>18.580923423762542</v>
      </c>
      <c r="BC25" s="807">
        <f>($BQ25-$BB25)/15+BB25</f>
        <v>18.732326935626944</v>
      </c>
      <c r="BD25" s="807">
        <f t="shared" ref="BD25:BP25" si="34">($BQ25-$BB25)/15+BC25</f>
        <v>18.883730447491345</v>
      </c>
      <c r="BE25" s="807">
        <f t="shared" si="34"/>
        <v>19.035133959355747</v>
      </c>
      <c r="BF25" s="807">
        <f t="shared" si="34"/>
        <v>19.186537471220149</v>
      </c>
      <c r="BG25" s="807">
        <f t="shared" si="34"/>
        <v>19.33794098308455</v>
      </c>
      <c r="BH25" s="807">
        <f t="shared" si="34"/>
        <v>19.489344494948952</v>
      </c>
      <c r="BI25" s="807">
        <f t="shared" si="34"/>
        <v>19.640748006813354</v>
      </c>
      <c r="BJ25" s="807">
        <f t="shared" si="34"/>
        <v>19.792151518677755</v>
      </c>
      <c r="BK25" s="807">
        <f t="shared" si="34"/>
        <v>19.943555030542157</v>
      </c>
      <c r="BL25" s="807">
        <f t="shared" si="34"/>
        <v>20.094958542406559</v>
      </c>
      <c r="BM25" s="807">
        <f t="shared" si="34"/>
        <v>20.246362054270961</v>
      </c>
      <c r="BN25" s="807">
        <f t="shared" si="34"/>
        <v>20.397765566135362</v>
      </c>
      <c r="BO25" s="807">
        <f t="shared" si="34"/>
        <v>20.549169077999764</v>
      </c>
      <c r="BP25" s="807">
        <f t="shared" si="34"/>
        <v>20.700572589864166</v>
      </c>
      <c r="BQ25" s="809">
        <f>'AEO Data'!$C$30*BB25</f>
        <v>20.851976101728582</v>
      </c>
      <c r="BR25" s="807">
        <f>($BV25-$BQ25)/5+BQ25</f>
        <v>20.971163273815758</v>
      </c>
      <c r="BS25" s="807">
        <f>($BV25-$BQ25)/5+BR25</f>
        <v>21.090350445902935</v>
      </c>
      <c r="BT25" s="807">
        <f>($BV25-$BQ25)/5+BS25</f>
        <v>21.209537617990112</v>
      </c>
      <c r="BU25" s="807">
        <f>($BV25-$BQ25)/5+BT25</f>
        <v>21.328724790077288</v>
      </c>
      <c r="BV25" s="810">
        <f>'AEO Data'!$D$30*BQ25</f>
        <v>21.447911962164458</v>
      </c>
      <c r="BW25" s="1148">
        <f>+BV25*BW$133/BV$133</f>
        <v>21.519125336431191</v>
      </c>
      <c r="BX25" s="1148">
        <f t="shared" ref="BX25:CZ25" si="35">+BW25*BX$133/BW$133</f>
        <v>21.590575160040096</v>
      </c>
      <c r="BY25" s="1148">
        <f t="shared" si="35"/>
        <v>21.66226221807252</v>
      </c>
      <c r="BZ25" s="1148">
        <f t="shared" si="35"/>
        <v>21.734187298216501</v>
      </c>
      <c r="CA25" s="1148">
        <f t="shared" si="35"/>
        <v>21.806351190775437</v>
      </c>
      <c r="CB25" s="1148">
        <f t="shared" si="35"/>
        <v>21.852884379410604</v>
      </c>
      <c r="CC25" s="1148">
        <f t="shared" si="35"/>
        <v>21.899516866531133</v>
      </c>
      <c r="CD25" s="1148">
        <f t="shared" si="35"/>
        <v>21.946248864032874</v>
      </c>
      <c r="CE25" s="1148">
        <f t="shared" si="35"/>
        <v>21.993080584263836</v>
      </c>
      <c r="CF25" s="1148">
        <f t="shared" si="35"/>
        <v>22.040012240025163</v>
      </c>
      <c r="CG25" s="1148">
        <f t="shared" si="35"/>
        <v>22.055250650944551</v>
      </c>
      <c r="CH25" s="1148">
        <f t="shared" si="35"/>
        <v>22.070499597664231</v>
      </c>
      <c r="CI25" s="1148">
        <f t="shared" si="35"/>
        <v>22.085759087468627</v>
      </c>
      <c r="CJ25" s="1148">
        <f t="shared" si="35"/>
        <v>22.101029127647202</v>
      </c>
      <c r="CK25" s="1148">
        <f t="shared" si="35"/>
        <v>22.116309725494457</v>
      </c>
      <c r="CL25" s="1148">
        <f t="shared" si="35"/>
        <v>22.121489169854147</v>
      </c>
      <c r="CM25" s="1148">
        <f t="shared" si="35"/>
        <v>22.126669827193954</v>
      </c>
      <c r="CN25" s="1148">
        <f t="shared" si="35"/>
        <v>22.131851697797941</v>
      </c>
      <c r="CO25" s="1148">
        <f t="shared" si="35"/>
        <v>22.137034781950248</v>
      </c>
      <c r="CP25" s="1148">
        <f t="shared" si="35"/>
        <v>22.142219079935074</v>
      </c>
      <c r="CQ25" s="1148">
        <f t="shared" si="35"/>
        <v>22.15007638128591</v>
      </c>
      <c r="CR25" s="1148">
        <f t="shared" si="35"/>
        <v>22.157936470848</v>
      </c>
      <c r="CS25" s="1148">
        <f t="shared" si="35"/>
        <v>22.165799349610761</v>
      </c>
      <c r="CT25" s="1148">
        <f t="shared" si="35"/>
        <v>22.173665018563963</v>
      </c>
      <c r="CU25" s="1148">
        <f t="shared" si="35"/>
        <v>22.181533478697713</v>
      </c>
      <c r="CV25" s="1148">
        <f t="shared" si="35"/>
        <v>22.193643072156416</v>
      </c>
      <c r="CW25" s="1148">
        <f t="shared" si="35"/>
        <v>22.205759276621244</v>
      </c>
      <c r="CX25" s="1148">
        <f t="shared" si="35"/>
        <v>22.217882095701352</v>
      </c>
      <c r="CY25" s="1148">
        <f t="shared" si="35"/>
        <v>22.230011533007868</v>
      </c>
      <c r="CZ25" s="1148">
        <f t="shared" si="35"/>
        <v>22.242147592153891</v>
      </c>
    </row>
    <row r="26" spans="1:104">
      <c r="A26" s="739" t="str">
        <f>'HyARC Physical Property Data'!A71</f>
        <v>Commercial Natural Gas</v>
      </c>
      <c r="B26">
        <v>2011</v>
      </c>
      <c r="C26" s="738">
        <f>VLOOKUP(ref_year,DeflatorTable,2,FALSE)/VLOOKUP(B26,DeflatorTable,2,FALSE)</f>
        <v>1.0771767810026385</v>
      </c>
      <c r="D26" s="1015" t="str">
        <f>'HyARC Physical Property Data'!H71</f>
        <v>mmBtu</v>
      </c>
      <c r="E26" s="738" t="s">
        <v>1055</v>
      </c>
      <c r="F26">
        <f>'HyARC Physical Property Data'!$E$6</f>
        <v>47.141269049911173</v>
      </c>
      <c r="G26">
        <f>'HyARC Physical Property Data'!$I$6</f>
        <v>52.224661236371581</v>
      </c>
      <c r="H26" s="852">
        <v>12.491836786393147</v>
      </c>
      <c r="I26" s="852">
        <v>12.491836786393147</v>
      </c>
      <c r="J26" s="852">
        <v>12.491836786393147</v>
      </c>
      <c r="K26" s="852">
        <v>11.540201846875071</v>
      </c>
      <c r="L26" s="852">
        <v>11.906633267965836</v>
      </c>
      <c r="M26" s="852">
        <v>9.3536765847618941</v>
      </c>
      <c r="N26">
        <f t="shared" ref="N26:AR26" si="36">((N43/(mmBTU_to_GJ))*($C26))*($G26/$F26)</f>
        <v>10.629111361129928</v>
      </c>
      <c r="O26">
        <f t="shared" si="36"/>
        <v>9.9955549154729031</v>
      </c>
      <c r="P26">
        <f t="shared" si="36"/>
        <v>9.1313053061952658</v>
      </c>
      <c r="Q26">
        <f t="shared" si="36"/>
        <v>9.5723721841997591</v>
      </c>
      <c r="R26">
        <f t="shared" si="36"/>
        <v>9.3150739345461275</v>
      </c>
      <c r="S26">
        <f t="shared" si="36"/>
        <v>9.1670102569081706</v>
      </c>
      <c r="T26">
        <f t="shared" si="36"/>
        <v>9.6835669880973843</v>
      </c>
      <c r="U26">
        <f t="shared" si="36"/>
        <v>9.9819022906517407</v>
      </c>
      <c r="V26">
        <f t="shared" si="36"/>
        <v>10.374954233193641</v>
      </c>
      <c r="W26">
        <f t="shared" si="36"/>
        <v>10.576898837373108</v>
      </c>
      <c r="X26">
        <f t="shared" si="36"/>
        <v>10.709472950445942</v>
      </c>
      <c r="Y26">
        <f t="shared" si="36"/>
        <v>10.871133827998989</v>
      </c>
      <c r="Z26">
        <f t="shared" si="36"/>
        <v>11.106678367581321</v>
      </c>
      <c r="AA26">
        <f t="shared" si="36"/>
        <v>11.324324055865388</v>
      </c>
      <c r="AB26">
        <f t="shared" si="36"/>
        <v>11.461664710860044</v>
      </c>
      <c r="AC26">
        <f t="shared" si="36"/>
        <v>11.530251335438004</v>
      </c>
      <c r="AD26">
        <f t="shared" si="36"/>
        <v>11.690741503240439</v>
      </c>
      <c r="AE26">
        <f t="shared" si="36"/>
        <v>11.750101577638928</v>
      </c>
      <c r="AF26">
        <f t="shared" si="36"/>
        <v>11.876771241534755</v>
      </c>
      <c r="AG26">
        <f t="shared" si="36"/>
        <v>11.995898593723251</v>
      </c>
      <c r="AH26">
        <f t="shared" si="36"/>
        <v>12.099846308372394</v>
      </c>
      <c r="AI26">
        <f t="shared" si="36"/>
        <v>12.252762493092598</v>
      </c>
      <c r="AJ26">
        <f t="shared" si="36"/>
        <v>12.390975242017417</v>
      </c>
      <c r="AK26">
        <f t="shared" si="36"/>
        <v>12.576341012559455</v>
      </c>
      <c r="AL26">
        <f t="shared" si="36"/>
        <v>12.876005381738906</v>
      </c>
      <c r="AM26">
        <f t="shared" si="36"/>
        <v>13.213362080405979</v>
      </c>
      <c r="AN26">
        <f t="shared" si="36"/>
        <v>13.642549930583472</v>
      </c>
      <c r="AO26">
        <f t="shared" si="36"/>
        <v>14.027368446772995</v>
      </c>
      <c r="AP26">
        <f t="shared" si="36"/>
        <v>14.457440833206514</v>
      </c>
      <c r="AQ26">
        <f t="shared" si="36"/>
        <v>14.646759870007866</v>
      </c>
      <c r="AR26">
        <f t="shared" si="36"/>
        <v>14.945407361829057</v>
      </c>
      <c r="AS26">
        <f t="shared" ref="AS26:BA26" si="37">($BB26-$AR26)/10+AR26</f>
        <v>14.937670833817531</v>
      </c>
      <c r="AT26">
        <f t="shared" si="37"/>
        <v>14.929934305806006</v>
      </c>
      <c r="AU26">
        <f t="shared" si="37"/>
        <v>14.92219777779448</v>
      </c>
      <c r="AV26">
        <f t="shared" si="37"/>
        <v>14.914461249782955</v>
      </c>
      <c r="AW26">
        <f t="shared" si="37"/>
        <v>14.906724721771429</v>
      </c>
      <c r="AX26">
        <f t="shared" si="37"/>
        <v>14.898988193759903</v>
      </c>
      <c r="AY26">
        <f t="shared" si="37"/>
        <v>14.891251665748378</v>
      </c>
      <c r="AZ26">
        <f t="shared" si="37"/>
        <v>14.883515137736852</v>
      </c>
      <c r="BA26">
        <f t="shared" si="37"/>
        <v>14.875778609725327</v>
      </c>
      <c r="BB26" s="790">
        <f>'AEO Data'!$B$30*AM26</f>
        <v>14.868042081713805</v>
      </c>
      <c r="BC26">
        <f t="shared" ref="BC26:BP28" si="38">($BQ26-$BB26)/15+BB26</f>
        <v>14.989191807934644</v>
      </c>
      <c r="BD26">
        <f t="shared" si="38"/>
        <v>15.110341534155483</v>
      </c>
      <c r="BE26">
        <f t="shared" si="38"/>
        <v>15.231491260376322</v>
      </c>
      <c r="BF26">
        <f t="shared" si="38"/>
        <v>15.35264098659716</v>
      </c>
      <c r="BG26">
        <f t="shared" si="38"/>
        <v>15.473790712817999</v>
      </c>
      <c r="BH26">
        <f t="shared" si="38"/>
        <v>15.594940439038838</v>
      </c>
      <c r="BI26">
        <f t="shared" si="38"/>
        <v>15.716090165259677</v>
      </c>
      <c r="BJ26">
        <f t="shared" si="38"/>
        <v>15.837239891480516</v>
      </c>
      <c r="BK26">
        <f t="shared" si="38"/>
        <v>15.958389617701355</v>
      </c>
      <c r="BL26">
        <f t="shared" si="38"/>
        <v>16.079539343922193</v>
      </c>
      <c r="BM26">
        <f t="shared" si="38"/>
        <v>16.200689070143032</v>
      </c>
      <c r="BN26">
        <f t="shared" si="38"/>
        <v>16.32183879636387</v>
      </c>
      <c r="BO26">
        <f t="shared" si="38"/>
        <v>16.442988522584709</v>
      </c>
      <c r="BP26">
        <f t="shared" si="38"/>
        <v>16.564138248805548</v>
      </c>
      <c r="BQ26" s="790">
        <f>'AEO Data'!$C$30*BB26</f>
        <v>16.68528797502638</v>
      </c>
      <c r="BR26">
        <f t="shared" ref="BR26:BU28" si="39">($BV26-$BQ26)/5+BQ26</f>
        <v>16.780658901959232</v>
      </c>
      <c r="BS26">
        <f t="shared" si="39"/>
        <v>16.876029828892083</v>
      </c>
      <c r="BT26">
        <f t="shared" si="39"/>
        <v>16.971400755824934</v>
      </c>
      <c r="BU26">
        <f t="shared" si="39"/>
        <v>17.066771682757786</v>
      </c>
      <c r="BV26" s="811">
        <f>'AEO Data'!$D$30*BQ26</f>
        <v>17.162142609690644</v>
      </c>
      <c r="BW26" s="1148">
        <f>+BV26*BW$134/BV$134</f>
        <v>17.219125969517879</v>
      </c>
      <c r="BX26" s="1148">
        <f t="shared" ref="BX26:CZ26" si="40">+BW26*BX$134/BW$134</f>
        <v>17.276298530855151</v>
      </c>
      <c r="BY26" s="1148">
        <f t="shared" si="40"/>
        <v>17.333660921907107</v>
      </c>
      <c r="BZ26" s="1148">
        <f t="shared" si="40"/>
        <v>17.391213772964214</v>
      </c>
      <c r="CA26" s="1148">
        <f t="shared" si="40"/>
        <v>17.448957716409694</v>
      </c>
      <c r="CB26" s="1148">
        <f t="shared" si="40"/>
        <v>17.486192540053562</v>
      </c>
      <c r="CC26" s="1148">
        <f t="shared" si="40"/>
        <v>17.523506820139147</v>
      </c>
      <c r="CD26" s="1148">
        <f t="shared" si="40"/>
        <v>17.56090072622079</v>
      </c>
      <c r="CE26" s="1148">
        <f t="shared" si="40"/>
        <v>17.598374428214658</v>
      </c>
      <c r="CF26" s="1148">
        <f t="shared" si="40"/>
        <v>17.635928096399496</v>
      </c>
      <c r="CG26" s="1148">
        <f t="shared" si="40"/>
        <v>17.648121534241135</v>
      </c>
      <c r="CH26" s="1148">
        <f t="shared" si="40"/>
        <v>17.660323402596077</v>
      </c>
      <c r="CI26" s="1148">
        <f t="shared" si="40"/>
        <v>17.672533707293155</v>
      </c>
      <c r="CJ26" s="1148">
        <f t="shared" si="40"/>
        <v>17.684752454165238</v>
      </c>
      <c r="CK26" s="1148">
        <f t="shared" si="40"/>
        <v>17.696979649049226</v>
      </c>
      <c r="CL26" s="1148">
        <f t="shared" si="40"/>
        <v>17.701124125345881</v>
      </c>
      <c r="CM26" s="1148">
        <f t="shared" si="40"/>
        <v>17.705269572242276</v>
      </c>
      <c r="CN26" s="1148">
        <f t="shared" si="40"/>
        <v>17.709415989965713</v>
      </c>
      <c r="CO26" s="1148">
        <f t="shared" si="40"/>
        <v>17.713563378743547</v>
      </c>
      <c r="CP26" s="1148">
        <f t="shared" si="40"/>
        <v>17.717711738803196</v>
      </c>
      <c r="CQ26" s="1148">
        <f t="shared" si="40"/>
        <v>17.723998976765952</v>
      </c>
      <c r="CR26" s="1148">
        <f t="shared" si="40"/>
        <v>17.730288445793402</v>
      </c>
      <c r="CS26" s="1148">
        <f t="shared" si="40"/>
        <v>17.736580146677259</v>
      </c>
      <c r="CT26" s="1148">
        <f t="shared" si="40"/>
        <v>17.742874080209511</v>
      </c>
      <c r="CU26" s="1148">
        <f t="shared" si="40"/>
        <v>17.749170247182427</v>
      </c>
      <c r="CV26" s="1148">
        <f t="shared" si="40"/>
        <v>17.758860074809945</v>
      </c>
      <c r="CW26" s="1148">
        <f t="shared" si="40"/>
        <v>17.768555192417683</v>
      </c>
      <c r="CX26" s="1148">
        <f t="shared" si="40"/>
        <v>17.778255602893598</v>
      </c>
      <c r="CY26" s="1148">
        <f t="shared" si="40"/>
        <v>17.78796130912724</v>
      </c>
      <c r="CZ26" s="1148">
        <f t="shared" si="40"/>
        <v>17.797672314009723</v>
      </c>
    </row>
    <row r="27" spans="1:104">
      <c r="A27" s="739" t="str">
        <f>'HyARC Physical Property Data'!A72</f>
        <v>Industrial Natural Gas</v>
      </c>
      <c r="B27">
        <v>2011</v>
      </c>
      <c r="C27" s="738">
        <f t="shared" ref="C27:C35" si="41">VLOOKUP(ref_year,DeflatorTable,2,FALSE)/VLOOKUP(B27,DeflatorTable,2,FALSE)</f>
        <v>1.0771767810026385</v>
      </c>
      <c r="D27" s="1015" t="str">
        <f>'HyARC Physical Property Data'!H72</f>
        <v>mmBtu</v>
      </c>
      <c r="E27" s="738" t="s">
        <v>1055</v>
      </c>
      <c r="F27">
        <f>'HyARC Physical Property Data'!$E$6</f>
        <v>47.141269049911173</v>
      </c>
      <c r="G27">
        <f>'HyARC Physical Property Data'!$I$6</f>
        <v>52.224661236371581</v>
      </c>
      <c r="H27" s="852">
        <v>8.3524006010892204</v>
      </c>
      <c r="I27" s="852">
        <v>8.3524006010892204</v>
      </c>
      <c r="J27" s="852">
        <v>8.3524006010892204</v>
      </c>
      <c r="K27" s="852">
        <v>7.891606632326889</v>
      </c>
      <c r="L27" s="852">
        <v>9.2420298006250725</v>
      </c>
      <c r="M27" s="852">
        <v>5.091378564817072</v>
      </c>
      <c r="N27">
        <f t="shared" ref="N27:AR27" si="42">((N44/(mmBTU_to_GJ))*($C27))*($G27/$F27)</f>
        <v>6.2030197526312536</v>
      </c>
      <c r="O27">
        <f t="shared" si="42"/>
        <v>5.530967881908893</v>
      </c>
      <c r="P27">
        <f t="shared" si="42"/>
        <v>4.2526580284486375</v>
      </c>
      <c r="Q27">
        <f t="shared" si="42"/>
        <v>4.9022628122135865</v>
      </c>
      <c r="R27">
        <f t="shared" si="42"/>
        <v>4.9487111457393711</v>
      </c>
      <c r="S27">
        <f t="shared" si="42"/>
        <v>5.0024201419600187</v>
      </c>
      <c r="T27">
        <f t="shared" si="42"/>
        <v>5.5040732290196832</v>
      </c>
      <c r="U27">
        <f t="shared" si="42"/>
        <v>5.7324521200318364</v>
      </c>
      <c r="V27">
        <f t="shared" si="42"/>
        <v>6.0189830487143103</v>
      </c>
      <c r="W27">
        <f t="shared" si="42"/>
        <v>6.1643784130172916</v>
      </c>
      <c r="X27">
        <f t="shared" si="42"/>
        <v>6.2544314430514243</v>
      </c>
      <c r="Y27">
        <f t="shared" si="42"/>
        <v>6.3802934868874104</v>
      </c>
      <c r="Z27">
        <f t="shared" si="42"/>
        <v>6.5919159583386113</v>
      </c>
      <c r="AA27">
        <f t="shared" si="42"/>
        <v>6.7988318372561878</v>
      </c>
      <c r="AB27">
        <f t="shared" si="42"/>
        <v>6.9111566305652739</v>
      </c>
      <c r="AC27">
        <f t="shared" si="42"/>
        <v>6.9577474852780874</v>
      </c>
      <c r="AD27">
        <f t="shared" si="42"/>
        <v>7.0760185792238648</v>
      </c>
      <c r="AE27">
        <f t="shared" si="42"/>
        <v>7.1203087347746017</v>
      </c>
      <c r="AF27">
        <f t="shared" si="42"/>
        <v>7.2355314588866548</v>
      </c>
      <c r="AG27">
        <f t="shared" si="42"/>
        <v>7.3367328128841169</v>
      </c>
      <c r="AH27">
        <f t="shared" si="42"/>
        <v>7.4218281416265226</v>
      </c>
      <c r="AI27">
        <f t="shared" si="42"/>
        <v>7.552074408644514</v>
      </c>
      <c r="AJ27">
        <f t="shared" si="42"/>
        <v>7.6589686922794975</v>
      </c>
      <c r="AK27">
        <f t="shared" si="42"/>
        <v>7.8228205503030184</v>
      </c>
      <c r="AL27">
        <f t="shared" si="42"/>
        <v>8.1087248382107671</v>
      </c>
      <c r="AM27">
        <f t="shared" si="42"/>
        <v>8.4216617757126304</v>
      </c>
      <c r="AN27">
        <f t="shared" si="42"/>
        <v>8.8376765961745321</v>
      </c>
      <c r="AO27">
        <f t="shared" si="42"/>
        <v>9.2227722368943912</v>
      </c>
      <c r="AP27">
        <f t="shared" si="42"/>
        <v>9.6133017806499446</v>
      </c>
      <c r="AQ27">
        <f t="shared" si="42"/>
        <v>9.7721812328148197</v>
      </c>
      <c r="AR27">
        <f t="shared" si="42"/>
        <v>10.045586638844041</v>
      </c>
      <c r="AS27">
        <f t="shared" ref="AS27:BA27" si="43">($BB27-$AR27)/10+AR27</f>
        <v>9.9886567534439159</v>
      </c>
      <c r="AT27">
        <f t="shared" si="43"/>
        <v>9.9317268680437891</v>
      </c>
      <c r="AU27">
        <f t="shared" si="43"/>
        <v>9.8747969826436623</v>
      </c>
      <c r="AV27">
        <f t="shared" si="43"/>
        <v>9.8178670972435356</v>
      </c>
      <c r="AW27">
        <f t="shared" si="43"/>
        <v>9.7609372118434088</v>
      </c>
      <c r="AX27">
        <f t="shared" si="43"/>
        <v>9.704007326443282</v>
      </c>
      <c r="AY27">
        <f t="shared" si="43"/>
        <v>9.6470774410431552</v>
      </c>
      <c r="AZ27">
        <f t="shared" si="43"/>
        <v>9.5901475556430285</v>
      </c>
      <c r="BA27">
        <f t="shared" si="43"/>
        <v>9.5332176702429017</v>
      </c>
      <c r="BB27" s="790">
        <f>'AEO Data'!$B$30*AM27</f>
        <v>9.476287784842782</v>
      </c>
      <c r="BC27">
        <f t="shared" si="38"/>
        <v>9.5535037131011205</v>
      </c>
      <c r="BD27">
        <f t="shared" si="38"/>
        <v>9.6307196413594589</v>
      </c>
      <c r="BE27">
        <f t="shared" si="38"/>
        <v>9.7079355696177974</v>
      </c>
      <c r="BF27">
        <f t="shared" si="38"/>
        <v>9.7851514978761358</v>
      </c>
      <c r="BG27">
        <f t="shared" si="38"/>
        <v>9.8623674261344743</v>
      </c>
      <c r="BH27">
        <f t="shared" si="38"/>
        <v>9.9395833543928127</v>
      </c>
      <c r="BI27">
        <f t="shared" si="38"/>
        <v>10.016799282651151</v>
      </c>
      <c r="BJ27">
        <f t="shared" si="38"/>
        <v>10.09401521090949</v>
      </c>
      <c r="BK27">
        <f t="shared" si="38"/>
        <v>10.171231139167828</v>
      </c>
      <c r="BL27">
        <f t="shared" si="38"/>
        <v>10.248447067426167</v>
      </c>
      <c r="BM27">
        <f t="shared" si="38"/>
        <v>10.325662995684505</v>
      </c>
      <c r="BN27">
        <f t="shared" si="38"/>
        <v>10.402878923942843</v>
      </c>
      <c r="BO27">
        <f t="shared" si="38"/>
        <v>10.480094852201182</v>
      </c>
      <c r="BP27">
        <f t="shared" si="38"/>
        <v>10.55731078045952</v>
      </c>
      <c r="BQ27" s="790">
        <f>'AEO Data'!$C$30*BB27</f>
        <v>10.634526708717866</v>
      </c>
      <c r="BR27">
        <f t="shared" si="39"/>
        <v>10.695312274494174</v>
      </c>
      <c r="BS27">
        <f t="shared" si="39"/>
        <v>10.756097840270483</v>
      </c>
      <c r="BT27">
        <f t="shared" si="39"/>
        <v>10.816883406046792</v>
      </c>
      <c r="BU27">
        <f t="shared" si="39"/>
        <v>10.8776689718231</v>
      </c>
      <c r="BV27" s="811">
        <f>'AEO Data'!$D$30*BQ27</f>
        <v>10.938454537599405</v>
      </c>
      <c r="BW27" s="1148">
        <f>+BV27*BW$135/BV$135</f>
        <v>10.974773423011646</v>
      </c>
      <c r="BX27" s="1148">
        <f t="shared" ref="BX27:CZ27" si="44">+BW27*BX$135/BW$135</f>
        <v>11.011212897802675</v>
      </c>
      <c r="BY27" s="1148">
        <f t="shared" si="44"/>
        <v>11.047773362364691</v>
      </c>
      <c r="BZ27" s="1148">
        <f t="shared" si="44"/>
        <v>11.084455218419302</v>
      </c>
      <c r="CA27" s="1148">
        <f t="shared" si="44"/>
        <v>11.121258869021963</v>
      </c>
      <c r="CB27" s="1148">
        <f t="shared" si="44"/>
        <v>11.144990837396005</v>
      </c>
      <c r="CC27" s="1148">
        <f t="shared" si="44"/>
        <v>11.168773448087572</v>
      </c>
      <c r="CD27" s="1148">
        <f t="shared" si="44"/>
        <v>11.192606809163733</v>
      </c>
      <c r="CE27" s="1148">
        <f t="shared" si="44"/>
        <v>11.216491028922169</v>
      </c>
      <c r="CF27" s="1148">
        <f t="shared" si="44"/>
        <v>11.240426215891658</v>
      </c>
      <c r="CG27" s="1148">
        <f t="shared" si="44"/>
        <v>11.24819781927016</v>
      </c>
      <c r="CH27" s="1148">
        <f t="shared" si="44"/>
        <v>11.255974795916359</v>
      </c>
      <c r="CI27" s="1148">
        <f t="shared" si="44"/>
        <v>11.263757149545318</v>
      </c>
      <c r="CJ27" s="1148">
        <f t="shared" si="44"/>
        <v>11.27154488387467</v>
      </c>
      <c r="CK27" s="1148">
        <f t="shared" si="44"/>
        <v>11.279338002624618</v>
      </c>
      <c r="CL27" s="1148">
        <f t="shared" si="44"/>
        <v>11.281979523941867</v>
      </c>
      <c r="CM27" s="1148">
        <f t="shared" si="44"/>
        <v>11.284621663880072</v>
      </c>
      <c r="CN27" s="1148">
        <f t="shared" si="44"/>
        <v>11.28726442258411</v>
      </c>
      <c r="CO27" s="1148">
        <f t="shared" si="44"/>
        <v>11.28990780019889</v>
      </c>
      <c r="CP27" s="1148">
        <f t="shared" si="44"/>
        <v>11.292551796869356</v>
      </c>
      <c r="CQ27" s="1148">
        <f t="shared" si="44"/>
        <v>11.296559027678859</v>
      </c>
      <c r="CR27" s="1148">
        <f t="shared" si="44"/>
        <v>11.300567680478631</v>
      </c>
      <c r="CS27" s="1148">
        <f t="shared" si="44"/>
        <v>11.304577755773273</v>
      </c>
      <c r="CT27" s="1148">
        <f t="shared" si="44"/>
        <v>11.308589254067567</v>
      </c>
      <c r="CU27" s="1148">
        <f t="shared" si="44"/>
        <v>11.312602175866472</v>
      </c>
      <c r="CV27" s="1148">
        <f t="shared" si="44"/>
        <v>11.318778079504572</v>
      </c>
      <c r="CW27" s="1148">
        <f t="shared" si="44"/>
        <v>11.324957354761789</v>
      </c>
      <c r="CX27" s="1148">
        <f t="shared" si="44"/>
        <v>11.331140003478794</v>
      </c>
      <c r="CY27" s="1148">
        <f t="shared" si="44"/>
        <v>11.337326027497264</v>
      </c>
      <c r="CZ27" s="1148">
        <f t="shared" si="44"/>
        <v>11.343515428659883</v>
      </c>
    </row>
    <row r="28" spans="1:104">
      <c r="A28" s="739" t="str">
        <f>'HyARC Physical Property Data'!A74</f>
        <v>Electric Utility Natural Gas</v>
      </c>
      <c r="B28">
        <v>2011</v>
      </c>
      <c r="C28" s="738">
        <f t="shared" si="41"/>
        <v>1.0771767810026385</v>
      </c>
      <c r="D28" s="1028" t="str">
        <f>'HyARC Physical Property Data'!H74</f>
        <v>mmBtu</v>
      </c>
      <c r="E28" s="738" t="s">
        <v>1055</v>
      </c>
      <c r="F28">
        <f>'HyARC Physical Property Data'!$E$6</f>
        <v>47.141269049911173</v>
      </c>
      <c r="G28">
        <f>'HyARC Physical Property Data'!$I$6</f>
        <v>52.224661236371581</v>
      </c>
      <c r="H28" s="852">
        <v>7.4079259090132386</v>
      </c>
      <c r="I28" s="852">
        <v>7.4079259090132386</v>
      </c>
      <c r="J28" s="852">
        <v>7.4079259090132386</v>
      </c>
      <c r="K28" s="852">
        <v>7.3706710915002853</v>
      </c>
      <c r="L28" s="852">
        <v>9.3158925097981644</v>
      </c>
      <c r="M28" s="852">
        <v>4.7837623175056114</v>
      </c>
      <c r="N28">
        <f t="shared" ref="N28:AR28" si="45">((N45/(mmBTU_to_GJ))*($C28))*($G28/$F28)</f>
        <v>5.9476183921097752</v>
      </c>
      <c r="O28">
        <f t="shared" si="45"/>
        <v>5.4007770397969708</v>
      </c>
      <c r="P28">
        <f t="shared" si="45"/>
        <v>3.7573064138727101</v>
      </c>
      <c r="Q28">
        <f t="shared" si="45"/>
        <v>4.2027122702379316</v>
      </c>
      <c r="R28">
        <f t="shared" si="45"/>
        <v>4.2509986746282031</v>
      </c>
      <c r="S28">
        <f t="shared" si="45"/>
        <v>4.3458453934769246</v>
      </c>
      <c r="T28">
        <f t="shared" si="45"/>
        <v>4.8441571504850804</v>
      </c>
      <c r="U28">
        <f t="shared" si="45"/>
        <v>5.0319853704252662</v>
      </c>
      <c r="V28">
        <f t="shared" si="45"/>
        <v>5.3192198560786403</v>
      </c>
      <c r="W28">
        <f t="shared" si="45"/>
        <v>5.4545256252362373</v>
      </c>
      <c r="X28">
        <f t="shared" si="45"/>
        <v>5.5388246451241194</v>
      </c>
      <c r="Y28">
        <f t="shared" si="45"/>
        <v>5.6639944431945244</v>
      </c>
      <c r="Z28">
        <f t="shared" si="45"/>
        <v>5.884484899616556</v>
      </c>
      <c r="AA28">
        <f t="shared" si="45"/>
        <v>6.0953551759139817</v>
      </c>
      <c r="AB28">
        <f t="shared" si="45"/>
        <v>6.2414495727057346</v>
      </c>
      <c r="AC28">
        <f t="shared" si="45"/>
        <v>6.309346213759178</v>
      </c>
      <c r="AD28">
        <f t="shared" si="45"/>
        <v>6.4573499420089364</v>
      </c>
      <c r="AE28">
        <f t="shared" si="45"/>
        <v>6.5161274893334484</v>
      </c>
      <c r="AF28">
        <f t="shared" si="45"/>
        <v>6.6361077064030667</v>
      </c>
      <c r="AG28">
        <f t="shared" si="45"/>
        <v>6.7471554646315317</v>
      </c>
      <c r="AH28">
        <f t="shared" si="45"/>
        <v>6.8465029120770557</v>
      </c>
      <c r="AI28">
        <f t="shared" si="45"/>
        <v>6.9944896735188342</v>
      </c>
      <c r="AJ28">
        <f t="shared" si="45"/>
        <v>7.1183428472899974</v>
      </c>
      <c r="AK28">
        <f t="shared" si="45"/>
        <v>7.2910592969227492</v>
      </c>
      <c r="AL28">
        <f t="shared" si="45"/>
        <v>7.5766389532378176</v>
      </c>
      <c r="AM28">
        <f t="shared" si="45"/>
        <v>7.8957257930721285</v>
      </c>
      <c r="AN28">
        <f t="shared" si="45"/>
        <v>8.3082759913445337</v>
      </c>
      <c r="AO28">
        <f t="shared" si="45"/>
        <v>8.6812923959032329</v>
      </c>
      <c r="AP28">
        <f t="shared" si="45"/>
        <v>9.0738262852414806</v>
      </c>
      <c r="AQ28">
        <f t="shared" si="45"/>
        <v>9.2242743649608752</v>
      </c>
      <c r="AR28">
        <f t="shared" si="45"/>
        <v>9.4762823638863765</v>
      </c>
      <c r="AS28">
        <f t="shared" ref="AS28:BA28" si="46">($BB28-$AR28)/10+AR28</f>
        <v>9.4171031281586099</v>
      </c>
      <c r="AT28">
        <f t="shared" si="46"/>
        <v>9.3579238924308434</v>
      </c>
      <c r="AU28">
        <f t="shared" si="46"/>
        <v>9.2987446567030769</v>
      </c>
      <c r="AV28">
        <f t="shared" si="46"/>
        <v>9.2395654209753104</v>
      </c>
      <c r="AW28">
        <f t="shared" si="46"/>
        <v>9.1803861852475439</v>
      </c>
      <c r="AX28">
        <f t="shared" si="46"/>
        <v>9.1212069495197774</v>
      </c>
      <c r="AY28">
        <f t="shared" si="46"/>
        <v>9.0620277137920109</v>
      </c>
      <c r="AZ28">
        <f t="shared" si="46"/>
        <v>9.0028484780642444</v>
      </c>
      <c r="BA28">
        <f t="shared" si="46"/>
        <v>8.9436692423364779</v>
      </c>
      <c r="BB28" s="790">
        <f>'AEO Data'!$B$30*AM28</f>
        <v>8.8844900066087185</v>
      </c>
      <c r="BC28">
        <f t="shared" si="38"/>
        <v>8.9568837707638682</v>
      </c>
      <c r="BD28">
        <f t="shared" si="38"/>
        <v>9.029277534919018</v>
      </c>
      <c r="BE28">
        <f t="shared" si="38"/>
        <v>9.1016712990741677</v>
      </c>
      <c r="BF28">
        <f t="shared" si="38"/>
        <v>9.1740650632293175</v>
      </c>
      <c r="BG28">
        <f t="shared" si="38"/>
        <v>9.2464588273844672</v>
      </c>
      <c r="BH28">
        <f t="shared" si="38"/>
        <v>9.318852591539617</v>
      </c>
      <c r="BI28">
        <f t="shared" si="38"/>
        <v>9.3912463556947667</v>
      </c>
      <c r="BJ28">
        <f t="shared" si="38"/>
        <v>9.4636401198499165</v>
      </c>
      <c r="BK28">
        <f t="shared" si="38"/>
        <v>9.5360338840050662</v>
      </c>
      <c r="BL28">
        <f t="shared" si="38"/>
        <v>9.608427648160216</v>
      </c>
      <c r="BM28">
        <f t="shared" si="38"/>
        <v>9.6808214123153657</v>
      </c>
      <c r="BN28">
        <f t="shared" si="38"/>
        <v>9.7532151764705155</v>
      </c>
      <c r="BO28">
        <f t="shared" si="38"/>
        <v>9.8256089406256653</v>
      </c>
      <c r="BP28">
        <f t="shared" si="38"/>
        <v>9.898002704780815</v>
      </c>
      <c r="BQ28" s="790">
        <f>'AEO Data'!$C$30*BB28</f>
        <v>9.9703964689359541</v>
      </c>
      <c r="BR28">
        <f t="shared" si="39"/>
        <v>10.027385952998422</v>
      </c>
      <c r="BS28">
        <f t="shared" si="39"/>
        <v>10.08437543706089</v>
      </c>
      <c r="BT28">
        <f t="shared" si="39"/>
        <v>10.141364921123358</v>
      </c>
      <c r="BU28">
        <f t="shared" si="39"/>
        <v>10.198354405185826</v>
      </c>
      <c r="BV28" s="811">
        <f>'AEO Data'!$D$30*BQ28</f>
        <v>10.255343889248296</v>
      </c>
      <c r="BW28" s="1148">
        <f>+BV28*BW$136/BV$136</f>
        <v>10.289394646445894</v>
      </c>
      <c r="BX28" s="1148">
        <f t="shared" ref="BX28:CZ28" si="47">+BW28*BX$136/BW$136</f>
        <v>10.323558462169682</v>
      </c>
      <c r="BY28" s="1148">
        <f t="shared" si="47"/>
        <v>10.357835711807217</v>
      </c>
      <c r="BZ28" s="1148">
        <f t="shared" si="47"/>
        <v>10.392226771992446</v>
      </c>
      <c r="CA28" s="1148">
        <f t="shared" si="47"/>
        <v>10.426732020609851</v>
      </c>
      <c r="CB28" s="1148">
        <f t="shared" si="47"/>
        <v>10.448981918528062</v>
      </c>
      <c r="CC28" s="1148">
        <f t="shared" si="47"/>
        <v>10.471279296131797</v>
      </c>
      <c r="CD28" s="1148">
        <f t="shared" si="47"/>
        <v>10.493624254739295</v>
      </c>
      <c r="CE28" s="1148">
        <f t="shared" si="47"/>
        <v>10.516016895885006</v>
      </c>
      <c r="CF28" s="1148">
        <f t="shared" si="47"/>
        <v>10.538457321320044</v>
      </c>
      <c r="CG28" s="1148">
        <f t="shared" si="47"/>
        <v>10.545743585110182</v>
      </c>
      <c r="CH28" s="1148">
        <f t="shared" si="47"/>
        <v>10.553034886605404</v>
      </c>
      <c r="CI28" s="1148">
        <f t="shared" si="47"/>
        <v>10.560331229288767</v>
      </c>
      <c r="CJ28" s="1148">
        <f t="shared" si="47"/>
        <v>10.567632616645735</v>
      </c>
      <c r="CK28" s="1148">
        <f t="shared" si="47"/>
        <v>10.574939052164185</v>
      </c>
      <c r="CL28" s="1148">
        <f t="shared" si="47"/>
        <v>10.577415609469975</v>
      </c>
      <c r="CM28" s="1148">
        <f t="shared" si="47"/>
        <v>10.579892746763608</v>
      </c>
      <c r="CN28" s="1148">
        <f t="shared" si="47"/>
        <v>10.582370464180912</v>
      </c>
      <c r="CO28" s="1148">
        <f t="shared" si="47"/>
        <v>10.584848761857746</v>
      </c>
      <c r="CP28" s="1148">
        <f t="shared" si="47"/>
        <v>10.587327639930004</v>
      </c>
      <c r="CQ28" s="1148">
        <f t="shared" si="47"/>
        <v>10.591084617650559</v>
      </c>
      <c r="CR28" s="1148">
        <f t="shared" si="47"/>
        <v>10.594842928557549</v>
      </c>
      <c r="CS28" s="1148">
        <f t="shared" si="47"/>
        <v>10.598602573124062</v>
      </c>
      <c r="CT28" s="1148">
        <f t="shared" si="47"/>
        <v>10.602363551823357</v>
      </c>
      <c r="CU28" s="1148">
        <f t="shared" si="47"/>
        <v>10.60612586512886</v>
      </c>
      <c r="CV28" s="1148">
        <f t="shared" si="47"/>
        <v>10.611916081234606</v>
      </c>
      <c r="CW28" s="1148">
        <f t="shared" si="47"/>
        <v>10.617709458400572</v>
      </c>
      <c r="CX28" s="1148">
        <f t="shared" si="47"/>
        <v>10.62350599835248</v>
      </c>
      <c r="CY28" s="1148">
        <f t="shared" si="47"/>
        <v>10.629305702816991</v>
      </c>
      <c r="CZ28" s="1148">
        <f t="shared" si="47"/>
        <v>10.635108573521714</v>
      </c>
    </row>
    <row r="29" spans="1:104">
      <c r="A29" s="739" t="str">
        <f>'HyARC Physical Property Data'!A75</f>
        <v>Bio Methane</v>
      </c>
      <c r="B29">
        <v>2007</v>
      </c>
      <c r="C29" s="738">
        <f t="shared" si="41"/>
        <v>1.1413971588333081</v>
      </c>
      <c r="D29" s="1028" t="str">
        <f>'HyARC Physical Property Data'!H75</f>
        <v>mmBtu</v>
      </c>
      <c r="E29" s="738" t="s">
        <v>1055</v>
      </c>
      <c r="F29">
        <f>'HyARC Physical Property Data'!$E$6</f>
        <v>47.141269049911173</v>
      </c>
      <c r="G29">
        <f>'HyARC Physical Property Data'!$I$6</f>
        <v>52.224661236371581</v>
      </c>
      <c r="H29" s="852">
        <v>12.42654028436019</v>
      </c>
      <c r="I29" s="852">
        <v>12.42654028436019</v>
      </c>
      <c r="J29" s="852">
        <v>12.42654028436019</v>
      </c>
      <c r="K29" s="852">
        <v>12.42654028436019</v>
      </c>
      <c r="L29" s="852">
        <v>12.42654028436019</v>
      </c>
      <c r="M29" s="852">
        <v>12.42654028436019</v>
      </c>
      <c r="N29">
        <f t="shared" ref="N29:AM29" si="48">13.11*($C$29/mmBTU_to_GJ)</f>
        <v>14.183617774696369</v>
      </c>
      <c r="O29">
        <f t="shared" si="48"/>
        <v>14.183617774696369</v>
      </c>
      <c r="P29">
        <f t="shared" si="48"/>
        <v>14.183617774696369</v>
      </c>
      <c r="Q29">
        <f t="shared" si="48"/>
        <v>14.183617774696369</v>
      </c>
      <c r="R29">
        <f t="shared" si="48"/>
        <v>14.183617774696369</v>
      </c>
      <c r="S29">
        <f t="shared" si="48"/>
        <v>14.183617774696369</v>
      </c>
      <c r="T29">
        <f t="shared" si="48"/>
        <v>14.183617774696369</v>
      </c>
      <c r="U29">
        <f t="shared" si="48"/>
        <v>14.183617774696369</v>
      </c>
      <c r="V29">
        <f t="shared" si="48"/>
        <v>14.183617774696369</v>
      </c>
      <c r="W29">
        <f t="shared" si="48"/>
        <v>14.183617774696369</v>
      </c>
      <c r="X29">
        <f t="shared" si="48"/>
        <v>14.183617774696369</v>
      </c>
      <c r="Y29">
        <f t="shared" si="48"/>
        <v>14.183617774696369</v>
      </c>
      <c r="Z29">
        <f t="shared" si="48"/>
        <v>14.183617774696369</v>
      </c>
      <c r="AA29">
        <f t="shared" si="48"/>
        <v>14.183617774696369</v>
      </c>
      <c r="AB29">
        <f t="shared" si="48"/>
        <v>14.183617774696369</v>
      </c>
      <c r="AC29">
        <f t="shared" si="48"/>
        <v>14.183617774696369</v>
      </c>
      <c r="AD29">
        <f t="shared" si="48"/>
        <v>14.183617774696369</v>
      </c>
      <c r="AE29">
        <f t="shared" si="48"/>
        <v>14.183617774696369</v>
      </c>
      <c r="AF29">
        <f t="shared" si="48"/>
        <v>14.183617774696369</v>
      </c>
      <c r="AG29">
        <f t="shared" si="48"/>
        <v>14.183617774696369</v>
      </c>
      <c r="AH29">
        <f t="shared" si="48"/>
        <v>14.183617774696369</v>
      </c>
      <c r="AI29">
        <f t="shared" si="48"/>
        <v>14.183617774696369</v>
      </c>
      <c r="AJ29">
        <f t="shared" si="48"/>
        <v>14.183617774696369</v>
      </c>
      <c r="AK29">
        <f t="shared" si="48"/>
        <v>14.183617774696369</v>
      </c>
      <c r="AL29">
        <f t="shared" si="48"/>
        <v>14.183617774696369</v>
      </c>
      <c r="AM29">
        <f t="shared" si="48"/>
        <v>14.183617774696369</v>
      </c>
      <c r="AN29">
        <f t="shared" ref="AN29:BV29" si="49">13.11*($C$29/mmBTU_to_GJ)</f>
        <v>14.183617774696369</v>
      </c>
      <c r="AO29">
        <f t="shared" si="49"/>
        <v>14.183617774696369</v>
      </c>
      <c r="AP29">
        <f t="shared" si="49"/>
        <v>14.183617774696369</v>
      </c>
      <c r="AQ29">
        <f t="shared" si="49"/>
        <v>14.183617774696369</v>
      </c>
      <c r="AR29">
        <f t="shared" si="49"/>
        <v>14.183617774696369</v>
      </c>
      <c r="AS29">
        <f t="shared" si="49"/>
        <v>14.183617774696369</v>
      </c>
      <c r="AT29">
        <f t="shared" si="49"/>
        <v>14.183617774696369</v>
      </c>
      <c r="AU29">
        <f t="shared" si="49"/>
        <v>14.183617774696369</v>
      </c>
      <c r="AV29">
        <f t="shared" si="49"/>
        <v>14.183617774696369</v>
      </c>
      <c r="AW29">
        <f t="shared" si="49"/>
        <v>14.183617774696369</v>
      </c>
      <c r="AX29">
        <f t="shared" si="49"/>
        <v>14.183617774696369</v>
      </c>
      <c r="AY29">
        <f t="shared" si="49"/>
        <v>14.183617774696369</v>
      </c>
      <c r="AZ29">
        <f t="shared" si="49"/>
        <v>14.183617774696369</v>
      </c>
      <c r="BA29">
        <f t="shared" si="49"/>
        <v>14.183617774696369</v>
      </c>
      <c r="BB29">
        <f t="shared" si="49"/>
        <v>14.183617774696369</v>
      </c>
      <c r="BC29">
        <f t="shared" si="49"/>
        <v>14.183617774696369</v>
      </c>
      <c r="BD29">
        <f t="shared" si="49"/>
        <v>14.183617774696369</v>
      </c>
      <c r="BE29">
        <f t="shared" si="49"/>
        <v>14.183617774696369</v>
      </c>
      <c r="BF29">
        <f t="shared" si="49"/>
        <v>14.183617774696369</v>
      </c>
      <c r="BG29">
        <f t="shared" si="49"/>
        <v>14.183617774696369</v>
      </c>
      <c r="BH29">
        <f t="shared" si="49"/>
        <v>14.183617774696369</v>
      </c>
      <c r="BI29">
        <f t="shared" si="49"/>
        <v>14.183617774696369</v>
      </c>
      <c r="BJ29">
        <f t="shared" si="49"/>
        <v>14.183617774696369</v>
      </c>
      <c r="BK29">
        <f t="shared" si="49"/>
        <v>14.183617774696369</v>
      </c>
      <c r="BL29">
        <f t="shared" si="49"/>
        <v>14.183617774696369</v>
      </c>
      <c r="BM29">
        <f t="shared" si="49"/>
        <v>14.183617774696369</v>
      </c>
      <c r="BN29">
        <f t="shared" si="49"/>
        <v>14.183617774696369</v>
      </c>
      <c r="BO29">
        <f t="shared" si="49"/>
        <v>14.183617774696369</v>
      </c>
      <c r="BP29">
        <f t="shared" si="49"/>
        <v>14.183617774696369</v>
      </c>
      <c r="BQ29">
        <f t="shared" si="49"/>
        <v>14.183617774696369</v>
      </c>
      <c r="BR29">
        <f t="shared" si="49"/>
        <v>14.183617774696369</v>
      </c>
      <c r="BS29">
        <f t="shared" si="49"/>
        <v>14.183617774696369</v>
      </c>
      <c r="BT29">
        <f t="shared" si="49"/>
        <v>14.183617774696369</v>
      </c>
      <c r="BU29">
        <f t="shared" si="49"/>
        <v>14.183617774696369</v>
      </c>
      <c r="BV29">
        <f t="shared" si="49"/>
        <v>14.183617774696369</v>
      </c>
      <c r="BW29" s="1148">
        <f>+BV29*BW$136/BV$136</f>
        <v>14.230711556264829</v>
      </c>
      <c r="BX29" s="1148">
        <f t="shared" ref="BX29:CZ29" si="50">+BW29*BX$136/BW$136</f>
        <v>14.277961703035571</v>
      </c>
      <c r="BY29" s="1148">
        <f t="shared" si="50"/>
        <v>14.325368734187041</v>
      </c>
      <c r="BZ29" s="1148">
        <f t="shared" si="50"/>
        <v>14.372933170621517</v>
      </c>
      <c r="CA29" s="1148">
        <f t="shared" si="50"/>
        <v>14.420655534970821</v>
      </c>
      <c r="CB29" s="1148">
        <f t="shared" si="50"/>
        <v>14.451428179067991</v>
      </c>
      <c r="CC29" s="1148">
        <f t="shared" si="50"/>
        <v>14.482266489779443</v>
      </c>
      <c r="CD29" s="1148">
        <f t="shared" si="50"/>
        <v>14.51317060723302</v>
      </c>
      <c r="CE29" s="1148">
        <f t="shared" si="50"/>
        <v>14.54414067185559</v>
      </c>
      <c r="CF29" s="1148">
        <f t="shared" si="50"/>
        <v>14.575176824373679</v>
      </c>
      <c r="CG29" s="1148">
        <f t="shared" si="50"/>
        <v>14.585254066221541</v>
      </c>
      <c r="CH29" s="1148">
        <f t="shared" si="50"/>
        <v>14.595338275449933</v>
      </c>
      <c r="CI29" s="1148">
        <f t="shared" si="50"/>
        <v>14.605429456876088</v>
      </c>
      <c r="CJ29" s="1148">
        <f t="shared" si="50"/>
        <v>14.615527615320566</v>
      </c>
      <c r="CK29" s="1148">
        <f t="shared" si="50"/>
        <v>14.625632755607262</v>
      </c>
      <c r="CL29" s="1148">
        <f t="shared" si="50"/>
        <v>14.629057949594106</v>
      </c>
      <c r="CM29" s="1148">
        <f t="shared" si="50"/>
        <v>14.632483945731124</v>
      </c>
      <c r="CN29" s="1148">
        <f t="shared" si="50"/>
        <v>14.635910744206171</v>
      </c>
      <c r="CO29" s="1148">
        <f t="shared" si="50"/>
        <v>14.639338345207147</v>
      </c>
      <c r="CP29" s="1148">
        <f t="shared" si="50"/>
        <v>14.642766748922</v>
      </c>
      <c r="CQ29" s="1148">
        <f t="shared" si="50"/>
        <v>14.647962823919764</v>
      </c>
      <c r="CR29" s="1148">
        <f t="shared" si="50"/>
        <v>14.6531607427764</v>
      </c>
      <c r="CS29" s="1148">
        <f t="shared" si="50"/>
        <v>14.658360506146211</v>
      </c>
      <c r="CT29" s="1148">
        <f t="shared" si="50"/>
        <v>14.663562114683737</v>
      </c>
      <c r="CU29" s="1148">
        <f t="shared" si="50"/>
        <v>14.668765569043746</v>
      </c>
      <c r="CV29" s="1148">
        <f t="shared" si="50"/>
        <v>14.676773707333766</v>
      </c>
      <c r="CW29" s="1148">
        <f t="shared" si="50"/>
        <v>14.68478621751715</v>
      </c>
      <c r="CX29" s="1148">
        <f t="shared" si="50"/>
        <v>14.692803101980653</v>
      </c>
      <c r="CY29" s="1148">
        <f t="shared" si="50"/>
        <v>14.700824363112332</v>
      </c>
      <c r="CZ29" s="1148">
        <f t="shared" si="50"/>
        <v>14.708850003301547</v>
      </c>
    </row>
    <row r="30" spans="1:104">
      <c r="A30" s="812" t="str">
        <f>'HyARC Physical Property Data'!A85</f>
        <v>Woody Biomass</v>
      </c>
      <c r="B30">
        <v>2005</v>
      </c>
      <c r="C30" s="738">
        <f>VLOOKUP(ref_year,DeflatorTable,2,FALSE)/VLOOKUP(B30,DeflatorTable,2,FALSE)</f>
        <v>1.208440716126562</v>
      </c>
      <c r="D30" s="1028" t="str">
        <f>+'HyARC Physical Property Data'!$H$85</f>
        <v>kg</v>
      </c>
      <c r="E30" s="756" t="s">
        <v>1049</v>
      </c>
      <c r="F30">
        <f>'HyARC Physical Property Data'!$E$45</f>
        <v>19.551069237418005</v>
      </c>
      <c r="G30">
        <f>'HyARC Physical Property Data'!$I$45</f>
        <v>20.588656379262464</v>
      </c>
      <c r="H30" s="853">
        <v>1.3438238843289665</v>
      </c>
      <c r="I30" s="853">
        <v>1.3438238843289665</v>
      </c>
      <c r="J30" s="853">
        <v>1.3438238843289665</v>
      </c>
      <c r="K30" s="853">
        <v>1.3438238843289665</v>
      </c>
      <c r="L30" s="853">
        <v>1.3438238843289665</v>
      </c>
      <c r="M30" s="853">
        <v>1.3438238843289665</v>
      </c>
      <c r="N30" s="813">
        <f>1.27*($C$30)</f>
        <v>1.5347197094807337</v>
      </c>
      <c r="O30" s="813">
        <f>1.27*($C$30)</f>
        <v>1.5347197094807337</v>
      </c>
      <c r="P30" s="813">
        <f>1.28*($C$30)</f>
        <v>1.5468041166419995</v>
      </c>
      <c r="Q30" s="813">
        <f>1.32*($C$30)</f>
        <v>1.595141745287062</v>
      </c>
      <c r="R30" s="813">
        <f>1.32*($C$30)</f>
        <v>1.595141745287062</v>
      </c>
      <c r="S30" s="813">
        <f>1.34*($C$30)</f>
        <v>1.6193105596095931</v>
      </c>
      <c r="T30" s="813">
        <f>1.34*($C$30)</f>
        <v>1.6193105596095931</v>
      </c>
      <c r="U30" s="813">
        <f>1.36*($C$30)</f>
        <v>1.6434793739321245</v>
      </c>
      <c r="V30" s="813">
        <f>1.36*($C$30)</f>
        <v>1.6434793739321245</v>
      </c>
      <c r="W30" s="813">
        <f>1.38*($C$30)</f>
        <v>1.6676481882546554</v>
      </c>
      <c r="X30" s="813">
        <f>1.4*($C$30)</f>
        <v>1.6918170025771868</v>
      </c>
      <c r="Y30" s="813">
        <f>1.46*($C$30)</f>
        <v>1.7643234455447805</v>
      </c>
      <c r="Z30" s="813">
        <f>1.48*($C$30)</f>
        <v>1.7884922598673119</v>
      </c>
      <c r="AA30" s="813">
        <f>1.48*($C$30)</f>
        <v>1.7884922598673119</v>
      </c>
      <c r="AB30" s="813">
        <f>1.51*($C$30)</f>
        <v>1.8247454813511086</v>
      </c>
      <c r="AC30" s="813">
        <f>1.52*($C$30)</f>
        <v>1.8368298885123742</v>
      </c>
      <c r="AD30" s="813">
        <f>1.62*($C$30)</f>
        <v>1.9576739601250306</v>
      </c>
      <c r="AE30" s="813">
        <f>1.72*($C$30)</f>
        <v>2.0785180317376866</v>
      </c>
      <c r="AF30" s="813">
        <f>1.82*($C$30)</f>
        <v>2.1993621033503428</v>
      </c>
      <c r="AG30" s="813">
        <f>1.91*($C$30)</f>
        <v>2.3081217678017332</v>
      </c>
      <c r="AH30" s="813">
        <f>2.01*($C$30)</f>
        <v>2.4289658394143894</v>
      </c>
      <c r="AI30" s="813">
        <f>2.11*($C$30)</f>
        <v>2.5498099110270456</v>
      </c>
      <c r="AJ30" s="813">
        <f>2.2*($C$30)</f>
        <v>2.6585695754784364</v>
      </c>
      <c r="AK30" s="813">
        <f>2.3*($C$30)</f>
        <v>2.7794136470910926</v>
      </c>
      <c r="AL30" s="813">
        <f>2.4*($C$30)</f>
        <v>2.9002577187037488</v>
      </c>
      <c r="AM30" s="813">
        <f>2.5*($C$30)</f>
        <v>3.021101790316405</v>
      </c>
      <c r="AN30" s="813">
        <f>2.57*($C$30)</f>
        <v>3.1056926404452643</v>
      </c>
      <c r="AO30" s="813">
        <f>2.64*($C$30)</f>
        <v>3.190283490574124</v>
      </c>
      <c r="AP30" s="813">
        <f>2.71*($C$30)</f>
        <v>3.2748743407029832</v>
      </c>
      <c r="AQ30" s="813">
        <f>2.78*($C$30)</f>
        <v>3.359465190831842</v>
      </c>
      <c r="AR30" s="813">
        <f>2.85*($C$30)</f>
        <v>3.4440560409607017</v>
      </c>
      <c r="AS30" s="813">
        <f>2.92*($C$30)</f>
        <v>3.528646891089561</v>
      </c>
      <c r="AT30" s="813">
        <f>2.99*($C$30)</f>
        <v>3.6132377412184207</v>
      </c>
      <c r="AU30" s="813">
        <f>3.07*($C$30)</f>
        <v>3.7099129985085453</v>
      </c>
      <c r="AV30" s="813">
        <f>3.14*($C$30)</f>
        <v>3.794503848637405</v>
      </c>
      <c r="AW30" s="813">
        <f>3.21*($C$30)</f>
        <v>3.8790946987662642</v>
      </c>
      <c r="AX30" s="813">
        <f>3.28*($C$30)</f>
        <v>3.963685548895123</v>
      </c>
      <c r="AY30" s="813">
        <f>3.35*($C$30)</f>
        <v>4.0482763990239832</v>
      </c>
      <c r="AZ30" s="813">
        <f>3.42*($C$30)</f>
        <v>4.1328672491528424</v>
      </c>
      <c r="BA30" s="813">
        <f>3.49*($C$30)</f>
        <v>4.2174580992817017</v>
      </c>
      <c r="BB30" s="813">
        <f>3.56*($C$30)</f>
        <v>4.3020489494105609</v>
      </c>
      <c r="BC30" s="813">
        <f>3.64*($C$30)</f>
        <v>4.3987242067006855</v>
      </c>
      <c r="BD30" s="813">
        <f>3.71*($C$30)</f>
        <v>4.4833150568295448</v>
      </c>
      <c r="BE30" s="813">
        <f>3.78*($C$30)</f>
        <v>4.567905906958404</v>
      </c>
      <c r="BF30" s="813">
        <f>3.85*($C$30)</f>
        <v>4.6524967570872642</v>
      </c>
      <c r="BG30" s="813">
        <f>3.92*($C$30)</f>
        <v>4.7370876072161234</v>
      </c>
      <c r="BH30" s="813">
        <f>3.99*($C$30)</f>
        <v>4.8216784573449827</v>
      </c>
      <c r="BI30" s="813">
        <f>4.06*($C$30)</f>
        <v>4.906269307473841</v>
      </c>
      <c r="BJ30" s="813">
        <f>4.14*($C$30)</f>
        <v>5.0029445647639665</v>
      </c>
      <c r="BK30" s="813">
        <f>4.21*($C$30)</f>
        <v>5.0875354148928258</v>
      </c>
      <c r="BL30" s="813">
        <f>4.28*($C$30)</f>
        <v>5.1721262650216859</v>
      </c>
      <c r="BM30" s="813">
        <f>4.35*($C$30)</f>
        <v>5.2567171151505443</v>
      </c>
      <c r="BN30" s="813">
        <f>4.42*($C$30)</f>
        <v>5.3413079652794044</v>
      </c>
      <c r="BO30" s="813">
        <f>4.49*($C$30)</f>
        <v>5.4258988154082637</v>
      </c>
      <c r="BP30" s="813">
        <f>4.56*($C$30)</f>
        <v>5.5104896655371221</v>
      </c>
      <c r="BQ30" s="813">
        <f>4.63*($C$30)</f>
        <v>5.5950805156659822</v>
      </c>
      <c r="BR30" s="813">
        <f>4.71*($C$30)</f>
        <v>5.6917557729561068</v>
      </c>
      <c r="BS30" s="813">
        <f>4.78*($C$30)</f>
        <v>5.7763466230849669</v>
      </c>
      <c r="BT30" s="813">
        <f>4.85*($C$30)</f>
        <v>5.8609374732138253</v>
      </c>
      <c r="BU30" s="813">
        <f>4.92*($C$30)</f>
        <v>5.9455283233426854</v>
      </c>
      <c r="BV30" s="814">
        <f>4.99*($C$30)</f>
        <v>6.0301191734715447</v>
      </c>
      <c r="BW30" s="1148">
        <f>+BV30*BW$137/BV$137</f>
        <v>6.0446132076616896</v>
      </c>
      <c r="BX30" s="1148">
        <f t="shared" ref="BX30:CZ30" si="51">+BW30*BX$137/BW$137</f>
        <v>6.0591420798079438</v>
      </c>
      <c r="BY30" s="1148">
        <f t="shared" si="51"/>
        <v>6.0737058736470511</v>
      </c>
      <c r="BZ30" s="1148">
        <f t="shared" si="51"/>
        <v>6.0883046731170198</v>
      </c>
      <c r="CA30" s="1148">
        <f t="shared" si="51"/>
        <v>6.1029385623576156</v>
      </c>
      <c r="CB30" s="1148">
        <f t="shared" si="51"/>
        <v>6.1157485681116217</v>
      </c>
      <c r="CC30" s="1148">
        <f t="shared" si="51"/>
        <v>6.1285854619369617</v>
      </c>
      <c r="CD30" s="1148">
        <f t="shared" si="51"/>
        <v>6.1414493002714252</v>
      </c>
      <c r="CE30" s="1148">
        <f t="shared" si="51"/>
        <v>6.1543401396712598</v>
      </c>
      <c r="CF30" s="1148">
        <f t="shared" si="51"/>
        <v>6.167258036811428</v>
      </c>
      <c r="CG30" s="1148">
        <f t="shared" si="51"/>
        <v>6.183149548139812</v>
      </c>
      <c r="CH30" s="1148">
        <f t="shared" si="51"/>
        <v>6.1990820079952069</v>
      </c>
      <c r="CI30" s="1148">
        <f t="shared" si="51"/>
        <v>6.215055521891923</v>
      </c>
      <c r="CJ30" s="1148">
        <f t="shared" si="51"/>
        <v>6.2310701956161552</v>
      </c>
      <c r="CK30" s="1148">
        <f t="shared" si="51"/>
        <v>6.2471261352266838</v>
      </c>
      <c r="CL30" s="1148">
        <f t="shared" si="51"/>
        <v>6.2604975997429575</v>
      </c>
      <c r="CM30" s="1148">
        <f t="shared" si="51"/>
        <v>6.2738976847896071</v>
      </c>
      <c r="CN30" s="1148">
        <f t="shared" si="51"/>
        <v>6.2873264516265444</v>
      </c>
      <c r="CO30" s="1148">
        <f t="shared" si="51"/>
        <v>6.3007839616448056</v>
      </c>
      <c r="CP30" s="1148">
        <f t="shared" si="51"/>
        <v>6.3142702763668277</v>
      </c>
      <c r="CQ30" s="1148">
        <f t="shared" si="51"/>
        <v>6.326614172551615</v>
      </c>
      <c r="CR30" s="1148">
        <f t="shared" si="51"/>
        <v>6.3389822000716718</v>
      </c>
      <c r="CS30" s="1148">
        <f t="shared" si="51"/>
        <v>6.3513744061018391</v>
      </c>
      <c r="CT30" s="1148">
        <f t="shared" si="51"/>
        <v>6.3637908379091801</v>
      </c>
      <c r="CU30" s="1148">
        <f t="shared" si="51"/>
        <v>6.376231542853164</v>
      </c>
      <c r="CV30" s="1148">
        <f t="shared" si="51"/>
        <v>6.3909193633613004</v>
      </c>
      <c r="CW30" s="1148">
        <f t="shared" si="51"/>
        <v>6.4056410176582252</v>
      </c>
      <c r="CX30" s="1148">
        <f t="shared" si="51"/>
        <v>6.4203965836809767</v>
      </c>
      <c r="CY30" s="1148">
        <f t="shared" si="51"/>
        <v>6.4351861395461265</v>
      </c>
      <c r="CZ30" s="1148">
        <f t="shared" si="51"/>
        <v>6.450009763550189</v>
      </c>
    </row>
    <row r="31" spans="1:104">
      <c r="A31" s="812" t="str">
        <f>'HyARC Physical Property Data'!$A$87</f>
        <v>Woody Biomass MYPP</v>
      </c>
      <c r="B31">
        <v>2007</v>
      </c>
      <c r="C31" s="738">
        <f>VLOOKUP(ref_year,DeflatorTable,2,FALSE)/VLOOKUP(B31,DeflatorTable,2,FALSE)</f>
        <v>1.1413971588333081</v>
      </c>
      <c r="D31" s="1028" t="str">
        <f>+'HyARC Physical Property Data'!$H$87</f>
        <v>kg</v>
      </c>
      <c r="E31" s="756" t="s">
        <v>1049</v>
      </c>
      <c r="F31">
        <v>18.608000000000001</v>
      </c>
      <c r="H31" s="852">
        <v>4.4443250214961303</v>
      </c>
      <c r="I31" s="852">
        <v>4.4443250214961303</v>
      </c>
      <c r="J31" s="852">
        <v>4.4443250214961303</v>
      </c>
      <c r="K31" s="852">
        <v>4.4443250214961303</v>
      </c>
      <c r="L31" s="852">
        <v>4.4443250214961303</v>
      </c>
      <c r="M31" s="852">
        <v>4.4443250214961303</v>
      </c>
      <c r="N31">
        <f>4.44432502149613*$C$31</f>
        <v>5.0727399524674635</v>
      </c>
      <c r="O31" s="813">
        <f t="shared" ref="O31:T31" si="52">N31-($N$31-$U$31)/7</f>
        <v>4.9524277749801975</v>
      </c>
      <c r="P31" s="813">
        <f t="shared" si="52"/>
        <v>4.8321155974929315</v>
      </c>
      <c r="Q31" s="813">
        <f t="shared" si="52"/>
        <v>4.7118034200056655</v>
      </c>
      <c r="R31" s="813">
        <f t="shared" si="52"/>
        <v>4.5914912425183996</v>
      </c>
      <c r="S31" s="813">
        <f t="shared" si="52"/>
        <v>4.4711790650311336</v>
      </c>
      <c r="T31" s="813">
        <f t="shared" si="52"/>
        <v>4.3508668875438676</v>
      </c>
      <c r="U31" s="813">
        <f>3.70647033533964*$C$31</f>
        <v>4.2305547100566034</v>
      </c>
      <c r="V31" s="813">
        <f t="shared" ref="V31:BV31" si="53">3.70647033533964*$C$31</f>
        <v>4.2305547100566034</v>
      </c>
      <c r="W31" s="813">
        <f t="shared" si="53"/>
        <v>4.2305547100566034</v>
      </c>
      <c r="X31" s="813">
        <f t="shared" si="53"/>
        <v>4.2305547100566034</v>
      </c>
      <c r="Y31" s="813">
        <f t="shared" si="53"/>
        <v>4.2305547100566034</v>
      </c>
      <c r="Z31" s="813">
        <f t="shared" si="53"/>
        <v>4.2305547100566034</v>
      </c>
      <c r="AA31" s="813">
        <f t="shared" si="53"/>
        <v>4.2305547100566034</v>
      </c>
      <c r="AB31" s="813">
        <f t="shared" si="53"/>
        <v>4.2305547100566034</v>
      </c>
      <c r="AC31" s="813">
        <f t="shared" si="53"/>
        <v>4.2305547100566034</v>
      </c>
      <c r="AD31" s="813">
        <f t="shared" si="53"/>
        <v>4.2305547100566034</v>
      </c>
      <c r="AE31" s="813">
        <f t="shared" si="53"/>
        <v>4.2305547100566034</v>
      </c>
      <c r="AF31" s="813">
        <f t="shared" si="53"/>
        <v>4.2305547100566034</v>
      </c>
      <c r="AG31" s="813">
        <f t="shared" si="53"/>
        <v>4.2305547100566034</v>
      </c>
      <c r="AH31" s="813">
        <f t="shared" si="53"/>
        <v>4.2305547100566034</v>
      </c>
      <c r="AI31" s="813">
        <f t="shared" si="53"/>
        <v>4.2305547100566034</v>
      </c>
      <c r="AJ31" s="813">
        <f t="shared" si="53"/>
        <v>4.2305547100566034</v>
      </c>
      <c r="AK31" s="813">
        <f t="shared" si="53"/>
        <v>4.2305547100566034</v>
      </c>
      <c r="AL31" s="813">
        <f t="shared" si="53"/>
        <v>4.2305547100566034</v>
      </c>
      <c r="AM31" s="813">
        <f t="shared" si="53"/>
        <v>4.2305547100566034</v>
      </c>
      <c r="AN31" s="813">
        <f t="shared" si="53"/>
        <v>4.2305547100566034</v>
      </c>
      <c r="AO31" s="813">
        <f t="shared" si="53"/>
        <v>4.2305547100566034</v>
      </c>
      <c r="AP31" s="813">
        <f t="shared" si="53"/>
        <v>4.2305547100566034</v>
      </c>
      <c r="AQ31" s="813">
        <f t="shared" si="53"/>
        <v>4.2305547100566034</v>
      </c>
      <c r="AR31" s="813">
        <f t="shared" si="53"/>
        <v>4.2305547100566034</v>
      </c>
      <c r="AS31" s="813">
        <f t="shared" si="53"/>
        <v>4.2305547100566034</v>
      </c>
      <c r="AT31" s="813">
        <f t="shared" si="53"/>
        <v>4.2305547100566034</v>
      </c>
      <c r="AU31" s="813">
        <f t="shared" si="53"/>
        <v>4.2305547100566034</v>
      </c>
      <c r="AV31" s="813">
        <f t="shared" si="53"/>
        <v>4.2305547100566034</v>
      </c>
      <c r="AW31" s="813">
        <f t="shared" si="53"/>
        <v>4.2305547100566034</v>
      </c>
      <c r="AX31" s="813">
        <f t="shared" si="53"/>
        <v>4.2305547100566034</v>
      </c>
      <c r="AY31" s="813">
        <f t="shared" si="53"/>
        <v>4.2305547100566034</v>
      </c>
      <c r="AZ31" s="813">
        <f t="shared" si="53"/>
        <v>4.2305547100566034</v>
      </c>
      <c r="BA31" s="813">
        <f t="shared" si="53"/>
        <v>4.2305547100566034</v>
      </c>
      <c r="BB31" s="813">
        <f t="shared" si="53"/>
        <v>4.2305547100566034</v>
      </c>
      <c r="BC31" s="813">
        <f t="shared" si="53"/>
        <v>4.2305547100566034</v>
      </c>
      <c r="BD31" s="813">
        <f t="shared" si="53"/>
        <v>4.2305547100566034</v>
      </c>
      <c r="BE31" s="813">
        <f t="shared" si="53"/>
        <v>4.2305547100566034</v>
      </c>
      <c r="BF31" s="813">
        <f t="shared" si="53"/>
        <v>4.2305547100566034</v>
      </c>
      <c r="BG31" s="813">
        <f t="shared" si="53"/>
        <v>4.2305547100566034</v>
      </c>
      <c r="BH31" s="813">
        <f t="shared" si="53"/>
        <v>4.2305547100566034</v>
      </c>
      <c r="BI31" s="813">
        <f t="shared" si="53"/>
        <v>4.2305547100566034</v>
      </c>
      <c r="BJ31" s="813">
        <f t="shared" si="53"/>
        <v>4.2305547100566034</v>
      </c>
      <c r="BK31" s="813">
        <f t="shared" si="53"/>
        <v>4.2305547100566034</v>
      </c>
      <c r="BL31" s="813">
        <f t="shared" si="53"/>
        <v>4.2305547100566034</v>
      </c>
      <c r="BM31" s="813">
        <f t="shared" si="53"/>
        <v>4.2305547100566034</v>
      </c>
      <c r="BN31" s="813">
        <f t="shared" si="53"/>
        <v>4.2305547100566034</v>
      </c>
      <c r="BO31" s="813">
        <f t="shared" si="53"/>
        <v>4.2305547100566034</v>
      </c>
      <c r="BP31" s="813">
        <f t="shared" si="53"/>
        <v>4.2305547100566034</v>
      </c>
      <c r="BQ31" s="813">
        <f t="shared" si="53"/>
        <v>4.2305547100566034</v>
      </c>
      <c r="BR31" s="813">
        <f t="shared" si="53"/>
        <v>4.2305547100566034</v>
      </c>
      <c r="BS31" s="813">
        <f t="shared" si="53"/>
        <v>4.2305547100566034</v>
      </c>
      <c r="BT31" s="813">
        <f t="shared" si="53"/>
        <v>4.2305547100566034</v>
      </c>
      <c r="BU31" s="813">
        <f t="shared" si="53"/>
        <v>4.2305547100566034</v>
      </c>
      <c r="BV31" s="813">
        <f t="shared" si="53"/>
        <v>4.2305547100566034</v>
      </c>
      <c r="BW31" s="1148">
        <f>+BV31*BW$137/BV$137</f>
        <v>4.2407232992414734</v>
      </c>
      <c r="BX31" s="1148">
        <f t="shared" ref="BX31:CZ31" si="54">+BW31*BX$137/BW$137</f>
        <v>4.2509163297143298</v>
      </c>
      <c r="BY31" s="1148">
        <f t="shared" si="54"/>
        <v>4.2611338602224134</v>
      </c>
      <c r="BZ31" s="1148">
        <f t="shared" si="54"/>
        <v>4.2713759496541703</v>
      </c>
      <c r="CA31" s="1148">
        <f t="shared" si="54"/>
        <v>4.2816426570395922</v>
      </c>
      <c r="CB31" s="1148">
        <f t="shared" si="54"/>
        <v>4.2906297812770164</v>
      </c>
      <c r="CC31" s="1148">
        <f t="shared" si="54"/>
        <v>4.2996357693964899</v>
      </c>
      <c r="CD31" s="1148">
        <f t="shared" si="54"/>
        <v>4.3086606609931088</v>
      </c>
      <c r="CE31" s="1148">
        <f t="shared" si="54"/>
        <v>4.3177044957450779</v>
      </c>
      <c r="CF31" s="1148">
        <f t="shared" si="54"/>
        <v>4.3267673134138871</v>
      </c>
      <c r="CG31" s="1148">
        <f t="shared" si="54"/>
        <v>4.3379163315619822</v>
      </c>
      <c r="CH31" s="1148">
        <f t="shared" si="54"/>
        <v>4.3490940779953462</v>
      </c>
      <c r="CI31" s="1148">
        <f t="shared" si="54"/>
        <v>4.3603006267397229</v>
      </c>
      <c r="CJ31" s="1148">
        <f t="shared" si="54"/>
        <v>4.3715360520116029</v>
      </c>
      <c r="CK31" s="1148">
        <f t="shared" si="54"/>
        <v>4.3828004282187161</v>
      </c>
      <c r="CL31" s="1148">
        <f t="shared" si="54"/>
        <v>4.3921814554525627</v>
      </c>
      <c r="CM31" s="1148">
        <f t="shared" si="54"/>
        <v>4.4015825620108968</v>
      </c>
      <c r="CN31" s="1148">
        <f t="shared" si="54"/>
        <v>4.4110037908718764</v>
      </c>
      <c r="CO31" s="1148">
        <f t="shared" si="54"/>
        <v>4.4204451851056508</v>
      </c>
      <c r="CP31" s="1148">
        <f t="shared" si="54"/>
        <v>4.4299067878745575</v>
      </c>
      <c r="CQ31" s="1148">
        <f t="shared" si="54"/>
        <v>4.4385669033121991</v>
      </c>
      <c r="CR31" s="1148">
        <f t="shared" si="54"/>
        <v>4.4472439485867392</v>
      </c>
      <c r="CS31" s="1148">
        <f t="shared" si="54"/>
        <v>4.4559379567946618</v>
      </c>
      <c r="CT31" s="1148">
        <f t="shared" si="54"/>
        <v>4.4646489610971525</v>
      </c>
      <c r="CU31" s="1148">
        <f t="shared" si="54"/>
        <v>4.4733769947202253</v>
      </c>
      <c r="CV31" s="1148">
        <f t="shared" si="54"/>
        <v>4.4836815387008029</v>
      </c>
      <c r="CW31" s="1148">
        <f t="shared" si="54"/>
        <v>4.494009819475032</v>
      </c>
      <c r="CX31" s="1148">
        <f t="shared" si="54"/>
        <v>4.5043618917212536</v>
      </c>
      <c r="CY31" s="1148">
        <f t="shared" si="54"/>
        <v>4.5147378102437621</v>
      </c>
      <c r="CZ31" s="1148">
        <f t="shared" si="54"/>
        <v>4.525137629973095</v>
      </c>
    </row>
    <row r="32" spans="1:104">
      <c r="A32" s="818" t="str">
        <f>'HyARC Physical Property Data'!A79</f>
        <v>Electric Utility Steam Coal</v>
      </c>
      <c r="B32">
        <v>2011</v>
      </c>
      <c r="C32" s="738">
        <f>VLOOKUP(ref_year,DeflatorTable,2,FALSE)/VLOOKUP(B32,DeflatorTable,2,FALSE)</f>
        <v>1.0771767810026385</v>
      </c>
      <c r="D32" s="1028" t="str">
        <f>+'HyARC Physical Property Data'!$H$79</f>
        <v>kg</v>
      </c>
      <c r="E32" s="756" t="s">
        <v>1049</v>
      </c>
      <c r="F32">
        <f>'HyARC Physical Property Data'!E42</f>
        <v>22.7322030001394</v>
      </c>
      <c r="G32">
        <f>'HyARC Physical Property Data'!I42</f>
        <v>23.967615189707661</v>
      </c>
      <c r="H32" s="852">
        <v>1.7344499599167666</v>
      </c>
      <c r="I32" s="852">
        <v>1.7344499599167666</v>
      </c>
      <c r="J32" s="852">
        <v>1.7344499599167666</v>
      </c>
      <c r="K32" s="852">
        <v>1.7788973636542149</v>
      </c>
      <c r="L32" s="852">
        <v>1.9298772179141501</v>
      </c>
      <c r="M32" s="852">
        <v>1.9810774561110811</v>
      </c>
      <c r="N32">
        <f t="shared" ref="N32:AR32" si="55">N50*($C32/mmBTU_to_GJ*$G32/$F32)</f>
        <v>2.4738067312648084</v>
      </c>
      <c r="O32">
        <f t="shared" si="55"/>
        <v>2.562092342657099</v>
      </c>
      <c r="P32">
        <f t="shared" si="55"/>
        <v>2.5893000409210973</v>
      </c>
      <c r="Q32">
        <f t="shared" si="55"/>
        <v>2.5157066296517416</v>
      </c>
      <c r="R32">
        <f t="shared" si="55"/>
        <v>2.5782561311129801</v>
      </c>
      <c r="S32">
        <f t="shared" si="55"/>
        <v>2.5794316793643168</v>
      </c>
      <c r="T32">
        <f t="shared" si="55"/>
        <v>2.6463884102586808</v>
      </c>
      <c r="U32">
        <f t="shared" si="55"/>
        <v>2.6614358584795466</v>
      </c>
      <c r="V32">
        <f t="shared" si="55"/>
        <v>2.6700253268837741</v>
      </c>
      <c r="W32">
        <f t="shared" si="55"/>
        <v>2.6738598533226581</v>
      </c>
      <c r="X32">
        <f t="shared" si="55"/>
        <v>2.7085589804154591</v>
      </c>
      <c r="Y32">
        <f t="shared" si="55"/>
        <v>2.7412837892912716</v>
      </c>
      <c r="Z32">
        <f t="shared" si="55"/>
        <v>2.7897299412646319</v>
      </c>
      <c r="AA32">
        <f t="shared" si="55"/>
        <v>2.829150638531758</v>
      </c>
      <c r="AB32">
        <f t="shared" si="55"/>
        <v>2.8628658360442274</v>
      </c>
      <c r="AC32">
        <f t="shared" si="55"/>
        <v>2.8975789577590683</v>
      </c>
      <c r="AD32">
        <f t="shared" si="55"/>
        <v>2.9373430615208616</v>
      </c>
      <c r="AE32">
        <f t="shared" si="55"/>
        <v>2.9731875946021442</v>
      </c>
      <c r="AF32">
        <f t="shared" si="55"/>
        <v>3.0056045217930829</v>
      </c>
      <c r="AG32">
        <f t="shared" si="55"/>
        <v>3.0446516703026871</v>
      </c>
      <c r="AH32">
        <f t="shared" si="55"/>
        <v>3.0864493002977911</v>
      </c>
      <c r="AI32">
        <f t="shared" si="55"/>
        <v>3.1186476960830318</v>
      </c>
      <c r="AJ32">
        <f t="shared" si="55"/>
        <v>3.1475444375762862</v>
      </c>
      <c r="AK32">
        <f t="shared" si="55"/>
        <v>3.18024986928312</v>
      </c>
      <c r="AL32">
        <f t="shared" si="55"/>
        <v>3.2161686815121526</v>
      </c>
      <c r="AM32">
        <f t="shared" si="55"/>
        <v>3.2620441290677542</v>
      </c>
      <c r="AN32">
        <f t="shared" si="55"/>
        <v>3.3016661335903748</v>
      </c>
      <c r="AO32">
        <f t="shared" si="55"/>
        <v>3.3385419626650465</v>
      </c>
      <c r="AP32">
        <f t="shared" si="55"/>
        <v>3.3748515478018035</v>
      </c>
      <c r="AQ32">
        <f t="shared" si="55"/>
        <v>3.4125282998609028</v>
      </c>
      <c r="AR32">
        <f t="shared" si="55"/>
        <v>3.4464921710419247</v>
      </c>
      <c r="AS32">
        <f t="shared" ref="AS32:BA32" si="56">($BB32-$AR32)/10+AR32</f>
        <v>3.4437798221078069</v>
      </c>
      <c r="AT32">
        <f t="shared" si="56"/>
        <v>3.441067473173689</v>
      </c>
      <c r="AU32">
        <f t="shared" si="56"/>
        <v>3.4383551242395711</v>
      </c>
      <c r="AV32">
        <f t="shared" si="56"/>
        <v>3.4356427753054533</v>
      </c>
      <c r="AW32">
        <f t="shared" si="56"/>
        <v>3.4329304263713354</v>
      </c>
      <c r="AX32">
        <f t="shared" si="56"/>
        <v>3.4302180774372175</v>
      </c>
      <c r="AY32">
        <f t="shared" si="56"/>
        <v>3.4275057285030996</v>
      </c>
      <c r="AZ32">
        <f t="shared" si="56"/>
        <v>3.4247933795689818</v>
      </c>
      <c r="BA32">
        <f t="shared" si="56"/>
        <v>3.4220810306348639</v>
      </c>
      <c r="BB32" s="790">
        <f>('AEO Data'!$B$28*AM32)</f>
        <v>3.4193686817007474</v>
      </c>
      <c r="BC32">
        <f>(($BQ$32-$BB$32)/15+BB32)</f>
        <v>3.4313687390140855</v>
      </c>
      <c r="BD32">
        <f t="shared" ref="BD32:BP32" si="57">(($BQ$32-$BB$32)/15+BC32)</f>
        <v>3.4433687963274235</v>
      </c>
      <c r="BE32">
        <f t="shared" si="57"/>
        <v>3.4553688536407616</v>
      </c>
      <c r="BF32">
        <f t="shared" si="57"/>
        <v>3.4673689109540997</v>
      </c>
      <c r="BG32">
        <f t="shared" si="57"/>
        <v>3.4793689682674378</v>
      </c>
      <c r="BH32">
        <f t="shared" si="57"/>
        <v>3.4913690255807759</v>
      </c>
      <c r="BI32">
        <f t="shared" si="57"/>
        <v>3.503369082894114</v>
      </c>
      <c r="BJ32">
        <f t="shared" si="57"/>
        <v>3.5153691402074521</v>
      </c>
      <c r="BK32">
        <f t="shared" si="57"/>
        <v>3.5273691975207901</v>
      </c>
      <c r="BL32">
        <f t="shared" si="57"/>
        <v>3.5393692548341282</v>
      </c>
      <c r="BM32">
        <f t="shared" si="57"/>
        <v>3.5513693121474663</v>
      </c>
      <c r="BN32">
        <f t="shared" si="57"/>
        <v>3.5633693694608044</v>
      </c>
      <c r="BO32">
        <f t="shared" si="57"/>
        <v>3.5753694267741425</v>
      </c>
      <c r="BP32">
        <f t="shared" si="57"/>
        <v>3.5873694840874806</v>
      </c>
      <c r="BQ32" s="790">
        <f>('AEO Data'!$C$28*BB32)</f>
        <v>3.5993695414008169</v>
      </c>
      <c r="BR32">
        <f>(($BV$32-$BQ$32)/5+BQ32)</f>
        <v>3.6109087635521795</v>
      </c>
      <c r="BS32">
        <f>(($BV$32-$BQ$32)/5+BR32)</f>
        <v>3.6224479857035421</v>
      </c>
      <c r="BT32">
        <f>(($BV$32-$BQ$32)/5+BS32)</f>
        <v>3.6339872078549047</v>
      </c>
      <c r="BU32">
        <f>(($BV$32-$BQ$32)/5+BT32)</f>
        <v>3.6455264300062673</v>
      </c>
      <c r="BV32" s="811">
        <f>('AEO Data'!$D$28*BQ32)</f>
        <v>3.657065652157629</v>
      </c>
      <c r="BW32" s="1148">
        <f>+BV32*BW$138/BV$138</f>
        <v>3.6694300274580169</v>
      </c>
      <c r="BX32" s="1148">
        <f t="shared" ref="BX32:CZ32" si="58">+BW32*BX$138/BW$138</f>
        <v>3.6818362061579366</v>
      </c>
      <c r="BY32" s="1148">
        <f t="shared" si="58"/>
        <v>3.6942843295928096</v>
      </c>
      <c r="BZ32" s="1148">
        <f t="shared" si="58"/>
        <v>3.7067745395759086</v>
      </c>
      <c r="CA32" s="1148">
        <f t="shared" si="58"/>
        <v>3.7193069783999695</v>
      </c>
      <c r="CB32" s="1148">
        <f t="shared" si="58"/>
        <v>3.7299559382094629</v>
      </c>
      <c r="CC32" s="1148">
        <f t="shared" si="58"/>
        <v>3.7406353876627754</v>
      </c>
      <c r="CD32" s="1148">
        <f t="shared" si="58"/>
        <v>3.7513454140565434</v>
      </c>
      <c r="CE32" s="1148">
        <f t="shared" si="58"/>
        <v>3.7620861049373482</v>
      </c>
      <c r="CF32" s="1148">
        <f t="shared" si="58"/>
        <v>3.7728575481024307</v>
      </c>
      <c r="CG32" s="1148">
        <f t="shared" si="58"/>
        <v>3.7810815561772397</v>
      </c>
      <c r="CH32" s="1148">
        <f t="shared" si="58"/>
        <v>3.7893234907992221</v>
      </c>
      <c r="CI32" s="1148">
        <f t="shared" si="58"/>
        <v>3.7975833910443488</v>
      </c>
      <c r="CJ32" s="1148">
        <f t="shared" si="58"/>
        <v>3.8058612960737661</v>
      </c>
      <c r="CK32" s="1148">
        <f t="shared" si="58"/>
        <v>3.8141572451339845</v>
      </c>
      <c r="CL32" s="1148">
        <f t="shared" si="58"/>
        <v>3.8197812068711383</v>
      </c>
      <c r="CM32" s="1148">
        <f t="shared" si="58"/>
        <v>3.8254134611205277</v>
      </c>
      <c r="CN32" s="1148">
        <f t="shared" si="58"/>
        <v>3.8310540201094327</v>
      </c>
      <c r="CO32" s="1148">
        <f t="shared" si="58"/>
        <v>3.8367028960831631</v>
      </c>
      <c r="CP32" s="1148">
        <f t="shared" si="58"/>
        <v>3.8423601013050841</v>
      </c>
      <c r="CQ32" s="1148">
        <f t="shared" si="58"/>
        <v>3.8442546108659763</v>
      </c>
      <c r="CR32" s="1148">
        <f t="shared" si="58"/>
        <v>3.8461500545315284</v>
      </c>
      <c r="CS32" s="1148">
        <f t="shared" si="58"/>
        <v>3.8480464327623092</v>
      </c>
      <c r="CT32" s="1148">
        <f t="shared" si="58"/>
        <v>3.8499437460191142</v>
      </c>
      <c r="CU32" s="1148">
        <f t="shared" si="58"/>
        <v>3.8518419947629661</v>
      </c>
      <c r="CV32" s="1148">
        <f t="shared" si="58"/>
        <v>3.8491138019441373</v>
      </c>
      <c r="CW32" s="1148">
        <f t="shared" si="58"/>
        <v>3.8463875414569224</v>
      </c>
      <c r="CX32" s="1148">
        <f t="shared" si="58"/>
        <v>3.8436632119326841</v>
      </c>
      <c r="CY32" s="1148">
        <f t="shared" si="58"/>
        <v>3.8409408120037543</v>
      </c>
      <c r="CZ32" s="1148">
        <f t="shared" si="58"/>
        <v>3.8382203403034345</v>
      </c>
    </row>
    <row r="33" spans="1:104">
      <c r="A33" s="812" t="str">
        <f>'HyARC Physical Property Data'!A76</f>
        <v>Commercial Electricity</v>
      </c>
      <c r="B33">
        <v>2011</v>
      </c>
      <c r="C33" s="738">
        <f t="shared" si="41"/>
        <v>1.0771767810026385</v>
      </c>
      <c r="D33" s="1028" t="str">
        <f>'HyARC Physical Property Data'!$H$76</f>
        <v>kWh</v>
      </c>
      <c r="E33" s="738" t="s">
        <v>1068</v>
      </c>
      <c r="F33" s="738"/>
      <c r="G33" s="738"/>
      <c r="H33" s="852">
        <v>26.896922396257633</v>
      </c>
      <c r="I33" s="852">
        <v>26.896922396257633</v>
      </c>
      <c r="J33" s="852">
        <v>26.896922396257633</v>
      </c>
      <c r="K33" s="852">
        <v>26.568469730033652</v>
      </c>
      <c r="L33" s="852">
        <v>27.542479456318485</v>
      </c>
      <c r="M33" s="852">
        <v>26.167555894896875</v>
      </c>
      <c r="N33">
        <f t="shared" ref="N33:AR33" si="59">(N51/(mmBTU_to_GJ))*($C33)</f>
        <v>31.133552693543749</v>
      </c>
      <c r="O33">
        <f t="shared" si="59"/>
        <v>30.610864657554803</v>
      </c>
      <c r="P33">
        <f t="shared" si="59"/>
        <v>29.061789491552979</v>
      </c>
      <c r="Q33">
        <f t="shared" si="59"/>
        <v>28.354246688716874</v>
      </c>
      <c r="R33">
        <f t="shared" si="59"/>
        <v>28.429556150508322</v>
      </c>
      <c r="S33">
        <f t="shared" si="59"/>
        <v>28.316980456176768</v>
      </c>
      <c r="T33">
        <f t="shared" si="59"/>
        <v>28.823692582125577</v>
      </c>
      <c r="U33">
        <f t="shared" si="59"/>
        <v>29.117226828521051</v>
      </c>
      <c r="V33">
        <f t="shared" si="59"/>
        <v>29.247133327289326</v>
      </c>
      <c r="W33">
        <f t="shared" si="59"/>
        <v>29.177516055596545</v>
      </c>
      <c r="X33">
        <f t="shared" si="59"/>
        <v>29.167046509897588</v>
      </c>
      <c r="Y33">
        <f t="shared" si="59"/>
        <v>29.278527670097162</v>
      </c>
      <c r="Z33">
        <f t="shared" si="59"/>
        <v>29.26715860520952</v>
      </c>
      <c r="AA33">
        <f t="shared" si="59"/>
        <v>29.230231351523717</v>
      </c>
      <c r="AB33">
        <f t="shared" si="59"/>
        <v>29.234638076629693</v>
      </c>
      <c r="AC33">
        <f t="shared" si="59"/>
        <v>29.084632786454755</v>
      </c>
      <c r="AD33">
        <f t="shared" si="59"/>
        <v>28.975210003876501</v>
      </c>
      <c r="AE33">
        <f t="shared" si="59"/>
        <v>28.966039196438619</v>
      </c>
      <c r="AF33">
        <f t="shared" si="59"/>
        <v>29.081694289036999</v>
      </c>
      <c r="AG33">
        <f t="shared" si="59"/>
        <v>29.178046986332202</v>
      </c>
      <c r="AH33">
        <f t="shared" si="59"/>
        <v>29.254591883104705</v>
      </c>
      <c r="AI33">
        <f t="shared" si="59"/>
        <v>29.386069732646401</v>
      </c>
      <c r="AJ33">
        <f t="shared" si="59"/>
        <v>29.520327821405793</v>
      </c>
      <c r="AK33">
        <f t="shared" si="59"/>
        <v>29.693042652777955</v>
      </c>
      <c r="AL33">
        <f t="shared" si="59"/>
        <v>29.886409668746637</v>
      </c>
      <c r="AM33">
        <f t="shared" si="59"/>
        <v>30.281916310070152</v>
      </c>
      <c r="AN33">
        <f t="shared" si="59"/>
        <v>30.734461248733886</v>
      </c>
      <c r="AO33">
        <f t="shared" si="59"/>
        <v>31.144263200115045</v>
      </c>
      <c r="AP33">
        <f t="shared" si="59"/>
        <v>31.594533304780605</v>
      </c>
      <c r="AQ33">
        <f t="shared" si="59"/>
        <v>32.138219651364906</v>
      </c>
      <c r="AR33">
        <f t="shared" si="59"/>
        <v>32.414492522727556</v>
      </c>
      <c r="AS33">
        <f t="shared" ref="AS33:BA33" si="60">($BB33-$AR33)/10+AR33</f>
        <v>32.12574672681761</v>
      </c>
      <c r="AT33">
        <f t="shared" si="60"/>
        <v>31.837000930907664</v>
      </c>
      <c r="AU33">
        <f t="shared" si="60"/>
        <v>31.548255134997717</v>
      </c>
      <c r="AV33">
        <f t="shared" si="60"/>
        <v>31.259509339087771</v>
      </c>
      <c r="AW33">
        <f t="shared" si="60"/>
        <v>30.970763543177824</v>
      </c>
      <c r="AX33">
        <f t="shared" si="60"/>
        <v>30.682017747267878</v>
      </c>
      <c r="AY33">
        <f t="shared" si="60"/>
        <v>30.393271951357931</v>
      </c>
      <c r="AZ33">
        <f t="shared" si="60"/>
        <v>30.104526155447985</v>
      </c>
      <c r="BA33">
        <f t="shared" si="60"/>
        <v>29.815780359538039</v>
      </c>
      <c r="BB33" s="790">
        <f>'AEO Data'!$B$33*AM33</f>
        <v>29.527034563628085</v>
      </c>
      <c r="BC33">
        <f t="shared" ref="BC33:BP33" si="61">($BQ33-$BB33)/15+BB33</f>
        <v>29.544237717052788</v>
      </c>
      <c r="BD33">
        <f t="shared" si="61"/>
        <v>29.56144087047749</v>
      </c>
      <c r="BE33">
        <f t="shared" si="61"/>
        <v>29.578644023902193</v>
      </c>
      <c r="BF33">
        <f t="shared" si="61"/>
        <v>29.595847177326895</v>
      </c>
      <c r="BG33">
        <f t="shared" si="61"/>
        <v>29.613050330751598</v>
      </c>
      <c r="BH33">
        <f t="shared" si="61"/>
        <v>29.630253484176301</v>
      </c>
      <c r="BI33">
        <f t="shared" si="61"/>
        <v>29.647456637601003</v>
      </c>
      <c r="BJ33">
        <f t="shared" si="61"/>
        <v>29.664659791025706</v>
      </c>
      <c r="BK33">
        <f t="shared" si="61"/>
        <v>29.681862944450408</v>
      </c>
      <c r="BL33">
        <f t="shared" si="61"/>
        <v>29.699066097875111</v>
      </c>
      <c r="BM33">
        <f t="shared" si="61"/>
        <v>29.716269251299813</v>
      </c>
      <c r="BN33">
        <f t="shared" si="61"/>
        <v>29.733472404724516</v>
      </c>
      <c r="BO33">
        <f t="shared" si="61"/>
        <v>29.750675558149219</v>
      </c>
      <c r="BP33">
        <f t="shared" si="61"/>
        <v>29.767878711573921</v>
      </c>
      <c r="BQ33" s="790">
        <f>'AEO Data'!$C$33*BB33</f>
        <v>29.78508186499861</v>
      </c>
      <c r="BR33">
        <f t="shared" ref="BR33:BU35" si="62">($BV33-$BQ33)/5+BQ33</f>
        <v>29.765026073611775</v>
      </c>
      <c r="BS33">
        <f t="shared" si="62"/>
        <v>29.744970282224941</v>
      </c>
      <c r="BT33">
        <f t="shared" si="62"/>
        <v>29.724914490838106</v>
      </c>
      <c r="BU33">
        <f t="shared" si="62"/>
        <v>29.704858699451272</v>
      </c>
      <c r="BV33" s="811">
        <f>'AEO Data'!$D$33*BQ33</f>
        <v>29.684802908064434</v>
      </c>
      <c r="BW33" s="1148">
        <f>+BV33*BW$139/BV$139</f>
        <v>29.671732577415259</v>
      </c>
      <c r="BX33" s="1148">
        <f t="shared" ref="BX33:CZ33" si="63">+BW33*BX$139/BW$139</f>
        <v>29.658668001681953</v>
      </c>
      <c r="BY33" s="1148">
        <f t="shared" si="63"/>
        <v>29.645609178330599</v>
      </c>
      <c r="BZ33" s="1148">
        <f t="shared" si="63"/>
        <v>29.632556104828407</v>
      </c>
      <c r="CA33" s="1148">
        <f t="shared" si="63"/>
        <v>29.619508778643699</v>
      </c>
      <c r="CB33" s="1148">
        <f t="shared" si="63"/>
        <v>29.595784014667533</v>
      </c>
      <c r="CC33" s="1148">
        <f t="shared" si="63"/>
        <v>29.572078253856809</v>
      </c>
      <c r="CD33" s="1148">
        <f t="shared" si="63"/>
        <v>29.54839148099029</v>
      </c>
      <c r="CE33" s="1148">
        <f t="shared" si="63"/>
        <v>29.524723680858934</v>
      </c>
      <c r="CF33" s="1148">
        <f t="shared" si="63"/>
        <v>29.501074838265872</v>
      </c>
      <c r="CG33" s="1148">
        <f t="shared" si="63"/>
        <v>29.468497232300709</v>
      </c>
      <c r="CH33" s="1148">
        <f t="shared" si="63"/>
        <v>29.435955601309892</v>
      </c>
      <c r="CI33" s="1148">
        <f t="shared" si="63"/>
        <v>29.403449905566777</v>
      </c>
      <c r="CJ33" s="1148">
        <f t="shared" si="63"/>
        <v>29.3709801053886</v>
      </c>
      <c r="CK33" s="1148">
        <f t="shared" si="63"/>
        <v>29.33854616113641</v>
      </c>
      <c r="CL33" s="1148">
        <f t="shared" si="63"/>
        <v>29.303185235347783</v>
      </c>
      <c r="CM33" s="1148">
        <f t="shared" si="63"/>
        <v>29.267866929089987</v>
      </c>
      <c r="CN33" s="1148">
        <f t="shared" si="63"/>
        <v>29.232591190994896</v>
      </c>
      <c r="CO33" s="1148">
        <f t="shared" si="63"/>
        <v>29.1973579697563</v>
      </c>
      <c r="CP33" s="1148">
        <f t="shared" si="63"/>
        <v>29.16216721412983</v>
      </c>
      <c r="CQ33" s="1148">
        <f t="shared" si="63"/>
        <v>29.121407129980525</v>
      </c>
      <c r="CR33" s="1148">
        <f t="shared" si="63"/>
        <v>29.080704016372799</v>
      </c>
      <c r="CS33" s="1148">
        <f t="shared" si="63"/>
        <v>29.040057793678688</v>
      </c>
      <c r="CT33" s="1148">
        <f t="shared" si="63"/>
        <v>28.999468382381522</v>
      </c>
      <c r="CU33" s="1148">
        <f t="shared" si="63"/>
        <v>28.95893570307577</v>
      </c>
      <c r="CV33" s="1148">
        <f t="shared" si="63"/>
        <v>28.919368591982021</v>
      </c>
      <c r="CW33" s="1148">
        <f t="shared" si="63"/>
        <v>28.879855542138877</v>
      </c>
      <c r="CX33" s="1148">
        <f t="shared" si="63"/>
        <v>28.840396479681488</v>
      </c>
      <c r="CY33" s="1148">
        <f t="shared" si="63"/>
        <v>28.800991330845925</v>
      </c>
      <c r="CZ33" s="1148">
        <f t="shared" si="63"/>
        <v>28.761640021969036</v>
      </c>
    </row>
    <row r="34" spans="1:104">
      <c r="A34" s="812" t="str">
        <f>'HyARC Physical Property Data'!A77</f>
        <v>Industrial Electricity</v>
      </c>
      <c r="B34">
        <v>2011</v>
      </c>
      <c r="C34" s="738">
        <f t="shared" si="41"/>
        <v>1.0771767810026385</v>
      </c>
      <c r="D34" s="1016" t="str">
        <f>'HyARC Physical Property Data'!$H$77</f>
        <v>kWh</v>
      </c>
      <c r="E34" s="738" t="s">
        <v>1068</v>
      </c>
      <c r="F34" s="738"/>
      <c r="G34" s="738"/>
      <c r="H34" s="852">
        <v>17.44160584363896</v>
      </c>
      <c r="I34" s="852">
        <v>17.44160584363896</v>
      </c>
      <c r="J34" s="852">
        <v>17.44160584363896</v>
      </c>
      <c r="K34" s="852">
        <v>17.651840860809763</v>
      </c>
      <c r="L34" s="852">
        <v>19.274322003549859</v>
      </c>
      <c r="M34" s="852">
        <v>18.160650967421709</v>
      </c>
      <c r="N34">
        <f t="shared" ref="N34:AR34" si="64">(N52/(mmBTU_to_GJ))*($C34)</f>
        <v>20.686330589978613</v>
      </c>
      <c r="O34">
        <f t="shared" si="64"/>
        <v>20.395642949142793</v>
      </c>
      <c r="P34">
        <f t="shared" si="64"/>
        <v>18.823552956770747</v>
      </c>
      <c r="Q34">
        <f t="shared" si="64"/>
        <v>18.524341835586291</v>
      </c>
      <c r="R34">
        <f t="shared" si="64"/>
        <v>18.425452923007665</v>
      </c>
      <c r="S34">
        <f t="shared" si="64"/>
        <v>18.26043454526129</v>
      </c>
      <c r="T34">
        <f t="shared" si="64"/>
        <v>18.754222591879351</v>
      </c>
      <c r="U34">
        <f t="shared" si="64"/>
        <v>19.028024593279895</v>
      </c>
      <c r="V34">
        <f t="shared" si="64"/>
        <v>19.177936970576098</v>
      </c>
      <c r="W34">
        <f t="shared" si="64"/>
        <v>19.120789424026807</v>
      </c>
      <c r="X34">
        <f t="shared" si="64"/>
        <v>19.113803600770296</v>
      </c>
      <c r="Y34">
        <f t="shared" si="64"/>
        <v>19.250773520364145</v>
      </c>
      <c r="Z34">
        <f t="shared" si="64"/>
        <v>19.360178945591421</v>
      </c>
      <c r="AA34">
        <f t="shared" si="64"/>
        <v>19.49113403256262</v>
      </c>
      <c r="AB34">
        <f t="shared" si="64"/>
        <v>19.561495628305966</v>
      </c>
      <c r="AC34">
        <f t="shared" si="64"/>
        <v>19.585178202178344</v>
      </c>
      <c r="AD34">
        <f t="shared" si="64"/>
        <v>19.679504173492226</v>
      </c>
      <c r="AE34">
        <f t="shared" si="64"/>
        <v>19.769484680938866</v>
      </c>
      <c r="AF34">
        <f t="shared" si="64"/>
        <v>19.876209926971701</v>
      </c>
      <c r="AG34">
        <f t="shared" si="64"/>
        <v>20.022596719978992</v>
      </c>
      <c r="AH34">
        <f t="shared" si="64"/>
        <v>20.141018778526679</v>
      </c>
      <c r="AI34">
        <f t="shared" si="64"/>
        <v>20.284500767797521</v>
      </c>
      <c r="AJ34">
        <f t="shared" si="64"/>
        <v>20.450430916980327</v>
      </c>
      <c r="AK34">
        <f t="shared" si="64"/>
        <v>20.629529169428153</v>
      </c>
      <c r="AL34">
        <f t="shared" si="64"/>
        <v>20.858104040315624</v>
      </c>
      <c r="AM34">
        <f t="shared" si="64"/>
        <v>21.232143722567496</v>
      </c>
      <c r="AN34">
        <f t="shared" si="64"/>
        <v>21.710953396316075</v>
      </c>
      <c r="AO34">
        <f t="shared" si="64"/>
        <v>22.126345435731348</v>
      </c>
      <c r="AP34">
        <f t="shared" si="64"/>
        <v>22.531327148645097</v>
      </c>
      <c r="AQ34">
        <f t="shared" si="64"/>
        <v>22.961372876364592</v>
      </c>
      <c r="AR34">
        <f t="shared" si="64"/>
        <v>23.222533621153197</v>
      </c>
      <c r="AS34">
        <f t="shared" ref="AS34:BA34" si="65">($BB34-$AR34)/10+AR34</f>
        <v>22.97056615223179</v>
      </c>
      <c r="AT34">
        <f t="shared" si="65"/>
        <v>22.718598683310383</v>
      </c>
      <c r="AU34">
        <f t="shared" si="65"/>
        <v>22.466631214388975</v>
      </c>
      <c r="AV34">
        <f t="shared" si="65"/>
        <v>22.214663745467568</v>
      </c>
      <c r="AW34">
        <f t="shared" si="65"/>
        <v>21.962696276546161</v>
      </c>
      <c r="AX34">
        <f t="shared" si="65"/>
        <v>21.710728807624754</v>
      </c>
      <c r="AY34">
        <f t="shared" si="65"/>
        <v>21.458761338703347</v>
      </c>
      <c r="AZ34">
        <f t="shared" si="65"/>
        <v>21.20679386978194</v>
      </c>
      <c r="BA34">
        <f t="shared" si="65"/>
        <v>20.954826400860533</v>
      </c>
      <c r="BB34" s="790">
        <f>'AEO Data'!$B$33*AM34</f>
        <v>20.702858931939144</v>
      </c>
      <c r="BC34">
        <f t="shared" ref="BC34:BP34" si="66">($BQ34-$BB34)/15+BB34</f>
        <v>20.714920910522487</v>
      </c>
      <c r="BD34">
        <f t="shared" si="66"/>
        <v>20.72698288910583</v>
      </c>
      <c r="BE34">
        <f t="shared" si="66"/>
        <v>20.739044867689174</v>
      </c>
      <c r="BF34">
        <f t="shared" si="66"/>
        <v>20.751106846272517</v>
      </c>
      <c r="BG34">
        <f t="shared" si="66"/>
        <v>20.76316882485586</v>
      </c>
      <c r="BH34">
        <f t="shared" si="66"/>
        <v>20.775230803439204</v>
      </c>
      <c r="BI34">
        <f t="shared" si="66"/>
        <v>20.787292782022547</v>
      </c>
      <c r="BJ34">
        <f t="shared" si="66"/>
        <v>20.79935476060589</v>
      </c>
      <c r="BK34">
        <f t="shared" si="66"/>
        <v>20.811416739189234</v>
      </c>
      <c r="BL34">
        <f t="shared" si="66"/>
        <v>20.823478717772577</v>
      </c>
      <c r="BM34">
        <f t="shared" si="66"/>
        <v>20.83554069635592</v>
      </c>
      <c r="BN34">
        <f t="shared" si="66"/>
        <v>20.847602674939264</v>
      </c>
      <c r="BO34">
        <f t="shared" si="66"/>
        <v>20.859664653522607</v>
      </c>
      <c r="BP34">
        <f t="shared" si="66"/>
        <v>20.87172663210595</v>
      </c>
      <c r="BQ34" s="790">
        <f>'AEO Data'!$C$33*BB34</f>
        <v>20.883788610689287</v>
      </c>
      <c r="BR34">
        <f t="shared" si="62"/>
        <v>20.869726507061667</v>
      </c>
      <c r="BS34">
        <f t="shared" si="62"/>
        <v>20.855664403434048</v>
      </c>
      <c r="BT34">
        <f t="shared" si="62"/>
        <v>20.841602299806429</v>
      </c>
      <c r="BU34">
        <f t="shared" si="62"/>
        <v>20.827540196178809</v>
      </c>
      <c r="BV34" s="811">
        <f>'AEO Data'!$D$33*BQ34</f>
        <v>20.813478092551186</v>
      </c>
      <c r="BW34" s="1148">
        <f>+BV34*BW$140/BV$140</f>
        <v>20.819767085860629</v>
      </c>
      <c r="BX34" s="1148">
        <f t="shared" ref="BX34:CZ34" si="67">+BW34*BX$140/BW$140</f>
        <v>20.826057979450106</v>
      </c>
      <c r="BY34" s="1148">
        <f t="shared" si="67"/>
        <v>20.832350773893804</v>
      </c>
      <c r="BZ34" s="1148">
        <f t="shared" si="67"/>
        <v>20.838645469766085</v>
      </c>
      <c r="CA34" s="1148">
        <f t="shared" si="67"/>
        <v>20.844942067641483</v>
      </c>
      <c r="CB34" s="1148">
        <f t="shared" si="67"/>
        <v>20.842584664877659</v>
      </c>
      <c r="CC34" s="1148">
        <f t="shared" si="67"/>
        <v>20.840227528717975</v>
      </c>
      <c r="CD34" s="1148">
        <f t="shared" si="67"/>
        <v>20.837870659132275</v>
      </c>
      <c r="CE34" s="1148">
        <f t="shared" si="67"/>
        <v>20.83551405609041</v>
      </c>
      <c r="CF34" s="1148">
        <f t="shared" si="67"/>
        <v>20.833157719562244</v>
      </c>
      <c r="CG34" s="1148">
        <f t="shared" si="67"/>
        <v>20.823707614808125</v>
      </c>
      <c r="CH34" s="1148">
        <f t="shared" si="67"/>
        <v>20.814261796705171</v>
      </c>
      <c r="CI34" s="1148">
        <f t="shared" si="67"/>
        <v>20.804820263308923</v>
      </c>
      <c r="CJ34" s="1148">
        <f t="shared" si="67"/>
        <v>20.795383012675799</v>
      </c>
      <c r="CK34" s="1148">
        <f t="shared" si="67"/>
        <v>20.785950042863099</v>
      </c>
      <c r="CL34" s="1148">
        <f t="shared" si="67"/>
        <v>20.77437772649537</v>
      </c>
      <c r="CM34" s="1148">
        <f t="shared" si="67"/>
        <v>20.762811852869294</v>
      </c>
      <c r="CN34" s="1148">
        <f t="shared" si="67"/>
        <v>20.751252418397954</v>
      </c>
      <c r="CO34" s="1148">
        <f t="shared" si="67"/>
        <v>20.739699419496432</v>
      </c>
      <c r="CP34" s="1148">
        <f t="shared" si="67"/>
        <v>20.728152852581804</v>
      </c>
      <c r="CQ34" s="1148">
        <f t="shared" si="67"/>
        <v>20.712333481367292</v>
      </c>
      <c r="CR34" s="1148">
        <f t="shared" si="67"/>
        <v>20.696526183225924</v>
      </c>
      <c r="CS34" s="1148">
        <f t="shared" si="67"/>
        <v>20.680730948943744</v>
      </c>
      <c r="CT34" s="1148">
        <f t="shared" si="67"/>
        <v>20.664947769313819</v>
      </c>
      <c r="CU34" s="1148">
        <f t="shared" si="67"/>
        <v>20.649176635136243</v>
      </c>
      <c r="CV34" s="1148">
        <f t="shared" si="67"/>
        <v>20.634348778597502</v>
      </c>
      <c r="CW34" s="1148">
        <f t="shared" si="67"/>
        <v>20.619531569714763</v>
      </c>
      <c r="CX34" s="1148">
        <f t="shared" si="67"/>
        <v>20.604725000842109</v>
      </c>
      <c r="CY34" s="1148">
        <f t="shared" si="67"/>
        <v>20.58992906433911</v>
      </c>
      <c r="CZ34" s="1148">
        <f t="shared" si="67"/>
        <v>20.575143752570824</v>
      </c>
    </row>
    <row r="35" spans="1:104" ht="14" thickBot="1">
      <c r="A35" s="815" t="str">
        <f>'HyARC Physical Property Data'!A78</f>
        <v>Residential Electricity</v>
      </c>
      <c r="B35" s="492">
        <v>2011</v>
      </c>
      <c r="C35" s="743">
        <f t="shared" si="41"/>
        <v>1.0771767810026385</v>
      </c>
      <c r="D35" s="1017" t="str">
        <f>'HyARC Physical Property Data'!$H$78</f>
        <v>kWh</v>
      </c>
      <c r="E35" s="743" t="s">
        <v>1068</v>
      </c>
      <c r="F35" s="492"/>
      <c r="G35" s="492"/>
      <c r="H35" s="854">
        <v>29.579885763014694</v>
      </c>
      <c r="I35" s="854">
        <v>29.579885763014694</v>
      </c>
      <c r="J35" s="854">
        <v>29.579885763014694</v>
      </c>
      <c r="K35" s="854">
        <v>29.556357578078675</v>
      </c>
      <c r="L35" s="854">
        <v>30.116416605727963</v>
      </c>
      <c r="M35" s="854">
        <v>29.134443020933652</v>
      </c>
      <c r="N35" s="492">
        <f t="shared" ref="N35:AR35" si="68">(N53/(mmBTU_to_GJ))*($C35)</f>
        <v>35.248515023946787</v>
      </c>
      <c r="O35" s="492">
        <f t="shared" si="68"/>
        <v>35.057638277332465</v>
      </c>
      <c r="P35" s="492">
        <f t="shared" si="68"/>
        <v>33.966003843989547</v>
      </c>
      <c r="Q35" s="492">
        <f t="shared" si="68"/>
        <v>33.233617566807133</v>
      </c>
      <c r="R35" s="492">
        <f t="shared" si="68"/>
        <v>33.701326704097838</v>
      </c>
      <c r="S35" s="492">
        <f t="shared" si="68"/>
        <v>33.757355212019654</v>
      </c>
      <c r="T35" s="492">
        <f t="shared" si="68"/>
        <v>34.284141624879645</v>
      </c>
      <c r="U35" s="492">
        <f t="shared" si="68"/>
        <v>34.53730982005527</v>
      </c>
      <c r="V35" s="492">
        <f t="shared" si="68"/>
        <v>34.545858825920035</v>
      </c>
      <c r="W35" s="492">
        <f t="shared" si="68"/>
        <v>34.349778958096259</v>
      </c>
      <c r="X35" s="492">
        <f t="shared" si="68"/>
        <v>34.322062331653513</v>
      </c>
      <c r="Y35" s="492">
        <f t="shared" si="68"/>
        <v>34.366342976028214</v>
      </c>
      <c r="Z35" s="492">
        <f t="shared" si="68"/>
        <v>34.399461822706293</v>
      </c>
      <c r="AA35" s="492">
        <f t="shared" si="68"/>
        <v>34.411956052345289</v>
      </c>
      <c r="AB35" s="492">
        <f t="shared" si="68"/>
        <v>34.551308013105078</v>
      </c>
      <c r="AC35" s="492">
        <f t="shared" si="68"/>
        <v>34.673225025322317</v>
      </c>
      <c r="AD35" s="492">
        <f t="shared" si="68"/>
        <v>34.843428145906536</v>
      </c>
      <c r="AE35" s="492">
        <f t="shared" si="68"/>
        <v>34.985992237617076</v>
      </c>
      <c r="AF35" s="492">
        <f t="shared" si="68"/>
        <v>35.137048158036244</v>
      </c>
      <c r="AG35" s="492">
        <f t="shared" si="68"/>
        <v>35.236409803173729</v>
      </c>
      <c r="AH35" s="492">
        <f t="shared" si="68"/>
        <v>35.28809897335217</v>
      </c>
      <c r="AI35" s="492">
        <f t="shared" si="68"/>
        <v>35.415531539096392</v>
      </c>
      <c r="AJ35" s="492">
        <f t="shared" si="68"/>
        <v>35.539081163325783</v>
      </c>
      <c r="AK35" s="492">
        <f t="shared" si="68"/>
        <v>35.65784015868649</v>
      </c>
      <c r="AL35" s="492">
        <f t="shared" si="68"/>
        <v>35.819984363315783</v>
      </c>
      <c r="AM35" s="492">
        <f t="shared" si="68"/>
        <v>36.165866338206058</v>
      </c>
      <c r="AN35" s="492">
        <f t="shared" si="68"/>
        <v>36.58927134764722</v>
      </c>
      <c r="AO35" s="492">
        <f t="shared" si="68"/>
        <v>36.936418367117263</v>
      </c>
      <c r="AP35" s="492">
        <f t="shared" si="68"/>
        <v>37.270112418562192</v>
      </c>
      <c r="AQ35" s="492">
        <f t="shared" si="68"/>
        <v>37.681875750603361</v>
      </c>
      <c r="AR35" s="492">
        <f t="shared" si="68"/>
        <v>37.878431414047952</v>
      </c>
      <c r="AS35" s="492">
        <f t="shared" ref="AS35:BA35" si="69">($BB35-$AR35)/10+AR35</f>
        <v>37.617018946505915</v>
      </c>
      <c r="AT35" s="492">
        <f t="shared" si="69"/>
        <v>37.355606478963878</v>
      </c>
      <c r="AU35" s="492">
        <f t="shared" si="69"/>
        <v>37.094194011421841</v>
      </c>
      <c r="AV35" s="492">
        <f t="shared" si="69"/>
        <v>36.832781543879804</v>
      </c>
      <c r="AW35" s="492">
        <f t="shared" si="69"/>
        <v>36.571369076337767</v>
      </c>
      <c r="AX35" s="492">
        <f t="shared" si="69"/>
        <v>36.30995660879573</v>
      </c>
      <c r="AY35" s="492">
        <f t="shared" si="69"/>
        <v>36.048544141253693</v>
      </c>
      <c r="AZ35" s="492">
        <f t="shared" si="69"/>
        <v>35.787131673711656</v>
      </c>
      <c r="BA35" s="492">
        <f t="shared" si="69"/>
        <v>35.525719206169619</v>
      </c>
      <c r="BB35" s="816">
        <f>'AEO Data'!$B$33*AM35</f>
        <v>35.264306738627596</v>
      </c>
      <c r="BC35" s="492">
        <f t="shared" ref="BC35:BP35" si="70">($BQ35-$BB35)/15+BB35</f>
        <v>35.284852563435471</v>
      </c>
      <c r="BD35" s="492">
        <f t="shared" si="70"/>
        <v>35.305398388243347</v>
      </c>
      <c r="BE35" s="492">
        <f t="shared" si="70"/>
        <v>35.325944213051223</v>
      </c>
      <c r="BF35" s="492">
        <f t="shared" si="70"/>
        <v>35.346490037859098</v>
      </c>
      <c r="BG35" s="492">
        <f t="shared" si="70"/>
        <v>35.367035862666974</v>
      </c>
      <c r="BH35" s="492">
        <f t="shared" si="70"/>
        <v>35.387581687474849</v>
      </c>
      <c r="BI35" s="492">
        <f t="shared" si="70"/>
        <v>35.408127512282725</v>
      </c>
      <c r="BJ35" s="492">
        <f t="shared" si="70"/>
        <v>35.428673337090601</v>
      </c>
      <c r="BK35" s="492">
        <f t="shared" si="70"/>
        <v>35.449219161898476</v>
      </c>
      <c r="BL35" s="492">
        <f t="shared" si="70"/>
        <v>35.469764986706352</v>
      </c>
      <c r="BM35" s="492">
        <f t="shared" si="70"/>
        <v>35.490310811514227</v>
      </c>
      <c r="BN35" s="492">
        <f t="shared" si="70"/>
        <v>35.510856636322103</v>
      </c>
      <c r="BO35" s="492">
        <f t="shared" si="70"/>
        <v>35.531402461129979</v>
      </c>
      <c r="BP35" s="492">
        <f t="shared" si="70"/>
        <v>35.551948285937854</v>
      </c>
      <c r="BQ35" s="816">
        <f>'AEO Data'!$C$33*BB35</f>
        <v>35.572494110745708</v>
      </c>
      <c r="BR35" s="492">
        <f t="shared" si="62"/>
        <v>35.548541364057677</v>
      </c>
      <c r="BS35" s="492">
        <f t="shared" si="62"/>
        <v>35.524588617369645</v>
      </c>
      <c r="BT35" s="492">
        <f t="shared" si="62"/>
        <v>35.500635870681613</v>
      </c>
      <c r="BU35" s="492">
        <f t="shared" si="62"/>
        <v>35.476683123993581</v>
      </c>
      <c r="BV35" s="817">
        <f>'AEO Data'!$D$33*BQ35</f>
        <v>35.452730377305556</v>
      </c>
      <c r="BW35" s="1148">
        <f>+BV35*BW$141/BV$141</f>
        <v>35.437120406443277</v>
      </c>
      <c r="BX35" s="1148">
        <f t="shared" ref="BX35:CZ35" si="71">+BW35*BX$141/BW$141</f>
        <v>35.42151730871003</v>
      </c>
      <c r="BY35" s="1148">
        <f t="shared" si="71"/>
        <v>35.405921081079541</v>
      </c>
      <c r="BZ35" s="1148">
        <f t="shared" si="71"/>
        <v>35.390331720526888</v>
      </c>
      <c r="CA35" s="1148">
        <f t="shared" si="71"/>
        <v>35.37474922402847</v>
      </c>
      <c r="CB35" s="1148">
        <f t="shared" si="71"/>
        <v>35.346414602332743</v>
      </c>
      <c r="CC35" s="1148">
        <f t="shared" si="71"/>
        <v>35.318102676226502</v>
      </c>
      <c r="CD35" s="1148">
        <f t="shared" si="71"/>
        <v>35.289813427530937</v>
      </c>
      <c r="CE35" s="1148">
        <f t="shared" si="71"/>
        <v>35.261546838081799</v>
      </c>
      <c r="CF35" s="1148">
        <f t="shared" si="71"/>
        <v>35.23330288972938</v>
      </c>
      <c r="CG35" s="1148">
        <f t="shared" si="71"/>
        <v>35.194395268068625</v>
      </c>
      <c r="CH35" s="1148">
        <f t="shared" si="71"/>
        <v>35.155530611526075</v>
      </c>
      <c r="CI35" s="1148">
        <f t="shared" si="71"/>
        <v>35.11670887265597</v>
      </c>
      <c r="CJ35" s="1148">
        <f t="shared" si="71"/>
        <v>35.077930004064953</v>
      </c>
      <c r="CK35" s="1148">
        <f t="shared" si="71"/>
        <v>35.039193958412007</v>
      </c>
      <c r="CL35" s="1148">
        <f t="shared" si="71"/>
        <v>34.996962201921704</v>
      </c>
      <c r="CM35" s="1148">
        <f t="shared" si="71"/>
        <v>34.954781346181527</v>
      </c>
      <c r="CN35" s="1148">
        <f t="shared" si="71"/>
        <v>34.912651329842227</v>
      </c>
      <c r="CO35" s="1148">
        <f t="shared" si="71"/>
        <v>34.870572091628503</v>
      </c>
      <c r="CP35" s="1148">
        <f t="shared" si="71"/>
        <v>34.828543570338908</v>
      </c>
      <c r="CQ35" s="1148">
        <f t="shared" si="71"/>
        <v>34.779863568050295</v>
      </c>
      <c r="CR35" s="1148">
        <f t="shared" si="71"/>
        <v>34.731251606006261</v>
      </c>
      <c r="CS35" s="1148">
        <f t="shared" si="71"/>
        <v>34.682707589106663</v>
      </c>
      <c r="CT35" s="1148">
        <f t="shared" si="71"/>
        <v>34.634231422384289</v>
      </c>
      <c r="CU35" s="1148">
        <f t="shared" si="71"/>
        <v>34.585823011004663</v>
      </c>
      <c r="CV35" s="1148">
        <f t="shared" si="71"/>
        <v>34.538567783278886</v>
      </c>
      <c r="CW35" s="1148">
        <f t="shared" si="71"/>
        <v>34.491377121214782</v>
      </c>
      <c r="CX35" s="1148">
        <f t="shared" si="71"/>
        <v>34.444250936595139</v>
      </c>
      <c r="CY35" s="1148">
        <f t="shared" si="71"/>
        <v>34.397189141323274</v>
      </c>
      <c r="CZ35" s="1148">
        <f t="shared" si="71"/>
        <v>34.350191647422875</v>
      </c>
    </row>
    <row r="36" spans="1:104" ht="14" thickTop="1">
      <c r="A36" s="740"/>
      <c r="C36" s="738"/>
      <c r="D36" s="1018"/>
      <c r="E36" s="738"/>
    </row>
    <row r="37" spans="1:104">
      <c r="A37" s="740"/>
      <c r="C37" s="738"/>
      <c r="D37" s="1019"/>
      <c r="E37" s="738"/>
    </row>
    <row r="38" spans="1:104" ht="14" thickBot="1">
      <c r="A38" s="40"/>
      <c r="C38" s="738"/>
      <c r="D38" s="1019"/>
      <c r="E38" s="738"/>
    </row>
    <row r="39" spans="1:104" s="838" customFormat="1">
      <c r="A39" s="834" t="s">
        <v>1104</v>
      </c>
      <c r="B39" s="835"/>
      <c r="C39" s="836"/>
      <c r="D39" s="1020"/>
      <c r="E39" s="836"/>
      <c r="F39" s="835"/>
      <c r="G39" s="835"/>
      <c r="H39" s="835"/>
      <c r="I39" s="835"/>
      <c r="J39" s="835"/>
      <c r="K39" s="835"/>
      <c r="L39" s="835"/>
      <c r="M39" s="835"/>
      <c r="N39" s="835"/>
      <c r="O39" s="835"/>
      <c r="P39" s="835"/>
      <c r="Q39" s="835"/>
      <c r="R39" s="835"/>
      <c r="S39" s="835"/>
      <c r="T39" s="835"/>
      <c r="U39" s="835"/>
      <c r="V39" s="835"/>
      <c r="W39" s="835"/>
      <c r="X39" s="835"/>
      <c r="Y39" s="835"/>
      <c r="Z39" s="835"/>
      <c r="AA39" s="835"/>
      <c r="AB39" s="835"/>
      <c r="AC39" s="835"/>
      <c r="AD39" s="835"/>
      <c r="AE39" s="835"/>
      <c r="AF39" s="835"/>
      <c r="AG39" s="835"/>
      <c r="AH39" s="835"/>
      <c r="AI39" s="835"/>
      <c r="AJ39" s="835"/>
      <c r="AK39" s="835"/>
      <c r="AL39" s="835"/>
      <c r="AM39" s="835"/>
      <c r="AN39" s="835"/>
      <c r="AO39" s="835"/>
      <c r="AP39" s="835"/>
      <c r="AQ39" s="835"/>
      <c r="AR39" s="835"/>
      <c r="AS39" s="835"/>
      <c r="AT39" s="835"/>
      <c r="AU39" s="835"/>
      <c r="AV39" s="835"/>
      <c r="AW39" s="835"/>
      <c r="AX39" s="835"/>
      <c r="AY39" s="835"/>
      <c r="AZ39" s="835"/>
      <c r="BA39" s="835"/>
      <c r="BB39" s="835"/>
      <c r="BC39" s="835"/>
      <c r="BD39" s="835"/>
      <c r="BE39" s="835"/>
      <c r="BF39" s="835"/>
      <c r="BG39" s="835"/>
      <c r="BH39" s="835"/>
      <c r="BI39" s="835"/>
      <c r="BJ39" s="835"/>
      <c r="BK39" s="835"/>
      <c r="BL39" s="835"/>
      <c r="BM39" s="835"/>
      <c r="BN39" s="835"/>
      <c r="BO39" s="835"/>
      <c r="BP39" s="835"/>
      <c r="BQ39" s="835"/>
      <c r="BR39" s="835"/>
      <c r="BS39" s="835"/>
      <c r="BT39" s="835"/>
      <c r="BU39" s="835"/>
      <c r="BV39" s="837"/>
    </row>
    <row r="40" spans="1:104" s="838" customFormat="1">
      <c r="A40" s="839" t="s">
        <v>1105</v>
      </c>
      <c r="C40" s="840"/>
      <c r="D40" s="1021"/>
      <c r="E40" s="840"/>
      <c r="BV40" s="841"/>
    </row>
    <row r="41" spans="1:104" s="838" customFormat="1">
      <c r="A41" s="842"/>
      <c r="C41" s="840"/>
      <c r="D41" s="1021"/>
      <c r="E41" s="840"/>
      <c r="BV41" s="841"/>
    </row>
    <row r="42" spans="1:104" s="838" customFormat="1">
      <c r="A42" s="842" t="s">
        <v>679</v>
      </c>
      <c r="C42" s="840"/>
      <c r="D42" s="1021"/>
      <c r="E42" s="840"/>
      <c r="N42" s="843">
        <v>11.359373</v>
      </c>
      <c r="O42" s="843">
        <v>10.802343</v>
      </c>
      <c r="P42" s="843">
        <v>10.464380999999999</v>
      </c>
      <c r="Q42" s="843">
        <v>10.477905</v>
      </c>
      <c r="R42" s="843">
        <v>10.253485</v>
      </c>
      <c r="S42" s="843">
        <v>10.156079999999999</v>
      </c>
      <c r="T42" s="843">
        <v>10.662777999999999</v>
      </c>
      <c r="U42" s="843">
        <v>10.990506</v>
      </c>
      <c r="V42" s="843">
        <v>11.397518</v>
      </c>
      <c r="W42" s="843">
        <v>11.624905</v>
      </c>
      <c r="X42" s="843">
        <v>11.776242999999999</v>
      </c>
      <c r="Y42" s="843">
        <v>11.960003</v>
      </c>
      <c r="Z42" s="843">
        <v>12.203179</v>
      </c>
      <c r="AA42" s="843">
        <v>12.432268000000001</v>
      </c>
      <c r="AB42" s="843">
        <v>12.584531</v>
      </c>
      <c r="AC42" s="843">
        <v>12.674325</v>
      </c>
      <c r="AD42" s="843">
        <v>12.841908</v>
      </c>
      <c r="AE42" s="843">
        <v>12.933384999999999</v>
      </c>
      <c r="AF42" s="843">
        <v>13.085578999999999</v>
      </c>
      <c r="AG42" s="843">
        <v>13.234385</v>
      </c>
      <c r="AH42" s="843">
        <v>13.368997999999999</v>
      </c>
      <c r="AI42" s="843">
        <v>13.547089</v>
      </c>
      <c r="AJ42" s="843">
        <v>13.721807</v>
      </c>
      <c r="AK42" s="843">
        <v>13.935895</v>
      </c>
      <c r="AL42" s="843">
        <v>14.248931000000001</v>
      </c>
      <c r="AM42" s="843">
        <v>14.598827</v>
      </c>
      <c r="AN42" s="843">
        <v>15.023702999999999</v>
      </c>
      <c r="AO42" s="843">
        <v>15.415895000000001</v>
      </c>
      <c r="AP42" s="843">
        <v>15.842275000000001</v>
      </c>
      <c r="AQ42" s="843">
        <v>16.055761</v>
      </c>
      <c r="AR42" s="843">
        <v>16.363073</v>
      </c>
      <c r="BV42" s="841"/>
    </row>
    <row r="43" spans="1:104" s="838" customFormat="1">
      <c r="A43" s="842" t="s">
        <v>1082</v>
      </c>
      <c r="C43" s="840"/>
      <c r="D43" s="1021"/>
      <c r="E43" s="840"/>
      <c r="N43" s="843">
        <v>9.3969749999999994</v>
      </c>
      <c r="O43" s="843">
        <v>8.8368610000000007</v>
      </c>
      <c r="P43" s="843">
        <v>8.0727960000000003</v>
      </c>
      <c r="Q43" s="843">
        <v>8.4627339999999993</v>
      </c>
      <c r="R43" s="843">
        <v>8.2352620000000005</v>
      </c>
      <c r="S43" s="843">
        <v>8.1043620000000001</v>
      </c>
      <c r="T43" s="843">
        <v>8.5610389999999992</v>
      </c>
      <c r="U43" s="843">
        <v>8.8247909999999994</v>
      </c>
      <c r="V43" s="843">
        <v>9.1722800000000007</v>
      </c>
      <c r="W43" s="843">
        <v>9.3508150000000008</v>
      </c>
      <c r="X43" s="843">
        <v>9.4680210000000002</v>
      </c>
      <c r="Y43" s="843">
        <v>9.6109419999999997</v>
      </c>
      <c r="Z43" s="843">
        <v>9.8191819999999996</v>
      </c>
      <c r="AA43" s="843">
        <v>10.011597999999999</v>
      </c>
      <c r="AB43" s="843">
        <v>10.133018</v>
      </c>
      <c r="AC43" s="843">
        <v>10.193654</v>
      </c>
      <c r="AD43" s="843">
        <v>10.33554</v>
      </c>
      <c r="AE43" s="843">
        <v>10.388019</v>
      </c>
      <c r="AF43" s="843">
        <v>10.500005</v>
      </c>
      <c r="AG43" s="843">
        <v>10.605323</v>
      </c>
      <c r="AH43" s="843">
        <v>10.697221000000001</v>
      </c>
      <c r="AI43" s="843">
        <v>10.832411</v>
      </c>
      <c r="AJ43" s="843">
        <v>10.954602</v>
      </c>
      <c r="AK43" s="843">
        <v>11.11848</v>
      </c>
      <c r="AL43" s="843">
        <v>11.383407</v>
      </c>
      <c r="AM43" s="843">
        <v>11.681657</v>
      </c>
      <c r="AN43" s="843">
        <v>12.061093</v>
      </c>
      <c r="AO43" s="843">
        <v>12.401303</v>
      </c>
      <c r="AP43" s="843">
        <v>12.781521</v>
      </c>
      <c r="AQ43" s="843">
        <v>12.948893999999999</v>
      </c>
      <c r="AR43" s="843">
        <v>13.212922000000001</v>
      </c>
      <c r="BV43" s="841"/>
    </row>
    <row r="44" spans="1:104" s="838" customFormat="1">
      <c r="A44" s="842" t="s">
        <v>283</v>
      </c>
      <c r="C44" s="840"/>
      <c r="D44" s="1021"/>
      <c r="E44" s="840"/>
      <c r="N44" s="843">
        <v>5.4839599999999997</v>
      </c>
      <c r="O44" s="843">
        <v>4.8898130000000002</v>
      </c>
      <c r="P44" s="843">
        <v>3.7596859999999999</v>
      </c>
      <c r="Q44" s="843">
        <v>4.3339879999999997</v>
      </c>
      <c r="R44" s="843">
        <v>4.3750520000000002</v>
      </c>
      <c r="S44" s="843">
        <v>4.4225349999999999</v>
      </c>
      <c r="T44" s="843">
        <v>4.8660360000000003</v>
      </c>
      <c r="U44" s="843">
        <v>5.0679410000000003</v>
      </c>
      <c r="V44" s="843">
        <v>5.3212570000000001</v>
      </c>
      <c r="W44" s="843">
        <v>5.4497980000000004</v>
      </c>
      <c r="X44" s="843">
        <v>5.5294119999999998</v>
      </c>
      <c r="Y44" s="843">
        <v>5.6406840000000003</v>
      </c>
      <c r="Z44" s="843">
        <v>5.8277749999999999</v>
      </c>
      <c r="AA44" s="843">
        <v>6.0107049999999997</v>
      </c>
      <c r="AB44" s="843">
        <v>6.1100089999999998</v>
      </c>
      <c r="AC44" s="843">
        <v>6.1511990000000001</v>
      </c>
      <c r="AD44" s="843">
        <v>6.2557600000000004</v>
      </c>
      <c r="AE44" s="843">
        <v>6.2949159999999997</v>
      </c>
      <c r="AF44" s="843">
        <v>6.396782</v>
      </c>
      <c r="AG44" s="843">
        <v>6.4862520000000004</v>
      </c>
      <c r="AH44" s="843">
        <v>6.561483</v>
      </c>
      <c r="AI44" s="843">
        <v>6.6766310000000004</v>
      </c>
      <c r="AJ44" s="843">
        <v>6.771134</v>
      </c>
      <c r="AK44" s="843">
        <v>6.9159920000000001</v>
      </c>
      <c r="AL44" s="843">
        <v>7.1687539999999998</v>
      </c>
      <c r="AM44" s="843">
        <v>7.4454149999999997</v>
      </c>
      <c r="AN44" s="843">
        <v>7.813205</v>
      </c>
      <c r="AO44" s="843">
        <v>8.1536600000000004</v>
      </c>
      <c r="AP44" s="843">
        <v>8.4989190000000008</v>
      </c>
      <c r="AQ44" s="843">
        <v>8.6393810000000002</v>
      </c>
      <c r="AR44" s="843">
        <v>8.8810929999999999</v>
      </c>
      <c r="BV44" s="841"/>
    </row>
    <row r="45" spans="1:104" s="838" customFormat="1">
      <c r="A45" s="842" t="str">
        <f>'HyARC Physical Property Data'!$A$74</f>
        <v>Electric Utility Natural Gas</v>
      </c>
      <c r="C45" s="840"/>
      <c r="D45" s="1021"/>
      <c r="E45" s="840"/>
      <c r="N45" s="843">
        <v>5.258165</v>
      </c>
      <c r="O45" s="843">
        <v>4.7747140000000003</v>
      </c>
      <c r="P45" s="843">
        <v>3.3217560000000002</v>
      </c>
      <c r="Q45" s="843">
        <v>3.7155300000000002</v>
      </c>
      <c r="R45" s="843">
        <v>3.758219</v>
      </c>
      <c r="S45" s="843">
        <v>3.8420709999999998</v>
      </c>
      <c r="T45" s="843">
        <v>4.2826180000000003</v>
      </c>
      <c r="U45" s="843">
        <v>4.4486730000000003</v>
      </c>
      <c r="V45" s="843">
        <v>4.7026110000000001</v>
      </c>
      <c r="W45" s="843">
        <v>4.8222319999999996</v>
      </c>
      <c r="X45" s="843">
        <v>4.8967590000000003</v>
      </c>
      <c r="Y45" s="843">
        <v>5.0074189999999996</v>
      </c>
      <c r="Z45" s="843">
        <v>5.20235</v>
      </c>
      <c r="AA45" s="843">
        <v>5.388776</v>
      </c>
      <c r="AB45" s="843">
        <v>5.5179349999999996</v>
      </c>
      <c r="AC45" s="843">
        <v>5.5779610000000002</v>
      </c>
      <c r="AD45" s="843">
        <v>5.7088080000000003</v>
      </c>
      <c r="AE45" s="843">
        <v>5.7607720000000002</v>
      </c>
      <c r="AF45" s="843">
        <v>5.8668440000000004</v>
      </c>
      <c r="AG45" s="843">
        <v>5.9650189999999998</v>
      </c>
      <c r="AH45" s="843">
        <v>6.0528500000000003</v>
      </c>
      <c r="AI45" s="843">
        <v>6.1836820000000001</v>
      </c>
      <c r="AJ45" s="843">
        <v>6.2931780000000002</v>
      </c>
      <c r="AK45" s="843">
        <v>6.4458729999999997</v>
      </c>
      <c r="AL45" s="843">
        <v>6.6983480000000002</v>
      </c>
      <c r="AM45" s="843">
        <v>6.9804459999999997</v>
      </c>
      <c r="AN45" s="843">
        <v>7.345173</v>
      </c>
      <c r="AO45" s="843">
        <v>7.6749489999999998</v>
      </c>
      <c r="AP45" s="843">
        <v>8.0219799999999992</v>
      </c>
      <c r="AQ45" s="843">
        <v>8.1549879999999995</v>
      </c>
      <c r="AR45" s="843">
        <v>8.3777830000000009</v>
      </c>
      <c r="BV45" s="841"/>
    </row>
    <row r="46" spans="1:104" s="838" customFormat="1">
      <c r="A46" s="842" t="str">
        <f>'HyARC Physical Property Data'!$A$85</f>
        <v>Woody Biomass</v>
      </c>
      <c r="C46" s="840"/>
      <c r="D46" s="1021"/>
      <c r="E46" s="840"/>
      <c r="N46" s="843"/>
      <c r="O46" s="843"/>
      <c r="P46" s="843"/>
      <c r="Q46" s="843"/>
      <c r="R46" s="843"/>
      <c r="S46" s="843"/>
      <c r="T46" s="843"/>
      <c r="U46" s="843"/>
      <c r="V46" s="843"/>
      <c r="W46" s="843"/>
      <c r="X46" s="843"/>
      <c r="Y46" s="843"/>
      <c r="Z46" s="843"/>
      <c r="AA46" s="843"/>
      <c r="AB46" s="843"/>
      <c r="AC46" s="843"/>
      <c r="AD46" s="843"/>
      <c r="AE46" s="843"/>
      <c r="AF46" s="843"/>
      <c r="AG46" s="843"/>
      <c r="AH46" s="843"/>
      <c r="AI46" s="843"/>
      <c r="AJ46" s="843"/>
      <c r="AK46" s="843"/>
      <c r="AL46" s="843"/>
      <c r="AM46" s="843"/>
      <c r="AN46" s="843"/>
      <c r="AO46" s="843"/>
      <c r="AP46" s="843"/>
      <c r="AQ46" s="843"/>
      <c r="AR46" s="843"/>
      <c r="BV46" s="841"/>
    </row>
    <row r="47" spans="1:104" s="838" customFormat="1">
      <c r="A47" s="842" t="s">
        <v>1106</v>
      </c>
      <c r="C47" s="840"/>
      <c r="D47" s="1021"/>
      <c r="E47" s="840"/>
      <c r="N47" s="843">
        <v>13.6</v>
      </c>
      <c r="O47" s="843">
        <v>13.6</v>
      </c>
      <c r="P47" s="843">
        <v>13.6</v>
      </c>
      <c r="Q47" s="843">
        <v>13.6</v>
      </c>
      <c r="R47" s="843">
        <v>13.6</v>
      </c>
      <c r="S47" s="843">
        <v>13.6</v>
      </c>
      <c r="T47" s="843">
        <v>13.6</v>
      </c>
      <c r="U47" s="843">
        <v>14.11</v>
      </c>
      <c r="V47" s="843">
        <v>14.11</v>
      </c>
      <c r="W47" s="843">
        <v>14.11</v>
      </c>
      <c r="X47" s="843">
        <v>14.11</v>
      </c>
      <c r="Y47" s="843">
        <v>14.11</v>
      </c>
      <c r="Z47" s="843">
        <v>14.11</v>
      </c>
      <c r="AA47" s="843">
        <v>14.11</v>
      </c>
      <c r="AB47" s="843">
        <v>14.11</v>
      </c>
      <c r="AC47" s="843">
        <v>14.11</v>
      </c>
      <c r="AD47" s="843">
        <v>14.11</v>
      </c>
      <c r="AE47" s="843">
        <v>14.11</v>
      </c>
      <c r="AF47" s="843">
        <v>14.11</v>
      </c>
      <c r="AG47" s="843">
        <v>14.11</v>
      </c>
      <c r="AH47" s="843">
        <v>14.11</v>
      </c>
      <c r="AI47" s="843">
        <v>14.11</v>
      </c>
      <c r="AJ47" s="843">
        <v>14.11</v>
      </c>
      <c r="AK47" s="843">
        <v>14.11</v>
      </c>
      <c r="AL47" s="843">
        <v>14.11</v>
      </c>
      <c r="AM47" s="843">
        <v>14.11</v>
      </c>
      <c r="AN47" s="843">
        <v>14.11</v>
      </c>
      <c r="AO47" s="843">
        <v>14.11</v>
      </c>
      <c r="AP47" s="843">
        <v>14.11</v>
      </c>
      <c r="AQ47" s="843">
        <v>14.11</v>
      </c>
      <c r="AR47" s="843">
        <v>14.11</v>
      </c>
      <c r="AS47" s="843">
        <v>14.11</v>
      </c>
      <c r="AT47" s="843">
        <v>14.11</v>
      </c>
      <c r="AU47" s="843">
        <v>14.11</v>
      </c>
      <c r="AV47" s="843">
        <v>14.11</v>
      </c>
      <c r="AW47" s="843">
        <v>14.11</v>
      </c>
      <c r="AX47" s="843">
        <v>14.11</v>
      </c>
      <c r="AY47" s="843">
        <v>14.11</v>
      </c>
      <c r="AZ47" s="843">
        <v>14.11</v>
      </c>
      <c r="BA47" s="843">
        <v>14.11</v>
      </c>
      <c r="BB47" s="843">
        <v>14.11</v>
      </c>
      <c r="BC47" s="843">
        <v>14.11</v>
      </c>
      <c r="BD47" s="843">
        <v>14.11</v>
      </c>
      <c r="BE47" s="843">
        <v>14.11</v>
      </c>
      <c r="BF47" s="843">
        <v>14.11</v>
      </c>
      <c r="BG47" s="843">
        <v>14.11</v>
      </c>
      <c r="BH47" s="843">
        <v>14.11</v>
      </c>
      <c r="BI47" s="843">
        <v>14.11</v>
      </c>
      <c r="BJ47" s="843">
        <v>14.11</v>
      </c>
      <c r="BK47" s="843">
        <v>14.11</v>
      </c>
      <c r="BL47" s="843">
        <v>14.11</v>
      </c>
      <c r="BM47" s="843">
        <v>14.11</v>
      </c>
      <c r="BN47" s="843">
        <v>14.11</v>
      </c>
      <c r="BO47" s="843">
        <v>14.11</v>
      </c>
      <c r="BP47" s="843">
        <v>14.11</v>
      </c>
      <c r="BQ47" s="843">
        <v>14.11</v>
      </c>
      <c r="BR47" s="843">
        <v>14.11</v>
      </c>
      <c r="BS47" s="843">
        <v>14.11</v>
      </c>
      <c r="BT47" s="843">
        <v>14.11</v>
      </c>
      <c r="BU47" s="843">
        <v>14.11</v>
      </c>
      <c r="BV47" s="844">
        <v>14.11</v>
      </c>
    </row>
    <row r="48" spans="1:104" s="838" customFormat="1">
      <c r="A48" s="842" t="s">
        <v>311</v>
      </c>
      <c r="C48" s="840"/>
      <c r="D48" s="1021"/>
      <c r="E48" s="840"/>
      <c r="N48" s="843">
        <v>23.6</v>
      </c>
      <c r="O48" s="843">
        <v>23.6</v>
      </c>
      <c r="P48" s="843">
        <v>23.6</v>
      </c>
      <c r="Q48" s="843">
        <v>23.6</v>
      </c>
      <c r="R48" s="843">
        <v>23.6</v>
      </c>
      <c r="S48" s="843">
        <v>23.6</v>
      </c>
      <c r="T48" s="843">
        <v>23.6</v>
      </c>
      <c r="U48" s="843">
        <v>23.6</v>
      </c>
      <c r="V48" s="843">
        <v>23.6</v>
      </c>
      <c r="W48" s="843">
        <v>23.6</v>
      </c>
      <c r="X48" s="843">
        <v>23.6</v>
      </c>
      <c r="Y48" s="843">
        <v>23.6</v>
      </c>
      <c r="Z48" s="843">
        <v>23.6</v>
      </c>
      <c r="AA48" s="843">
        <v>23.6</v>
      </c>
      <c r="AB48" s="843">
        <v>23.6</v>
      </c>
      <c r="AC48" s="843">
        <v>23.6</v>
      </c>
      <c r="AD48" s="843">
        <v>23.6</v>
      </c>
      <c r="AE48" s="843">
        <v>23.6</v>
      </c>
      <c r="AF48" s="843">
        <v>23.6</v>
      </c>
      <c r="AG48" s="843">
        <v>23.6</v>
      </c>
      <c r="AH48" s="843">
        <v>23.6</v>
      </c>
      <c r="AI48" s="843">
        <v>23.6</v>
      </c>
      <c r="AJ48" s="843">
        <v>23.6</v>
      </c>
      <c r="AK48" s="843">
        <v>23.6</v>
      </c>
      <c r="AL48" s="843">
        <v>23.6</v>
      </c>
      <c r="AM48" s="843">
        <v>23.6</v>
      </c>
      <c r="AN48" s="843">
        <v>23.6</v>
      </c>
      <c r="AO48" s="843">
        <v>23.6</v>
      </c>
      <c r="AP48" s="843">
        <v>23.6</v>
      </c>
      <c r="AQ48" s="843">
        <v>23.6</v>
      </c>
      <c r="AR48" s="843">
        <v>23.6</v>
      </c>
      <c r="AS48" s="843">
        <v>23.6</v>
      </c>
      <c r="AT48" s="843">
        <v>23.6</v>
      </c>
      <c r="AU48" s="843">
        <v>23.6</v>
      </c>
      <c r="AV48" s="843">
        <v>23.6</v>
      </c>
      <c r="AW48" s="843">
        <v>23.6</v>
      </c>
      <c r="AX48" s="843">
        <v>23.6</v>
      </c>
      <c r="AY48" s="843">
        <v>23.6</v>
      </c>
      <c r="AZ48" s="843">
        <v>23.6</v>
      </c>
      <c r="BA48" s="843">
        <v>23.6</v>
      </c>
      <c r="BB48" s="843">
        <v>23.6</v>
      </c>
      <c r="BC48" s="843">
        <v>23.6</v>
      </c>
      <c r="BD48" s="843">
        <v>23.6</v>
      </c>
      <c r="BE48" s="843">
        <v>23.6</v>
      </c>
      <c r="BF48" s="843">
        <v>23.6</v>
      </c>
      <c r="BG48" s="843">
        <v>23.6</v>
      </c>
      <c r="BH48" s="843">
        <v>23.6</v>
      </c>
      <c r="BI48" s="843">
        <v>23.6</v>
      </c>
      <c r="BJ48" s="843">
        <v>23.6</v>
      </c>
      <c r="BK48" s="843">
        <v>23.6</v>
      </c>
      <c r="BL48" s="843">
        <v>23.6</v>
      </c>
      <c r="BM48" s="843">
        <v>23.6</v>
      </c>
      <c r="BN48" s="843">
        <v>23.6</v>
      </c>
      <c r="BO48" s="843">
        <v>23.6</v>
      </c>
      <c r="BP48" s="843">
        <v>23.6</v>
      </c>
      <c r="BQ48" s="843">
        <v>23.6</v>
      </c>
      <c r="BR48" s="843">
        <v>23.6</v>
      </c>
      <c r="BS48" s="843">
        <v>23.6</v>
      </c>
      <c r="BT48" s="843">
        <v>23.6</v>
      </c>
      <c r="BU48" s="843">
        <v>23.6</v>
      </c>
      <c r="BV48" s="844">
        <v>23.6</v>
      </c>
    </row>
    <row r="49" spans="1:104" s="838" customFormat="1">
      <c r="A49" s="842" t="s">
        <v>1107</v>
      </c>
      <c r="C49" s="840"/>
      <c r="D49" s="1021"/>
      <c r="E49" s="840"/>
      <c r="N49" s="843">
        <v>25.561684</v>
      </c>
      <c r="O49" s="843">
        <v>25.303816000000001</v>
      </c>
      <c r="P49" s="843">
        <v>33.642014000000003</v>
      </c>
      <c r="Q49" s="843">
        <v>31.120284999999999</v>
      </c>
      <c r="R49" s="843">
        <v>24.805427999999999</v>
      </c>
      <c r="S49" s="843">
        <v>24.941547</v>
      </c>
      <c r="T49" s="843">
        <v>24.510408000000002</v>
      </c>
      <c r="U49" s="843">
        <v>24.773121</v>
      </c>
      <c r="V49" s="843">
        <v>25.840997999999999</v>
      </c>
      <c r="W49" s="843">
        <v>26.808551999999999</v>
      </c>
      <c r="X49" s="843">
        <v>29.644617</v>
      </c>
      <c r="Y49" s="843">
        <v>29.383793000000001</v>
      </c>
      <c r="Z49" s="843">
        <v>28.224442</v>
      </c>
      <c r="AA49" s="843">
        <v>28.253482999999999</v>
      </c>
      <c r="AB49" s="843">
        <v>27.145426</v>
      </c>
      <c r="AC49" s="843">
        <v>27.272445999999999</v>
      </c>
      <c r="AD49" s="843">
        <v>27.519344</v>
      </c>
      <c r="AE49" s="843">
        <v>26.363682000000001</v>
      </c>
      <c r="AF49" s="843">
        <v>26.241467</v>
      </c>
      <c r="AG49" s="843">
        <v>26.599018000000001</v>
      </c>
      <c r="AH49" s="843">
        <v>26.941008</v>
      </c>
      <c r="AI49" s="843">
        <v>27.294556</v>
      </c>
      <c r="AJ49" s="843">
        <v>27.667862</v>
      </c>
      <c r="AK49" s="843">
        <v>28.194492</v>
      </c>
      <c r="AL49" s="843">
        <v>28.632065000000001</v>
      </c>
      <c r="AM49" s="843">
        <v>29.186733</v>
      </c>
      <c r="AN49" s="843">
        <v>29.790071000000001</v>
      </c>
      <c r="AO49" s="843">
        <v>30.397635000000001</v>
      </c>
      <c r="AP49" s="843">
        <v>30.990224999999999</v>
      </c>
      <c r="AQ49" s="843">
        <v>31.671036000000001</v>
      </c>
      <c r="AR49" s="843">
        <v>30.576360999999999</v>
      </c>
      <c r="BV49" s="841"/>
    </row>
    <row r="50" spans="1:104" s="838" customFormat="1">
      <c r="A50" s="842" t="s">
        <v>1084</v>
      </c>
      <c r="C50" s="840"/>
      <c r="D50" s="1021"/>
      <c r="E50" s="840"/>
      <c r="N50" s="843">
        <v>2.2979889999999998</v>
      </c>
      <c r="O50" s="843">
        <v>2.38</v>
      </c>
      <c r="P50" s="843">
        <v>2.4052739999999999</v>
      </c>
      <c r="Q50" s="843">
        <v>2.3369110000000002</v>
      </c>
      <c r="R50" s="843">
        <v>2.3950149999999999</v>
      </c>
      <c r="S50" s="843">
        <v>2.3961070000000002</v>
      </c>
      <c r="T50" s="843">
        <v>2.4583050000000002</v>
      </c>
      <c r="U50" s="843">
        <v>2.472283</v>
      </c>
      <c r="V50" s="843">
        <v>2.4802620000000002</v>
      </c>
      <c r="W50" s="843">
        <v>2.4838239999999998</v>
      </c>
      <c r="X50" s="843">
        <v>2.516057</v>
      </c>
      <c r="Y50" s="843">
        <v>2.5464560000000001</v>
      </c>
      <c r="Z50" s="843">
        <v>2.591459</v>
      </c>
      <c r="AA50" s="843">
        <v>2.6280779999999999</v>
      </c>
      <c r="AB50" s="843">
        <v>2.6593969999999998</v>
      </c>
      <c r="AC50" s="843">
        <v>2.691643</v>
      </c>
      <c r="AD50" s="843">
        <v>2.7285810000000001</v>
      </c>
      <c r="AE50" s="843">
        <v>2.7618779999999998</v>
      </c>
      <c r="AF50" s="843">
        <v>2.7919909999999999</v>
      </c>
      <c r="AG50" s="843">
        <v>2.8282630000000002</v>
      </c>
      <c r="AH50" s="843">
        <v>2.8670900000000001</v>
      </c>
      <c r="AI50" s="843">
        <v>2.8969999999999998</v>
      </c>
      <c r="AJ50" s="843">
        <v>2.9238430000000002</v>
      </c>
      <c r="AK50" s="843">
        <v>2.954224</v>
      </c>
      <c r="AL50" s="843">
        <v>2.98759</v>
      </c>
      <c r="AM50" s="843">
        <v>3.030205</v>
      </c>
      <c r="AN50" s="843">
        <v>3.0670109999999999</v>
      </c>
      <c r="AO50" s="843">
        <v>3.1012659999999999</v>
      </c>
      <c r="AP50" s="843">
        <v>3.134995</v>
      </c>
      <c r="AQ50" s="843">
        <v>3.169994</v>
      </c>
      <c r="AR50" s="843">
        <v>3.2015440000000002</v>
      </c>
      <c r="BV50" s="841"/>
    </row>
    <row r="51" spans="1:104" s="838" customFormat="1">
      <c r="A51" s="842" t="s">
        <v>681</v>
      </c>
      <c r="C51" s="840"/>
      <c r="D51" s="1021"/>
      <c r="E51" s="840"/>
      <c r="N51" s="843">
        <v>30.492578999999999</v>
      </c>
      <c r="O51" s="843">
        <v>29.980651999999999</v>
      </c>
      <c r="P51" s="843">
        <v>28.463469</v>
      </c>
      <c r="Q51" s="843">
        <v>27.770492999999998</v>
      </c>
      <c r="R51" s="843">
        <v>27.844252000000001</v>
      </c>
      <c r="S51" s="843">
        <v>27.733993999999999</v>
      </c>
      <c r="T51" s="843">
        <v>28.230274000000001</v>
      </c>
      <c r="U51" s="843">
        <v>28.517765000000001</v>
      </c>
      <c r="V51" s="843">
        <v>28.644997</v>
      </c>
      <c r="W51" s="843">
        <v>28.576813000000001</v>
      </c>
      <c r="X51" s="843">
        <v>28.566559000000002</v>
      </c>
      <c r="Y51" s="843">
        <v>28.675744999999999</v>
      </c>
      <c r="Z51" s="843">
        <v>28.66461</v>
      </c>
      <c r="AA51" s="843">
        <v>28.628443000000001</v>
      </c>
      <c r="AB51" s="843">
        <v>28.632759</v>
      </c>
      <c r="AC51" s="843">
        <v>28.485842000000002</v>
      </c>
      <c r="AD51" s="843">
        <v>28.378672000000002</v>
      </c>
      <c r="AE51" s="843">
        <v>28.369689999999999</v>
      </c>
      <c r="AF51" s="843">
        <v>28.482963999999999</v>
      </c>
      <c r="AG51" s="843">
        <v>28.577332999999999</v>
      </c>
      <c r="AH51" s="843">
        <v>28.652301999999999</v>
      </c>
      <c r="AI51" s="843">
        <v>28.781072999999999</v>
      </c>
      <c r="AJ51" s="843">
        <v>28.912566999999999</v>
      </c>
      <c r="AK51" s="843">
        <v>29.081726</v>
      </c>
      <c r="AL51" s="843">
        <v>29.271111999999999</v>
      </c>
      <c r="AM51" s="843">
        <v>29.658476</v>
      </c>
      <c r="AN51" s="843">
        <v>30.101704000000002</v>
      </c>
      <c r="AO51" s="843">
        <v>30.503069</v>
      </c>
      <c r="AP51" s="843">
        <v>30.944068999999999</v>
      </c>
      <c r="AQ51" s="843">
        <v>31.476562000000001</v>
      </c>
      <c r="AR51" s="843">
        <v>31.747146999999998</v>
      </c>
      <c r="BV51" s="841"/>
    </row>
    <row r="52" spans="1:104" s="838" customFormat="1">
      <c r="A52" s="842" t="s">
        <v>696</v>
      </c>
      <c r="C52" s="840"/>
      <c r="D52" s="1021"/>
      <c r="E52" s="840"/>
      <c r="N52" s="843">
        <v>20.260442999999999</v>
      </c>
      <c r="O52" s="843">
        <v>19.975739999999998</v>
      </c>
      <c r="P52" s="843">
        <v>18.436015999999999</v>
      </c>
      <c r="Q52" s="843">
        <v>18.142965</v>
      </c>
      <c r="R52" s="843">
        <v>18.046112000000001</v>
      </c>
      <c r="S52" s="843">
        <v>17.884491000000001</v>
      </c>
      <c r="T52" s="843">
        <v>18.368113000000001</v>
      </c>
      <c r="U52" s="843">
        <v>18.636278000000001</v>
      </c>
      <c r="V52" s="843">
        <v>18.783104000000002</v>
      </c>
      <c r="W52" s="843">
        <v>18.727132999999998</v>
      </c>
      <c r="X52" s="843">
        <v>18.720291</v>
      </c>
      <c r="Y52" s="843">
        <v>18.854441000000001</v>
      </c>
      <c r="Z52" s="843">
        <v>18.961594000000002</v>
      </c>
      <c r="AA52" s="843">
        <v>19.089853000000002</v>
      </c>
      <c r="AB52" s="843">
        <v>19.158766</v>
      </c>
      <c r="AC52" s="843">
        <v>19.181961000000001</v>
      </c>
      <c r="AD52" s="843">
        <v>19.274345</v>
      </c>
      <c r="AE52" s="843">
        <v>19.362473000000001</v>
      </c>
      <c r="AF52" s="843">
        <v>19.467001</v>
      </c>
      <c r="AG52" s="843">
        <v>19.610374</v>
      </c>
      <c r="AH52" s="843">
        <v>19.726358000000001</v>
      </c>
      <c r="AI52" s="843">
        <v>19.866886000000001</v>
      </c>
      <c r="AJ52" s="843">
        <v>20.029399999999999</v>
      </c>
      <c r="AK52" s="843">
        <v>20.204810999999999</v>
      </c>
      <c r="AL52" s="843">
        <v>20.42868</v>
      </c>
      <c r="AM52" s="843">
        <v>20.795019</v>
      </c>
      <c r="AN52" s="843">
        <v>21.263971000000002</v>
      </c>
      <c r="AO52" s="843">
        <v>21.670811</v>
      </c>
      <c r="AP52" s="843">
        <v>22.067454999999999</v>
      </c>
      <c r="AQ52" s="843">
        <v>22.488647</v>
      </c>
      <c r="AR52" s="843">
        <v>22.744430999999999</v>
      </c>
      <c r="BV52" s="841"/>
    </row>
    <row r="53" spans="1:104" s="838" customFormat="1" ht="14" thickBot="1">
      <c r="A53" s="845" t="s">
        <v>682</v>
      </c>
      <c r="B53" s="846"/>
      <c r="C53" s="847"/>
      <c r="D53" s="1022"/>
      <c r="E53" s="847"/>
      <c r="F53" s="846"/>
      <c r="G53" s="846"/>
      <c r="H53" s="846"/>
      <c r="I53" s="846"/>
      <c r="J53" s="846"/>
      <c r="K53" s="846"/>
      <c r="L53" s="846"/>
      <c r="M53" s="846"/>
      <c r="N53" s="848">
        <v>34.522823000000002</v>
      </c>
      <c r="O53" s="848">
        <v>34.335875999999999</v>
      </c>
      <c r="P53" s="848">
        <v>33.266716000000002</v>
      </c>
      <c r="Q53" s="848">
        <v>32.549408</v>
      </c>
      <c r="R53" s="848">
        <v>33.007488000000002</v>
      </c>
      <c r="S53" s="848">
        <v>33.062362999999998</v>
      </c>
      <c r="T53" s="848">
        <v>33.578304000000003</v>
      </c>
      <c r="U53" s="848">
        <v>33.826259999999998</v>
      </c>
      <c r="V53" s="848">
        <v>33.834632999999997</v>
      </c>
      <c r="W53" s="848">
        <v>33.642589999999998</v>
      </c>
      <c r="X53" s="848">
        <v>33.615443999999997</v>
      </c>
      <c r="Y53" s="848">
        <v>33.658813000000002</v>
      </c>
      <c r="Z53" s="848">
        <v>33.691249999999997</v>
      </c>
      <c r="AA53" s="848">
        <v>33.703487000000003</v>
      </c>
      <c r="AB53" s="848">
        <v>33.839970000000001</v>
      </c>
      <c r="AC53" s="848">
        <v>33.959377000000003</v>
      </c>
      <c r="AD53" s="848">
        <v>34.126075999999998</v>
      </c>
      <c r="AE53" s="848">
        <v>34.265704999999997</v>
      </c>
      <c r="AF53" s="848">
        <v>34.413651000000002</v>
      </c>
      <c r="AG53" s="848">
        <v>34.510967000000001</v>
      </c>
      <c r="AH53" s="848">
        <v>34.561591999999997</v>
      </c>
      <c r="AI53" s="848">
        <v>34.686400999999996</v>
      </c>
      <c r="AJ53" s="848">
        <v>34.807406999999998</v>
      </c>
      <c r="AK53" s="848">
        <v>34.923721</v>
      </c>
      <c r="AL53" s="848">
        <v>35.082526999999999</v>
      </c>
      <c r="AM53" s="848">
        <v>35.421287999999997</v>
      </c>
      <c r="AN53" s="848">
        <v>35.835976000000002</v>
      </c>
      <c r="AO53" s="848">
        <v>36.175975999999999</v>
      </c>
      <c r="AP53" s="848">
        <v>36.502800000000001</v>
      </c>
      <c r="AQ53" s="848">
        <v>36.906086000000002</v>
      </c>
      <c r="AR53" s="848">
        <v>37.098595000000003</v>
      </c>
      <c r="AS53" s="846"/>
      <c r="AT53" s="846"/>
      <c r="AU53" s="846"/>
      <c r="AV53" s="846"/>
      <c r="AW53" s="846"/>
      <c r="AX53" s="846"/>
      <c r="AY53" s="846"/>
      <c r="AZ53" s="846"/>
      <c r="BA53" s="846"/>
      <c r="BB53" s="846"/>
      <c r="BC53" s="846"/>
      <c r="BD53" s="846"/>
      <c r="BE53" s="846"/>
      <c r="BF53" s="846"/>
      <c r="BG53" s="846"/>
      <c r="BH53" s="846"/>
      <c r="BI53" s="846"/>
      <c r="BJ53" s="846"/>
      <c r="BK53" s="846"/>
      <c r="BL53" s="846"/>
      <c r="BM53" s="846"/>
      <c r="BN53" s="846"/>
      <c r="BO53" s="846"/>
      <c r="BP53" s="846"/>
      <c r="BQ53" s="846"/>
      <c r="BR53" s="846"/>
      <c r="BS53" s="846"/>
      <c r="BT53" s="846"/>
      <c r="BU53" s="846"/>
      <c r="BV53" s="849"/>
    </row>
    <row r="54" spans="1:104">
      <c r="A54" s="740"/>
      <c r="C54" s="738"/>
      <c r="D54" s="1019"/>
      <c r="E54" s="738"/>
      <c r="BV54" s="609"/>
    </row>
    <row r="55" spans="1:104" ht="14" thickBot="1">
      <c r="A55" s="740"/>
      <c r="C55" s="738"/>
      <c r="D55" s="1019"/>
      <c r="E55" s="743"/>
      <c r="F55" s="492"/>
      <c r="BV55" s="609"/>
    </row>
    <row r="56" spans="1:104" ht="14" thickTop="1">
      <c r="A56" s="732" t="s">
        <v>1102</v>
      </c>
      <c r="B56" s="607" t="str">
        <f>"Prices are in $(" &amp; ref_year&amp;")/GJ LHV"</f>
        <v>Prices are in $(2016)/GJ LHV</v>
      </c>
      <c r="C56" s="607"/>
      <c r="D56" s="1023"/>
      <c r="E56" s="607"/>
      <c r="F56" s="733"/>
      <c r="G56" s="733"/>
      <c r="H56" s="733"/>
      <c r="I56" s="733"/>
      <c r="J56" s="733"/>
      <c r="K56" s="733"/>
      <c r="L56" s="733"/>
      <c r="M56" s="733"/>
      <c r="N56" s="733"/>
      <c r="O56" s="733"/>
      <c r="P56" s="733"/>
      <c r="Q56" s="733"/>
      <c r="R56" s="733"/>
      <c r="S56" s="733"/>
      <c r="T56" s="733"/>
      <c r="U56" s="733"/>
      <c r="V56" s="733"/>
      <c r="W56" s="733"/>
      <c r="X56" s="733"/>
      <c r="Y56" s="733"/>
      <c r="Z56" s="733"/>
      <c r="AA56" s="733"/>
      <c r="AB56" s="733"/>
      <c r="AC56" s="733"/>
      <c r="AD56" s="733"/>
      <c r="AE56" s="733"/>
      <c r="AF56" s="733"/>
      <c r="AG56" s="733"/>
      <c r="AH56" s="733"/>
      <c r="AI56" s="733"/>
      <c r="AJ56" s="733"/>
      <c r="AK56" s="733"/>
      <c r="AL56" s="733"/>
      <c r="AM56" s="733"/>
      <c r="AN56" s="733"/>
      <c r="AO56" s="733"/>
      <c r="AP56" s="733"/>
      <c r="AQ56" s="733"/>
      <c r="AR56" s="733"/>
      <c r="AS56" s="744" t="s">
        <v>770</v>
      </c>
      <c r="AT56" s="745"/>
      <c r="AU56" s="745"/>
      <c r="AV56" s="745"/>
      <c r="AW56" s="745"/>
      <c r="AX56" s="745"/>
      <c r="AY56" s="745"/>
      <c r="AZ56" s="745"/>
      <c r="BA56" s="745"/>
      <c r="BB56" s="745"/>
      <c r="BC56" s="745"/>
      <c r="BD56" s="745"/>
      <c r="BE56" s="745"/>
      <c r="BF56" s="745"/>
      <c r="BG56" s="745"/>
      <c r="BH56" s="745"/>
      <c r="BI56" s="745"/>
      <c r="BJ56" s="745"/>
      <c r="BK56" s="745"/>
      <c r="BL56" s="745"/>
      <c r="BM56" s="745"/>
      <c r="BN56" s="745"/>
      <c r="BO56" s="745"/>
      <c r="BP56" s="745"/>
      <c r="BQ56" s="745"/>
      <c r="BR56" s="745"/>
      <c r="BS56" s="745"/>
      <c r="BT56" s="745"/>
      <c r="BU56" s="745"/>
      <c r="BV56" s="746"/>
    </row>
    <row r="57" spans="1:104" ht="43" thickBot="1">
      <c r="A57" s="901" t="s">
        <v>1081</v>
      </c>
      <c r="B57" s="902" t="s">
        <v>676</v>
      </c>
      <c r="C57" s="902" t="s">
        <v>677</v>
      </c>
      <c r="D57" s="1024" t="s">
        <v>688</v>
      </c>
      <c r="E57" s="902" t="s">
        <v>689</v>
      </c>
      <c r="F57" s="505" t="s">
        <v>678</v>
      </c>
      <c r="G57" s="505" t="s">
        <v>690</v>
      </c>
      <c r="H57" s="850">
        <v>2004</v>
      </c>
      <c r="I57" s="850">
        <v>2005</v>
      </c>
      <c r="J57" s="850">
        <v>2006</v>
      </c>
      <c r="K57" s="850">
        <v>2007</v>
      </c>
      <c r="L57" s="850">
        <v>2008</v>
      </c>
      <c r="M57" s="850">
        <v>2009</v>
      </c>
      <c r="N57" s="505">
        <v>2010</v>
      </c>
      <c r="O57" s="505">
        <v>2011</v>
      </c>
      <c r="P57" s="505">
        <v>2012</v>
      </c>
      <c r="Q57" s="505">
        <v>2013</v>
      </c>
      <c r="R57" s="505">
        <v>2014</v>
      </c>
      <c r="S57" s="505">
        <v>2015</v>
      </c>
      <c r="T57" s="505">
        <v>2016</v>
      </c>
      <c r="U57" s="505">
        <v>2017</v>
      </c>
      <c r="V57" s="505">
        <v>2018</v>
      </c>
      <c r="W57" s="505">
        <v>2019</v>
      </c>
      <c r="X57" s="505">
        <v>2020</v>
      </c>
      <c r="Y57" s="505">
        <v>2021</v>
      </c>
      <c r="Z57" s="505">
        <v>2022</v>
      </c>
      <c r="AA57" s="505">
        <v>2023</v>
      </c>
      <c r="AB57" s="505">
        <v>2024</v>
      </c>
      <c r="AC57" s="505">
        <v>2025</v>
      </c>
      <c r="AD57" s="505">
        <v>2026</v>
      </c>
      <c r="AE57" s="505">
        <v>2027</v>
      </c>
      <c r="AF57" s="505">
        <v>2028</v>
      </c>
      <c r="AG57" s="505">
        <v>2029</v>
      </c>
      <c r="AH57" s="505">
        <v>2030</v>
      </c>
      <c r="AI57" s="505">
        <v>2031</v>
      </c>
      <c r="AJ57" s="505">
        <v>2032</v>
      </c>
      <c r="AK57" s="505">
        <v>2033</v>
      </c>
      <c r="AL57" s="505">
        <v>2034</v>
      </c>
      <c r="AM57" s="505">
        <v>2035</v>
      </c>
      <c r="AN57" s="505">
        <v>2036</v>
      </c>
      <c r="AO57" s="505">
        <v>2037</v>
      </c>
      <c r="AP57" s="505">
        <v>2038</v>
      </c>
      <c r="AQ57" s="505">
        <v>2039</v>
      </c>
      <c r="AR57" s="505">
        <v>2040</v>
      </c>
      <c r="AS57" s="505">
        <v>2041</v>
      </c>
      <c r="AT57" s="505">
        <v>2042</v>
      </c>
      <c r="AU57" s="505">
        <v>2043</v>
      </c>
      <c r="AV57" s="505">
        <v>2044</v>
      </c>
      <c r="AW57" s="505">
        <v>2045</v>
      </c>
      <c r="AX57" s="505">
        <v>2046</v>
      </c>
      <c r="AY57" s="505">
        <v>2047</v>
      </c>
      <c r="AZ57" s="505">
        <v>2048</v>
      </c>
      <c r="BA57" s="505">
        <v>2049</v>
      </c>
      <c r="BB57" s="505">
        <v>2050</v>
      </c>
      <c r="BC57" s="505">
        <v>2051</v>
      </c>
      <c r="BD57" s="505">
        <v>2052</v>
      </c>
      <c r="BE57" s="505">
        <v>2053</v>
      </c>
      <c r="BF57" s="505">
        <v>2054</v>
      </c>
      <c r="BG57" s="505">
        <v>2055</v>
      </c>
      <c r="BH57" s="505">
        <v>2056</v>
      </c>
      <c r="BI57" s="505">
        <v>2057</v>
      </c>
      <c r="BJ57" s="505">
        <v>2058</v>
      </c>
      <c r="BK57" s="505">
        <v>2059</v>
      </c>
      <c r="BL57" s="505">
        <v>2060</v>
      </c>
      <c r="BM57" s="505">
        <v>2061</v>
      </c>
      <c r="BN57" s="505">
        <v>2062</v>
      </c>
      <c r="BO57" s="505">
        <v>2063</v>
      </c>
      <c r="BP57" s="505">
        <v>2064</v>
      </c>
      <c r="BQ57" s="505">
        <v>2065</v>
      </c>
      <c r="BR57" s="505">
        <v>2066</v>
      </c>
      <c r="BS57" s="505">
        <v>2067</v>
      </c>
      <c r="BT57" s="505">
        <v>2068</v>
      </c>
      <c r="BU57" s="505">
        <v>2069</v>
      </c>
      <c r="BV57" s="903">
        <v>2070</v>
      </c>
      <c r="BW57" s="1149">
        <f t="shared" ref="BW57:CZ57" si="72">+BV57+1</f>
        <v>2071</v>
      </c>
      <c r="BX57" s="1149">
        <f t="shared" si="72"/>
        <v>2072</v>
      </c>
      <c r="BY57" s="1149">
        <f t="shared" si="72"/>
        <v>2073</v>
      </c>
      <c r="BZ57" s="1149">
        <f t="shared" si="72"/>
        <v>2074</v>
      </c>
      <c r="CA57" s="1149">
        <f t="shared" si="72"/>
        <v>2075</v>
      </c>
      <c r="CB57" s="1149">
        <f t="shared" si="72"/>
        <v>2076</v>
      </c>
      <c r="CC57" s="1149">
        <f t="shared" si="72"/>
        <v>2077</v>
      </c>
      <c r="CD57" s="1149">
        <f t="shared" si="72"/>
        <v>2078</v>
      </c>
      <c r="CE57" s="1149">
        <f t="shared" si="72"/>
        <v>2079</v>
      </c>
      <c r="CF57" s="1149">
        <f t="shared" si="72"/>
        <v>2080</v>
      </c>
      <c r="CG57" s="1149">
        <f t="shared" si="72"/>
        <v>2081</v>
      </c>
      <c r="CH57" s="1149">
        <f t="shared" si="72"/>
        <v>2082</v>
      </c>
      <c r="CI57" s="1149">
        <f t="shared" si="72"/>
        <v>2083</v>
      </c>
      <c r="CJ57" s="1149">
        <f t="shared" si="72"/>
        <v>2084</v>
      </c>
      <c r="CK57" s="1149">
        <f t="shared" si="72"/>
        <v>2085</v>
      </c>
      <c r="CL57" s="1149">
        <f t="shared" si="72"/>
        <v>2086</v>
      </c>
      <c r="CM57" s="1149">
        <f t="shared" si="72"/>
        <v>2087</v>
      </c>
      <c r="CN57" s="1149">
        <f t="shared" si="72"/>
        <v>2088</v>
      </c>
      <c r="CO57" s="1149">
        <f t="shared" si="72"/>
        <v>2089</v>
      </c>
      <c r="CP57" s="1149">
        <f t="shared" si="72"/>
        <v>2090</v>
      </c>
      <c r="CQ57" s="1149">
        <f t="shared" si="72"/>
        <v>2091</v>
      </c>
      <c r="CR57" s="1149">
        <f t="shared" si="72"/>
        <v>2092</v>
      </c>
      <c r="CS57" s="1149">
        <f t="shared" si="72"/>
        <v>2093</v>
      </c>
      <c r="CT57" s="1149">
        <f t="shared" si="72"/>
        <v>2094</v>
      </c>
      <c r="CU57" s="1149">
        <f t="shared" si="72"/>
        <v>2095</v>
      </c>
      <c r="CV57" s="1149">
        <f t="shared" si="72"/>
        <v>2096</v>
      </c>
      <c r="CW57" s="1149">
        <f t="shared" si="72"/>
        <v>2097</v>
      </c>
      <c r="CX57" s="1149">
        <f t="shared" si="72"/>
        <v>2098</v>
      </c>
      <c r="CY57" s="1149">
        <f t="shared" si="72"/>
        <v>2099</v>
      </c>
      <c r="CZ57" s="1149">
        <f t="shared" si="72"/>
        <v>2100</v>
      </c>
    </row>
    <row r="58" spans="1:104" ht="14" thickBot="1">
      <c r="A58" s="734" t="s">
        <v>1087</v>
      </c>
      <c r="B58" s="735"/>
      <c r="C58" s="735"/>
      <c r="D58" s="1025"/>
      <c r="E58" s="735"/>
      <c r="F58" s="735"/>
      <c r="G58" s="735"/>
      <c r="H58" s="735"/>
      <c r="I58" s="735"/>
      <c r="J58" s="735"/>
      <c r="K58" s="735"/>
      <c r="L58" s="735"/>
      <c r="M58" s="735"/>
      <c r="N58" s="735"/>
      <c r="O58" s="735"/>
      <c r="P58" s="735"/>
      <c r="Q58" s="735"/>
      <c r="R58" s="735"/>
      <c r="S58" s="735"/>
      <c r="T58" s="735"/>
      <c r="U58" s="735"/>
      <c r="V58" s="735"/>
      <c r="W58" s="735"/>
      <c r="X58" s="735"/>
      <c r="Y58" s="735"/>
      <c r="Z58" s="735"/>
      <c r="AA58" s="735"/>
      <c r="AB58" s="735"/>
      <c r="AC58" s="735"/>
      <c r="AD58" s="735"/>
      <c r="AE58" s="735"/>
      <c r="AF58" s="735"/>
      <c r="AG58" s="735"/>
      <c r="AH58" s="735"/>
      <c r="AI58" s="735"/>
      <c r="AJ58" s="735"/>
      <c r="AK58" s="735"/>
      <c r="AL58" s="735"/>
      <c r="AM58" s="735"/>
      <c r="AN58" s="735"/>
      <c r="AO58" s="735"/>
      <c r="AP58" s="735"/>
      <c r="AQ58" s="735"/>
      <c r="AR58" s="735"/>
      <c r="AS58" s="735"/>
      <c r="AT58" s="735"/>
      <c r="AU58" s="735"/>
      <c r="AV58" s="735"/>
      <c r="AW58" s="735"/>
      <c r="AX58" s="735"/>
      <c r="AY58" s="735"/>
      <c r="AZ58" s="735"/>
      <c r="BA58" s="735"/>
      <c r="BB58" s="735"/>
      <c r="BC58" s="735"/>
      <c r="BD58" s="735"/>
      <c r="BE58" s="735"/>
      <c r="BF58" s="735"/>
      <c r="BG58" s="735"/>
      <c r="BH58" s="735"/>
      <c r="BI58" s="735"/>
      <c r="BJ58" s="735"/>
      <c r="BK58" s="735"/>
      <c r="BL58" s="735"/>
      <c r="BM58" s="735"/>
      <c r="BN58" s="735"/>
      <c r="BO58" s="735"/>
      <c r="BP58" s="735"/>
      <c r="BQ58" s="735"/>
      <c r="BR58" s="735"/>
      <c r="BS58" s="735"/>
      <c r="BT58" s="735"/>
      <c r="BU58" s="735"/>
      <c r="BV58" s="736"/>
    </row>
    <row r="59" spans="1:104">
      <c r="A59" s="737" t="str">
        <f>'HyARC Physical Property Data'!A73</f>
        <v>Residential Natural Gas</v>
      </c>
      <c r="B59">
        <v>2011</v>
      </c>
      <c r="C59" s="738">
        <f>VLOOKUP(ref_year,DeflatorTable,2,FALSE)/VLOOKUP(B59,DeflatorTable,2,FALSE)</f>
        <v>1.0771767810026385</v>
      </c>
      <c r="D59" s="1026" t="str">
        <f>'HyARC Physical Property Data'!H73</f>
        <v>mmBtu</v>
      </c>
      <c r="E59" s="738" t="s">
        <v>1055</v>
      </c>
      <c r="F59">
        <f>'HyARC Physical Property Data'!$E$6</f>
        <v>47.141269049911173</v>
      </c>
      <c r="G59">
        <f>'HyARC Physical Property Data'!$I$6</f>
        <v>52.224661236371581</v>
      </c>
      <c r="H59" s="852">
        <v>13.568796522291001</v>
      </c>
      <c r="I59" s="852">
        <v>13.568796522291001</v>
      </c>
      <c r="J59" s="852">
        <v>13.568796522291001</v>
      </c>
      <c r="K59" s="852">
        <v>12.569562315288914</v>
      </c>
      <c r="L59" s="852">
        <v>12.891154499364562</v>
      </c>
      <c r="M59" s="852">
        <v>11.574514296329017</v>
      </c>
      <c r="N59">
        <f t="shared" ref="N59:AR59" si="73">N74*(1/mmBTU_to_GJ*$C59*$G59/$F59)</f>
        <v>12.848820030872973</v>
      </c>
      <c r="O59">
        <f t="shared" si="73"/>
        <v>12.218751960936617</v>
      </c>
      <c r="P59">
        <f t="shared" si="73"/>
        <v>11.847089507654712</v>
      </c>
      <c r="Q59">
        <f t="shared" si="73"/>
        <v>11.878954304161503</v>
      </c>
      <c r="R59">
        <f t="shared" si="73"/>
        <v>11.689024462272872</v>
      </c>
      <c r="S59">
        <f t="shared" si="73"/>
        <v>11.571127769223187</v>
      </c>
      <c r="T59">
        <f t="shared" si="73"/>
        <v>12.158272077211455</v>
      </c>
      <c r="U59">
        <f t="shared" si="73"/>
        <v>12.546766735129951</v>
      </c>
      <c r="V59">
        <f t="shared" si="73"/>
        <v>13.025386814796633</v>
      </c>
      <c r="W59">
        <f t="shared" si="73"/>
        <v>13.318825496567992</v>
      </c>
      <c r="X59">
        <f t="shared" si="73"/>
        <v>13.569389054574135</v>
      </c>
      <c r="Y59">
        <f t="shared" si="73"/>
        <v>13.810438757785679</v>
      </c>
      <c r="Z59">
        <f t="shared" si="73"/>
        <v>14.116363879109715</v>
      </c>
      <c r="AA59">
        <f t="shared" si="73"/>
        <v>14.398431406172943</v>
      </c>
      <c r="AB59">
        <f t="shared" si="73"/>
        <v>14.538561404399491</v>
      </c>
      <c r="AC59">
        <f t="shared" si="73"/>
        <v>14.725122769343848</v>
      </c>
      <c r="AD59">
        <f t="shared" si="73"/>
        <v>14.945168695396804</v>
      </c>
      <c r="AE59">
        <f t="shared" si="73"/>
        <v>15.119136164337942</v>
      </c>
      <c r="AF59">
        <f t="shared" si="73"/>
        <v>15.386893885550919</v>
      </c>
      <c r="AG59">
        <f t="shared" si="73"/>
        <v>15.591935497746983</v>
      </c>
      <c r="AH59">
        <f t="shared" si="73"/>
        <v>15.825560525786523</v>
      </c>
      <c r="AI59" s="807">
        <f t="shared" si="73"/>
        <v>16.097797484306195</v>
      </c>
      <c r="AJ59" s="807">
        <f t="shared" si="73"/>
        <v>16.489221744402556</v>
      </c>
      <c r="AK59" s="807">
        <f t="shared" si="73"/>
        <v>16.917726397778729</v>
      </c>
      <c r="AL59" s="807">
        <f t="shared" si="73"/>
        <v>17.360396073577061</v>
      </c>
      <c r="AM59" s="807">
        <f t="shared" si="73"/>
        <v>17.767820033598468</v>
      </c>
      <c r="AN59" s="807">
        <f t="shared" si="73"/>
        <v>18.289975811421051</v>
      </c>
      <c r="AO59" s="807">
        <f t="shared" si="73"/>
        <v>18.631226958079775</v>
      </c>
      <c r="AP59" s="807">
        <f t="shared" si="73"/>
        <v>19.172403658768356</v>
      </c>
      <c r="AQ59" s="807">
        <f t="shared" si="73"/>
        <v>19.659398554853915</v>
      </c>
      <c r="AR59" s="807">
        <f t="shared" si="73"/>
        <v>19.991300990315715</v>
      </c>
      <c r="AS59" s="807">
        <f>($BB59-$AR59)/10+AR59</f>
        <v>19.99145536068955</v>
      </c>
      <c r="AT59" s="807">
        <f t="shared" ref="AT59:BA59" si="74">($BB59-$AR59)/10+AS59</f>
        <v>19.991609731063384</v>
      </c>
      <c r="AU59" s="807">
        <f t="shared" si="74"/>
        <v>19.991764101437219</v>
      </c>
      <c r="AV59" s="807">
        <f t="shared" si="74"/>
        <v>19.991918471811054</v>
      </c>
      <c r="AW59" s="807">
        <f t="shared" si="74"/>
        <v>19.992072842184889</v>
      </c>
      <c r="AX59" s="807">
        <f t="shared" si="74"/>
        <v>19.992227212558724</v>
      </c>
      <c r="AY59" s="807">
        <f t="shared" si="74"/>
        <v>19.992381582932559</v>
      </c>
      <c r="AZ59" s="807">
        <f t="shared" si="74"/>
        <v>19.992535953306394</v>
      </c>
      <c r="BA59" s="807">
        <f t="shared" si="74"/>
        <v>19.992690323680229</v>
      </c>
      <c r="BB59" s="809">
        <f>'AEO Data'!$B$30*AM59</f>
        <v>19.992844694054046</v>
      </c>
      <c r="BC59" s="807">
        <f>($BQ59-$BB59)/15+BB59</f>
        <v>20.155753007586423</v>
      </c>
      <c r="BD59" s="807">
        <f t="shared" ref="BD59:BP62" si="75">($BQ59-$BB59)/15+BC59</f>
        <v>20.3186613211188</v>
      </c>
      <c r="BE59" s="807">
        <f t="shared" si="75"/>
        <v>20.481569634651176</v>
      </c>
      <c r="BF59" s="807">
        <f t="shared" si="75"/>
        <v>20.644477948183553</v>
      </c>
      <c r="BG59" s="807">
        <f t="shared" si="75"/>
        <v>20.80738626171593</v>
      </c>
      <c r="BH59" s="807">
        <f t="shared" si="75"/>
        <v>20.970294575248307</v>
      </c>
      <c r="BI59" s="807">
        <f t="shared" si="75"/>
        <v>21.133202888780684</v>
      </c>
      <c r="BJ59" s="807">
        <f t="shared" si="75"/>
        <v>21.29611120231306</v>
      </c>
      <c r="BK59" s="807">
        <f t="shared" si="75"/>
        <v>21.459019515845437</v>
      </c>
      <c r="BL59" s="807">
        <f t="shared" si="75"/>
        <v>21.621927829377814</v>
      </c>
      <c r="BM59" s="807">
        <f t="shared" si="75"/>
        <v>21.784836142910191</v>
      </c>
      <c r="BN59" s="807">
        <f t="shared" si="75"/>
        <v>21.947744456442567</v>
      </c>
      <c r="BO59" s="807">
        <f t="shared" si="75"/>
        <v>22.110652769974944</v>
      </c>
      <c r="BP59" s="807">
        <f t="shared" si="75"/>
        <v>22.273561083507321</v>
      </c>
      <c r="BQ59" s="809">
        <f>'AEO Data'!$C$30*BB59</f>
        <v>22.43646939703968</v>
      </c>
      <c r="BR59" s="806">
        <f>($BV59-$BQ59)/5+BQ59</f>
        <v>22.564713325864819</v>
      </c>
      <c r="BS59" s="807">
        <f t="shared" ref="BS59:BU62" si="76">($BV59-$BQ59)/5+BR59</f>
        <v>22.692957254689958</v>
      </c>
      <c r="BT59" s="807">
        <f t="shared" si="76"/>
        <v>22.821201183515097</v>
      </c>
      <c r="BU59" s="807">
        <f t="shared" si="76"/>
        <v>22.949445112340236</v>
      </c>
      <c r="BV59" s="810">
        <f>'AEO Data'!$D$30*BQ59</f>
        <v>23.077689041165382</v>
      </c>
      <c r="BW59" s="1148">
        <f>+BV59*BW$133/BV$133</f>
        <v>23.154313754554682</v>
      </c>
      <c r="BX59" s="1148">
        <f t="shared" ref="BX59:CZ59" si="77">+BW59*BX$133/BW$133</f>
        <v>23.231192884523196</v>
      </c>
      <c r="BY59" s="1148">
        <f t="shared" si="77"/>
        <v>23.308327275808772</v>
      </c>
      <c r="BZ59" s="1148">
        <f t="shared" si="77"/>
        <v>23.385717775954042</v>
      </c>
      <c r="CA59" s="1148">
        <f t="shared" si="77"/>
        <v>23.463365235315731</v>
      </c>
      <c r="CB59" s="1148">
        <f t="shared" si="77"/>
        <v>23.513434373015976</v>
      </c>
      <c r="CC59" s="1148">
        <f t="shared" si="77"/>
        <v>23.563610354663151</v>
      </c>
      <c r="CD59" s="1148">
        <f t="shared" si="77"/>
        <v>23.613893408254576</v>
      </c>
      <c r="CE59" s="1148">
        <f t="shared" si="77"/>
        <v>23.664283762274096</v>
      </c>
      <c r="CF59" s="1148">
        <f t="shared" si="77"/>
        <v>23.714781645693119</v>
      </c>
      <c r="CG59" s="1148">
        <f t="shared" si="77"/>
        <v>23.731177988110947</v>
      </c>
      <c r="CH59" s="1148">
        <f t="shared" si="77"/>
        <v>23.747585666920095</v>
      </c>
      <c r="CI59" s="1148">
        <f t="shared" si="77"/>
        <v>23.764004689958508</v>
      </c>
      <c r="CJ59" s="1148">
        <f t="shared" si="77"/>
        <v>23.780435065069565</v>
      </c>
      <c r="CK59" s="1148">
        <f t="shared" si="77"/>
        <v>23.796876800102055</v>
      </c>
      <c r="CL59" s="1148">
        <f t="shared" si="77"/>
        <v>23.802449818424297</v>
      </c>
      <c r="CM59" s="1148">
        <f t="shared" si="77"/>
        <v>23.808024141898198</v>
      </c>
      <c r="CN59" s="1148">
        <f t="shared" si="77"/>
        <v>23.813599770829413</v>
      </c>
      <c r="CO59" s="1148">
        <f t="shared" si="77"/>
        <v>23.819176705523667</v>
      </c>
      <c r="CP59" s="1148">
        <f t="shared" si="77"/>
        <v>23.82475494628676</v>
      </c>
      <c r="CQ59" s="1148">
        <f t="shared" si="77"/>
        <v>23.833209305741288</v>
      </c>
      <c r="CR59" s="1148">
        <f t="shared" si="77"/>
        <v>23.841666665276783</v>
      </c>
      <c r="CS59" s="1148">
        <f t="shared" si="77"/>
        <v>23.850127025957839</v>
      </c>
      <c r="CT59" s="1148">
        <f t="shared" si="77"/>
        <v>23.858590388849432</v>
      </c>
      <c r="CU59" s="1148">
        <f t="shared" si="77"/>
        <v>23.867056755016911</v>
      </c>
      <c r="CV59" s="1148">
        <f t="shared" si="77"/>
        <v>23.880086528392884</v>
      </c>
      <c r="CW59" s="1148">
        <f t="shared" si="77"/>
        <v>23.893123415130006</v>
      </c>
      <c r="CX59" s="1148">
        <f t="shared" si="77"/>
        <v>23.906167419111679</v>
      </c>
      <c r="CY59" s="1148">
        <f t="shared" si="77"/>
        <v>23.919218544223433</v>
      </c>
      <c r="CZ59" s="1148">
        <f t="shared" si="77"/>
        <v>23.932276794352919</v>
      </c>
    </row>
    <row r="60" spans="1:104">
      <c r="A60" s="737" t="str">
        <f>'HyARC Physical Property Data'!A71</f>
        <v>Commercial Natural Gas</v>
      </c>
      <c r="B60">
        <v>2011</v>
      </c>
      <c r="C60" s="738">
        <f t="shared" ref="C60:C68" si="78">VLOOKUP(ref_year,DeflatorTable,2,FALSE)/VLOOKUP(B60,DeflatorTable,2,FALSE)</f>
        <v>1.0771767810026385</v>
      </c>
      <c r="D60" s="1026" t="str">
        <f>'HyARC Physical Property Data'!H71</f>
        <v>mmBtu</v>
      </c>
      <c r="E60" s="738" t="s">
        <v>1055</v>
      </c>
      <c r="F60">
        <f>'HyARC Physical Property Data'!$E$6</f>
        <v>47.141269049911173</v>
      </c>
      <c r="G60">
        <f>'HyARC Physical Property Data'!$I$6</f>
        <v>52.224661236371581</v>
      </c>
      <c r="H60" s="852">
        <v>11.78211597551449</v>
      </c>
      <c r="I60" s="852">
        <v>11.78211597551449</v>
      </c>
      <c r="J60" s="852">
        <v>11.78211597551449</v>
      </c>
      <c r="K60" s="852">
        <v>10.884547954455588</v>
      </c>
      <c r="L60" s="852">
        <v>11.412186165255939</v>
      </c>
      <c r="M60" s="852">
        <v>10.075756967258858</v>
      </c>
      <c r="N60">
        <f t="shared" ref="N60:AR60" si="79">N75*(1/mmBTU_to_GJ*$C60*$G60/$F60)</f>
        <v>10.629111361129928</v>
      </c>
      <c r="O60">
        <f t="shared" si="79"/>
        <v>9.9955492598702431</v>
      </c>
      <c r="P60">
        <f t="shared" si="79"/>
        <v>9.1410917610380729</v>
      </c>
      <c r="Q60">
        <f t="shared" si="79"/>
        <v>9.5969684001679578</v>
      </c>
      <c r="R60">
        <f t="shared" si="79"/>
        <v>9.4058916020598868</v>
      </c>
      <c r="S60">
        <f t="shared" si="79"/>
        <v>9.2495164507528447</v>
      </c>
      <c r="T60">
        <f t="shared" si="79"/>
        <v>9.7764218036892636</v>
      </c>
      <c r="U60">
        <f t="shared" si="79"/>
        <v>10.090174279094695</v>
      </c>
      <c r="V60">
        <f t="shared" si="79"/>
        <v>10.498071047498478</v>
      </c>
      <c r="W60">
        <f t="shared" si="79"/>
        <v>10.736649252347618</v>
      </c>
      <c r="X60">
        <f t="shared" si="79"/>
        <v>10.944404422699936</v>
      </c>
      <c r="Y60">
        <f t="shared" si="79"/>
        <v>11.141369834297564</v>
      </c>
      <c r="Z60">
        <f t="shared" si="79"/>
        <v>11.405591672727528</v>
      </c>
      <c r="AA60">
        <f t="shared" si="79"/>
        <v>11.642166663114509</v>
      </c>
      <c r="AB60">
        <f t="shared" si="79"/>
        <v>11.748018053618996</v>
      </c>
      <c r="AC60">
        <f t="shared" si="79"/>
        <v>11.902757604636774</v>
      </c>
      <c r="AD60">
        <f t="shared" si="79"/>
        <v>12.090527006309296</v>
      </c>
      <c r="AE60">
        <f t="shared" si="79"/>
        <v>12.220015422570853</v>
      </c>
      <c r="AF60">
        <f t="shared" si="79"/>
        <v>12.435619438294673</v>
      </c>
      <c r="AG60">
        <f t="shared" si="79"/>
        <v>12.592485495912598</v>
      </c>
      <c r="AH60">
        <f t="shared" si="79"/>
        <v>12.770738780549461</v>
      </c>
      <c r="AI60">
        <f t="shared" si="79"/>
        <v>12.989189826652307</v>
      </c>
      <c r="AJ60">
        <f t="shared" si="79"/>
        <v>13.318649041764999</v>
      </c>
      <c r="AK60">
        <f t="shared" si="79"/>
        <v>13.691788738461685</v>
      </c>
      <c r="AL60">
        <f t="shared" si="79"/>
        <v>14.075018030303756</v>
      </c>
      <c r="AM60">
        <f t="shared" si="79"/>
        <v>14.417815418729715</v>
      </c>
      <c r="AN60">
        <f t="shared" si="79"/>
        <v>14.885419515535311</v>
      </c>
      <c r="AO60">
        <f t="shared" si="79"/>
        <v>15.176266800167872</v>
      </c>
      <c r="AP60">
        <f t="shared" si="79"/>
        <v>15.67029726596243</v>
      </c>
      <c r="AQ60">
        <f t="shared" si="79"/>
        <v>16.106982183025981</v>
      </c>
      <c r="AR60">
        <f t="shared" si="79"/>
        <v>16.379635393901427</v>
      </c>
      <c r="AS60">
        <f t="shared" ref="AS60:BA60" si="80">($BB60-$AR60)/10+AR60</f>
        <v>16.364004498297199</v>
      </c>
      <c r="AT60">
        <f t="shared" si="80"/>
        <v>16.348373602692966</v>
      </c>
      <c r="AU60">
        <f t="shared" si="80"/>
        <v>16.332742707088734</v>
      </c>
      <c r="AV60">
        <f t="shared" si="80"/>
        <v>16.317111811484502</v>
      </c>
      <c r="AW60">
        <f t="shared" si="80"/>
        <v>16.301480915880269</v>
      </c>
      <c r="AX60">
        <f t="shared" si="80"/>
        <v>16.285850020276037</v>
      </c>
      <c r="AY60">
        <f t="shared" si="80"/>
        <v>16.270219124671804</v>
      </c>
      <c r="AZ60">
        <f t="shared" si="80"/>
        <v>16.254588229067572</v>
      </c>
      <c r="BA60">
        <f t="shared" si="80"/>
        <v>16.23895733346334</v>
      </c>
      <c r="BB60" s="790">
        <f>'AEO Data'!$B$30*AM60</f>
        <v>16.223326437859122</v>
      </c>
      <c r="BC60">
        <f>($BQ60-$BB60)/15+BB60</f>
        <v>16.355519469432206</v>
      </c>
      <c r="BD60">
        <f t="shared" si="75"/>
        <v>16.487712501005291</v>
      </c>
      <c r="BE60">
        <f t="shared" si="75"/>
        <v>16.619905532578375</v>
      </c>
      <c r="BF60">
        <f t="shared" si="75"/>
        <v>16.75209856415146</v>
      </c>
      <c r="BG60">
        <f t="shared" si="75"/>
        <v>16.884291595724545</v>
      </c>
      <c r="BH60">
        <f t="shared" si="75"/>
        <v>17.016484627297629</v>
      </c>
      <c r="BI60">
        <f t="shared" si="75"/>
        <v>17.148677658870714</v>
      </c>
      <c r="BJ60">
        <f t="shared" si="75"/>
        <v>17.280870690443798</v>
      </c>
      <c r="BK60">
        <f t="shared" si="75"/>
        <v>17.413063722016883</v>
      </c>
      <c r="BL60">
        <f t="shared" si="75"/>
        <v>17.545256753589968</v>
      </c>
      <c r="BM60">
        <f t="shared" si="75"/>
        <v>17.677449785163052</v>
      </c>
      <c r="BN60">
        <f t="shared" si="75"/>
        <v>17.809642816736137</v>
      </c>
      <c r="BO60">
        <f t="shared" si="75"/>
        <v>17.941835848309221</v>
      </c>
      <c r="BP60">
        <f t="shared" si="75"/>
        <v>18.074028879882306</v>
      </c>
      <c r="BQ60" s="790">
        <f>'AEO Data'!$C$30*BB60</f>
        <v>18.206221911455369</v>
      </c>
      <c r="BR60" s="737">
        <f>($BV60-$BQ60)/5+BQ60</f>
        <v>18.310286298131796</v>
      </c>
      <c r="BS60">
        <f t="shared" si="76"/>
        <v>18.414350684808223</v>
      </c>
      <c r="BT60">
        <f t="shared" si="76"/>
        <v>18.51841507148465</v>
      </c>
      <c r="BU60">
        <f t="shared" si="76"/>
        <v>18.622479458161077</v>
      </c>
      <c r="BV60" s="811">
        <f>'AEO Data'!$D$30*BQ60</f>
        <v>18.726543844837511</v>
      </c>
      <c r="BW60" s="1148">
        <f>+BV60*BW$134/BV$134</f>
        <v>18.788721476762582</v>
      </c>
      <c r="BX60" s="1148">
        <f t="shared" ref="BX60:CZ60" si="81">+BW60*BX$134/BW$134</f>
        <v>18.851105556708379</v>
      </c>
      <c r="BY60" s="1148">
        <f t="shared" si="81"/>
        <v>18.913696770143034</v>
      </c>
      <c r="BZ60" s="1148">
        <f t="shared" si="81"/>
        <v>18.976495804810636</v>
      </c>
      <c r="CA60" s="1148">
        <f t="shared" si="81"/>
        <v>19.039503350738787</v>
      </c>
      <c r="CB60" s="1148">
        <f t="shared" si="81"/>
        <v>19.080132284630061</v>
      </c>
      <c r="CC60" s="1148">
        <f t="shared" si="81"/>
        <v>19.120847917750758</v>
      </c>
      <c r="CD60" s="1148">
        <f t="shared" si="81"/>
        <v>19.161650435110815</v>
      </c>
      <c r="CE60" s="1148">
        <f t="shared" si="81"/>
        <v>19.20254002211496</v>
      </c>
      <c r="CF60" s="1148">
        <f t="shared" si="81"/>
        <v>19.243516864563571</v>
      </c>
      <c r="CG60" s="1148">
        <f t="shared" si="81"/>
        <v>19.25682178537409</v>
      </c>
      <c r="CH60" s="1148">
        <f t="shared" si="81"/>
        <v>19.270135905174534</v>
      </c>
      <c r="CI60" s="1148">
        <f t="shared" si="81"/>
        <v>19.283459230325061</v>
      </c>
      <c r="CJ60" s="1148">
        <f t="shared" si="81"/>
        <v>19.296791767190232</v>
      </c>
      <c r="CK60" s="1148">
        <f t="shared" si="81"/>
        <v>19.310133522139004</v>
      </c>
      <c r="CL60" s="1148">
        <f t="shared" si="81"/>
        <v>19.314655784821952</v>
      </c>
      <c r="CM60" s="1148">
        <f t="shared" si="81"/>
        <v>19.319179106578872</v>
      </c>
      <c r="CN60" s="1148">
        <f t="shared" si="81"/>
        <v>19.323703487657788</v>
      </c>
      <c r="CO60" s="1148">
        <f t="shared" si="81"/>
        <v>19.328228928306782</v>
      </c>
      <c r="CP60" s="1148">
        <f t="shared" si="81"/>
        <v>19.332755428773996</v>
      </c>
      <c r="CQ60" s="1148">
        <f t="shared" si="81"/>
        <v>19.339615774830435</v>
      </c>
      <c r="CR60" s="1148">
        <f t="shared" si="81"/>
        <v>19.34647855532247</v>
      </c>
      <c r="CS60" s="1148">
        <f t="shared" si="81"/>
        <v>19.353343771113977</v>
      </c>
      <c r="CT60" s="1148">
        <f t="shared" si="81"/>
        <v>19.360211423069138</v>
      </c>
      <c r="CU60" s="1148">
        <f t="shared" si="81"/>
        <v>19.36708151205244</v>
      </c>
      <c r="CV60" s="1148">
        <f t="shared" si="81"/>
        <v>19.37765460808377</v>
      </c>
      <c r="CW60" s="1148">
        <f t="shared" si="81"/>
        <v>19.388233476299188</v>
      </c>
      <c r="CX60" s="1148">
        <f t="shared" si="81"/>
        <v>19.398818119849906</v>
      </c>
      <c r="CY60" s="1148">
        <f t="shared" si="81"/>
        <v>19.409408541888862</v>
      </c>
      <c r="CZ60" s="1148">
        <f t="shared" si="81"/>
        <v>19.420004745570715</v>
      </c>
    </row>
    <row r="61" spans="1:104">
      <c r="A61" s="737" t="str">
        <f>'HyARC Physical Property Data'!A72</f>
        <v>Industrial Natural Gas</v>
      </c>
      <c r="B61">
        <v>2011</v>
      </c>
      <c r="C61" s="738">
        <f t="shared" si="78"/>
        <v>1.0771767810026385</v>
      </c>
      <c r="D61" s="1026" t="str">
        <f>'HyARC Physical Property Data'!H72</f>
        <v>mmBtu</v>
      </c>
      <c r="E61" s="738" t="s">
        <v>1055</v>
      </c>
      <c r="F61">
        <f>'HyARC Physical Property Data'!$E$6</f>
        <v>47.141269049911173</v>
      </c>
      <c r="G61">
        <f>'HyARC Physical Property Data'!$I$6</f>
        <v>52.224661236371581</v>
      </c>
      <c r="H61" s="852">
        <v>7.8800725307970341</v>
      </c>
      <c r="I61" s="852">
        <v>7.8800725307970341</v>
      </c>
      <c r="J61" s="852">
        <v>7.8800725307970341</v>
      </c>
      <c r="K61" s="852">
        <v>7.4431315976064605</v>
      </c>
      <c r="L61" s="852">
        <v>8.8750360136942668</v>
      </c>
      <c r="M61" s="852">
        <v>6.5580125743803235</v>
      </c>
      <c r="N61">
        <f t="shared" ref="N61:AR61" si="82">N76*(1/mmBTU_to_GJ*$C61*$G61/$F61)</f>
        <v>6.2030163592696592</v>
      </c>
      <c r="O61">
        <f t="shared" si="82"/>
        <v>5.5300347074699987</v>
      </c>
      <c r="P61">
        <f t="shared" si="82"/>
        <v>4.260790785073671</v>
      </c>
      <c r="Q61">
        <f t="shared" si="82"/>
        <v>4.9204025921851677</v>
      </c>
      <c r="R61">
        <f t="shared" si="82"/>
        <v>4.9951990684837728</v>
      </c>
      <c r="S61">
        <f t="shared" si="82"/>
        <v>5.0372880634792523</v>
      </c>
      <c r="T61">
        <f t="shared" si="82"/>
        <v>5.5611676689925886</v>
      </c>
      <c r="U61">
        <f t="shared" si="82"/>
        <v>5.805087024993802</v>
      </c>
      <c r="V61">
        <f t="shared" si="82"/>
        <v>6.0936211681384362</v>
      </c>
      <c r="W61">
        <f t="shared" si="82"/>
        <v>6.2815263042747977</v>
      </c>
      <c r="X61">
        <f t="shared" si="82"/>
        <v>6.446729851334049</v>
      </c>
      <c r="Y61">
        <f t="shared" si="82"/>
        <v>6.6107547707989633</v>
      </c>
      <c r="Z61">
        <f t="shared" si="82"/>
        <v>6.8493465490944869</v>
      </c>
      <c r="AA61">
        <f t="shared" si="82"/>
        <v>7.0700971632388772</v>
      </c>
      <c r="AB61">
        <f t="shared" si="82"/>
        <v>7.1542932511583484</v>
      </c>
      <c r="AC61">
        <f t="shared" si="82"/>
        <v>7.2893513049194398</v>
      </c>
      <c r="AD61">
        <f t="shared" si="82"/>
        <v>7.4302708252773213</v>
      </c>
      <c r="AE61">
        <f t="shared" si="82"/>
        <v>7.5360419062240371</v>
      </c>
      <c r="AF61">
        <f t="shared" si="82"/>
        <v>7.7520157983618185</v>
      </c>
      <c r="AG61">
        <f t="shared" si="82"/>
        <v>7.8975966664320465</v>
      </c>
      <c r="AH61">
        <f t="shared" si="82"/>
        <v>8.0540057513550476</v>
      </c>
      <c r="AI61">
        <f t="shared" si="82"/>
        <v>8.2613853896907425</v>
      </c>
      <c r="AJ61">
        <f t="shared" si="82"/>
        <v>8.5847569141002449</v>
      </c>
      <c r="AK61">
        <f t="shared" si="82"/>
        <v>8.9483974605692502</v>
      </c>
      <c r="AL61">
        <f t="shared" si="82"/>
        <v>9.3215688286408334</v>
      </c>
      <c r="AM61">
        <f t="shared" si="82"/>
        <v>9.648490940400265</v>
      </c>
      <c r="AN61">
        <f t="shared" si="82"/>
        <v>10.068364012996796</v>
      </c>
      <c r="AO61">
        <f t="shared" si="82"/>
        <v>10.306145908991411</v>
      </c>
      <c r="AP61">
        <f t="shared" si="82"/>
        <v>10.735979628992679</v>
      </c>
      <c r="AQ61">
        <f t="shared" si="82"/>
        <v>11.099317035159109</v>
      </c>
      <c r="AR61">
        <f t="shared" si="82"/>
        <v>11.325040055162141</v>
      </c>
      <c r="AS61">
        <f t="shared" ref="AS61:BA61" si="83">($BB61-$AR61)/10+AR61</f>
        <v>11.278211053887526</v>
      </c>
      <c r="AT61">
        <f t="shared" si="83"/>
        <v>11.231382052612911</v>
      </c>
      <c r="AU61">
        <f t="shared" si="83"/>
        <v>11.184553051338296</v>
      </c>
      <c r="AV61">
        <f t="shared" si="83"/>
        <v>11.137724050063682</v>
      </c>
      <c r="AW61">
        <f t="shared" si="83"/>
        <v>11.090895048789067</v>
      </c>
      <c r="AX61">
        <f t="shared" si="83"/>
        <v>11.044066047514452</v>
      </c>
      <c r="AY61">
        <f t="shared" si="83"/>
        <v>10.997237046239837</v>
      </c>
      <c r="AZ61">
        <f t="shared" si="83"/>
        <v>10.950408044965222</v>
      </c>
      <c r="BA61">
        <f t="shared" si="83"/>
        <v>10.903579043690607</v>
      </c>
      <c r="BB61" s="790">
        <f>'AEO Data'!$B$30*AM61</f>
        <v>10.856750042415998</v>
      </c>
      <c r="BC61">
        <f>($BQ61-$BB61)/15+BB61</f>
        <v>10.945214433897943</v>
      </c>
      <c r="BD61">
        <f t="shared" si="75"/>
        <v>11.033678825379889</v>
      </c>
      <c r="BE61">
        <f t="shared" si="75"/>
        <v>11.122143216861835</v>
      </c>
      <c r="BF61">
        <f t="shared" si="75"/>
        <v>11.21060760834378</v>
      </c>
      <c r="BG61">
        <f t="shared" si="75"/>
        <v>11.299071999825726</v>
      </c>
      <c r="BH61">
        <f t="shared" si="75"/>
        <v>11.387536391307671</v>
      </c>
      <c r="BI61">
        <f t="shared" si="75"/>
        <v>11.476000782789617</v>
      </c>
      <c r="BJ61">
        <f t="shared" si="75"/>
        <v>11.564465174271563</v>
      </c>
      <c r="BK61">
        <f t="shared" si="75"/>
        <v>11.652929565753508</v>
      </c>
      <c r="BL61">
        <f t="shared" si="75"/>
        <v>11.741393957235454</v>
      </c>
      <c r="BM61">
        <f t="shared" si="75"/>
        <v>11.8298583487174</v>
      </c>
      <c r="BN61">
        <f t="shared" si="75"/>
        <v>11.918322740199345</v>
      </c>
      <c r="BO61">
        <f t="shared" si="75"/>
        <v>12.006787131681291</v>
      </c>
      <c r="BP61">
        <f t="shared" si="75"/>
        <v>12.095251523163236</v>
      </c>
      <c r="BQ61" s="790">
        <f>'AEO Data'!$C$30*BB61</f>
        <v>12.183715914645184</v>
      </c>
      <c r="BR61" s="737">
        <f>($BV61-$BQ61)/5+BQ61</f>
        <v>12.253356443595324</v>
      </c>
      <c r="BS61">
        <f t="shared" si="76"/>
        <v>12.322996972545464</v>
      </c>
      <c r="BT61">
        <f t="shared" si="76"/>
        <v>12.392637501495605</v>
      </c>
      <c r="BU61">
        <f t="shared" si="76"/>
        <v>12.462278030445745</v>
      </c>
      <c r="BV61" s="811">
        <f>'AEO Data'!$D$30*BQ61</f>
        <v>12.531918559395887</v>
      </c>
      <c r="BW61" s="1148">
        <f>+BV61*BW$135/BV$135</f>
        <v>12.573528213903272</v>
      </c>
      <c r="BX61" s="1148">
        <f t="shared" ref="BX61:CZ61" si="84">+BW61*BX$135/BW$135</f>
        <v>12.61527602469854</v>
      </c>
      <c r="BY61" s="1148">
        <f t="shared" si="84"/>
        <v>12.657162450501191</v>
      </c>
      <c r="BZ61" s="1148">
        <f t="shared" si="84"/>
        <v>12.699187951553807</v>
      </c>
      <c r="CA61" s="1148">
        <f t="shared" si="84"/>
        <v>12.741352989627112</v>
      </c>
      <c r="CB61" s="1148">
        <f t="shared" si="84"/>
        <v>12.768542122597896</v>
      </c>
      <c r="CC61" s="1148">
        <f t="shared" si="84"/>
        <v>12.795789275227369</v>
      </c>
      <c r="CD61" s="1148">
        <f t="shared" si="84"/>
        <v>12.823094571325321</v>
      </c>
      <c r="CE61" s="1148">
        <f t="shared" si="84"/>
        <v>12.85045813496574</v>
      </c>
      <c r="CF61" s="1148">
        <f t="shared" si="84"/>
        <v>12.87788009048738</v>
      </c>
      <c r="CG61" s="1148">
        <f t="shared" si="84"/>
        <v>12.886783825496796</v>
      </c>
      <c r="CH61" s="1148">
        <f t="shared" si="84"/>
        <v>12.895693716526967</v>
      </c>
      <c r="CI61" s="1148">
        <f t="shared" si="84"/>
        <v>12.904609767834151</v>
      </c>
      <c r="CJ61" s="1148">
        <f t="shared" si="84"/>
        <v>12.913531983677547</v>
      </c>
      <c r="CK61" s="1148">
        <f t="shared" si="84"/>
        <v>12.922460368319303</v>
      </c>
      <c r="CL61" s="1148">
        <f t="shared" si="84"/>
        <v>12.925486694379064</v>
      </c>
      <c r="CM61" s="1148">
        <f t="shared" si="84"/>
        <v>12.928513729177656</v>
      </c>
      <c r="CN61" s="1148">
        <f t="shared" si="84"/>
        <v>12.931541472881056</v>
      </c>
      <c r="CO61" s="1148">
        <f t="shared" si="84"/>
        <v>12.934569925655282</v>
      </c>
      <c r="CP61" s="1148">
        <f t="shared" si="84"/>
        <v>12.937599087666396</v>
      </c>
      <c r="CQ61" s="1148">
        <f t="shared" si="84"/>
        <v>12.942190073530147</v>
      </c>
      <c r="CR61" s="1148">
        <f t="shared" si="84"/>
        <v>12.946782688533204</v>
      </c>
      <c r="CS61" s="1148">
        <f t="shared" si="84"/>
        <v>12.951376933253679</v>
      </c>
      <c r="CT61" s="1148">
        <f t="shared" si="84"/>
        <v>12.955972808269884</v>
      </c>
      <c r="CU61" s="1148">
        <f t="shared" si="84"/>
        <v>12.960570314160341</v>
      </c>
      <c r="CV61" s="1148">
        <f t="shared" si="84"/>
        <v>12.967645895190305</v>
      </c>
      <c r="CW61" s="1148">
        <f t="shared" si="84"/>
        <v>12.974725339001436</v>
      </c>
      <c r="CX61" s="1148">
        <f t="shared" si="84"/>
        <v>12.981808647702545</v>
      </c>
      <c r="CY61" s="1148">
        <f t="shared" si="84"/>
        <v>12.988895823403597</v>
      </c>
      <c r="CZ61" s="1148">
        <f t="shared" si="84"/>
        <v>12.995986868215709</v>
      </c>
    </row>
    <row r="62" spans="1:104">
      <c r="A62" s="737" t="str">
        <f>'HyARC Physical Property Data'!A74</f>
        <v>Electric Utility Natural Gas</v>
      </c>
      <c r="B62">
        <v>2011</v>
      </c>
      <c r="C62" s="738">
        <f t="shared" si="78"/>
        <v>1.0771767810026385</v>
      </c>
      <c r="D62" s="1026" t="str">
        <f>'HyARC Physical Property Data'!H74</f>
        <v>mmBtu</v>
      </c>
      <c r="E62" s="738" t="s">
        <v>1055</v>
      </c>
      <c r="F62">
        <f>'HyARC Physical Property Data'!$E$6</f>
        <v>47.141269049911173</v>
      </c>
      <c r="G62">
        <f>'HyARC Physical Property Data'!$I$6</f>
        <v>52.224661236371581</v>
      </c>
      <c r="H62" s="852">
        <v>6.9870463159656619</v>
      </c>
      <c r="I62" s="852">
        <v>6.9870463159656619</v>
      </c>
      <c r="J62" s="852">
        <v>6.9870463159656619</v>
      </c>
      <c r="K62" s="852">
        <v>6.9519071777354364</v>
      </c>
      <c r="L62" s="852">
        <v>9.0904707383294223</v>
      </c>
      <c r="M62" s="852">
        <v>6.2626950486669273</v>
      </c>
      <c r="N62">
        <f t="shared" ref="N62:AR62" si="85">N77*(1/mmBTU_to_GJ*$C62*$G62/$F62)</f>
        <v>5.9476195232303075</v>
      </c>
      <c r="O62">
        <f t="shared" si="85"/>
        <v>5.4007770397969699</v>
      </c>
      <c r="P62">
        <f t="shared" si="85"/>
        <v>3.7643838350413934</v>
      </c>
      <c r="Q62">
        <f t="shared" si="85"/>
        <v>4.2147881130374945</v>
      </c>
      <c r="R62">
        <f t="shared" si="85"/>
        <v>4.337012473242587</v>
      </c>
      <c r="S62">
        <f t="shared" si="85"/>
        <v>4.4297507834196734</v>
      </c>
      <c r="T62">
        <f t="shared" si="85"/>
        <v>4.9169062986207761</v>
      </c>
      <c r="U62">
        <f t="shared" si="85"/>
        <v>5.1166395621601932</v>
      </c>
      <c r="V62">
        <f t="shared" si="85"/>
        <v>5.3977920127130385</v>
      </c>
      <c r="W62">
        <f t="shared" si="85"/>
        <v>5.5768800643025109</v>
      </c>
      <c r="X62">
        <f t="shared" si="85"/>
        <v>5.731085726429189</v>
      </c>
      <c r="Y62">
        <f t="shared" si="85"/>
        <v>5.8852472748551197</v>
      </c>
      <c r="Z62">
        <f t="shared" si="85"/>
        <v>6.1240381303642737</v>
      </c>
      <c r="AA62">
        <f t="shared" si="85"/>
        <v>6.3478846214047309</v>
      </c>
      <c r="AB62">
        <f t="shared" si="85"/>
        <v>6.46780941356828</v>
      </c>
      <c r="AC62">
        <f t="shared" si="85"/>
        <v>6.6168153146093855</v>
      </c>
      <c r="AD62">
        <f t="shared" si="85"/>
        <v>6.7826918783851724</v>
      </c>
      <c r="AE62">
        <f t="shared" si="85"/>
        <v>6.9152648603374747</v>
      </c>
      <c r="AF62">
        <f t="shared" si="85"/>
        <v>7.1044436381928611</v>
      </c>
      <c r="AG62">
        <f t="shared" si="85"/>
        <v>7.2503909893154548</v>
      </c>
      <c r="AH62">
        <f t="shared" si="85"/>
        <v>7.4075070245709522</v>
      </c>
      <c r="AI62">
        <f t="shared" si="85"/>
        <v>7.6133030941618562</v>
      </c>
      <c r="AJ62">
        <f t="shared" si="85"/>
        <v>7.9366802741740186</v>
      </c>
      <c r="AK62">
        <f t="shared" si="85"/>
        <v>8.2829207934993665</v>
      </c>
      <c r="AL62">
        <f t="shared" si="85"/>
        <v>8.6352320367199251</v>
      </c>
      <c r="AM62">
        <f t="shared" si="85"/>
        <v>8.9389684398145519</v>
      </c>
      <c r="AN62">
        <f t="shared" si="85"/>
        <v>9.3489317654302884</v>
      </c>
      <c r="AO62">
        <f t="shared" si="85"/>
        <v>9.5889623290425074</v>
      </c>
      <c r="AP62">
        <f t="shared" si="85"/>
        <v>10.016230667677213</v>
      </c>
      <c r="AQ62">
        <f t="shared" si="85"/>
        <v>10.374123990723158</v>
      </c>
      <c r="AR62">
        <f t="shared" si="85"/>
        <v>10.560031568000021</v>
      </c>
      <c r="AS62">
        <f t="shared" ref="AS62:BA62" si="86">($BB62-$AR62)/10+AR62</f>
        <v>10.509865972613389</v>
      </c>
      <c r="AT62">
        <f t="shared" si="86"/>
        <v>10.459700377226756</v>
      </c>
      <c r="AU62">
        <f t="shared" si="86"/>
        <v>10.409534781840124</v>
      </c>
      <c r="AV62">
        <f t="shared" si="86"/>
        <v>10.359369186453492</v>
      </c>
      <c r="AW62">
        <f t="shared" si="86"/>
        <v>10.30920359106686</v>
      </c>
      <c r="AX62">
        <f t="shared" si="86"/>
        <v>10.259037995680227</v>
      </c>
      <c r="AY62">
        <f t="shared" si="86"/>
        <v>10.208872400293595</v>
      </c>
      <c r="AZ62">
        <f t="shared" si="86"/>
        <v>10.158706804906963</v>
      </c>
      <c r="BA62">
        <f t="shared" si="86"/>
        <v>10.108541209520331</v>
      </c>
      <c r="BB62" s="790">
        <f>'AEO Data'!$B$30*AM62</f>
        <v>10.058375614133693</v>
      </c>
      <c r="BC62">
        <f>($BQ62-$BB62)/15+BB62</f>
        <v>10.140334586618534</v>
      </c>
      <c r="BD62">
        <f t="shared" si="75"/>
        <v>10.222293559103376</v>
      </c>
      <c r="BE62">
        <f t="shared" si="75"/>
        <v>10.304252531588217</v>
      </c>
      <c r="BF62">
        <f t="shared" si="75"/>
        <v>10.386211504073058</v>
      </c>
      <c r="BG62">
        <f t="shared" si="75"/>
        <v>10.4681704765579</v>
      </c>
      <c r="BH62">
        <f t="shared" si="75"/>
        <v>10.550129449042741</v>
      </c>
      <c r="BI62">
        <f t="shared" si="75"/>
        <v>10.632088421527582</v>
      </c>
      <c r="BJ62">
        <f t="shared" si="75"/>
        <v>10.714047394012423</v>
      </c>
      <c r="BK62">
        <f t="shared" si="75"/>
        <v>10.796006366497265</v>
      </c>
      <c r="BL62">
        <f t="shared" si="75"/>
        <v>10.877965338982106</v>
      </c>
      <c r="BM62">
        <f t="shared" si="75"/>
        <v>10.959924311466947</v>
      </c>
      <c r="BN62">
        <f t="shared" si="75"/>
        <v>11.041883283951789</v>
      </c>
      <c r="BO62">
        <f t="shared" si="75"/>
        <v>11.12384225643663</v>
      </c>
      <c r="BP62">
        <f t="shared" si="75"/>
        <v>11.205801228921471</v>
      </c>
      <c r="BQ62" s="790">
        <f>'AEO Data'!$C$30*BB62</f>
        <v>11.287760201406321</v>
      </c>
      <c r="BR62" s="737">
        <f>($BV62-$BQ62)/5+BQ62</f>
        <v>11.35227956451322</v>
      </c>
      <c r="BS62">
        <f t="shared" si="76"/>
        <v>11.416798927620118</v>
      </c>
      <c r="BT62">
        <f t="shared" si="76"/>
        <v>11.481318290727016</v>
      </c>
      <c r="BU62">
        <f t="shared" si="76"/>
        <v>11.545837653833914</v>
      </c>
      <c r="BV62" s="811">
        <f>'AEO Data'!$D$30*BQ62</f>
        <v>11.610357016940812</v>
      </c>
      <c r="BW62" s="1148">
        <f>+BV62*BW$136/BV$136</f>
        <v>11.648906816150932</v>
      </c>
      <c r="BX62" s="1148">
        <f t="shared" ref="BX62:CZ63" si="87">+BW62*BX$136/BW$136</f>
        <v>11.687584612029626</v>
      </c>
      <c r="BY62" s="1148">
        <f t="shared" si="87"/>
        <v>11.726390829563474</v>
      </c>
      <c r="BZ62" s="1148">
        <f t="shared" si="87"/>
        <v>11.765325895150129</v>
      </c>
      <c r="CA62" s="1148">
        <f t="shared" si="87"/>
        <v>11.804390236603014</v>
      </c>
      <c r="CB62" s="1148">
        <f t="shared" si="87"/>
        <v>11.829579958294525</v>
      </c>
      <c r="CC62" s="1148">
        <f t="shared" si="87"/>
        <v>11.854823433044533</v>
      </c>
      <c r="CD62" s="1148">
        <f t="shared" si="87"/>
        <v>11.880120775558206</v>
      </c>
      <c r="CE62" s="1148">
        <f t="shared" si="87"/>
        <v>11.905472100785488</v>
      </c>
      <c r="CF62" s="1148">
        <f t="shared" si="87"/>
        <v>11.930877523921614</v>
      </c>
      <c r="CG62" s="1148">
        <f t="shared" si="87"/>
        <v>11.939126503657128</v>
      </c>
      <c r="CH62" s="1148">
        <f t="shared" si="87"/>
        <v>11.947381186717189</v>
      </c>
      <c r="CI62" s="1148">
        <f t="shared" si="87"/>
        <v>11.955641577045064</v>
      </c>
      <c r="CJ62" s="1148">
        <f t="shared" si="87"/>
        <v>11.963907678586745</v>
      </c>
      <c r="CK62" s="1148">
        <f t="shared" si="87"/>
        <v>11.97217949529095</v>
      </c>
      <c r="CL62" s="1148">
        <f t="shared" si="87"/>
        <v>11.974983273965139</v>
      </c>
      <c r="CM62" s="1148">
        <f t="shared" si="87"/>
        <v>11.977787709259525</v>
      </c>
      <c r="CN62" s="1148">
        <f t="shared" si="87"/>
        <v>11.980592801327882</v>
      </c>
      <c r="CO62" s="1148">
        <f t="shared" si="87"/>
        <v>11.98339855032402</v>
      </c>
      <c r="CP62" s="1148">
        <f t="shared" si="87"/>
        <v>11.986204956401787</v>
      </c>
      <c r="CQ62" s="1148">
        <f t="shared" si="87"/>
        <v>11.990458334261309</v>
      </c>
      <c r="CR62" s="1148">
        <f t="shared" si="87"/>
        <v>11.99471322145788</v>
      </c>
      <c r="CS62" s="1148">
        <f t="shared" si="87"/>
        <v>11.9989696185271</v>
      </c>
      <c r="CT62" s="1148">
        <f t="shared" si="87"/>
        <v>12.003227526004752</v>
      </c>
      <c r="CU62" s="1148">
        <f t="shared" si="87"/>
        <v>12.007486944426816</v>
      </c>
      <c r="CV62" s="1148">
        <f t="shared" si="87"/>
        <v>12.014042207411556</v>
      </c>
      <c r="CW62" s="1148">
        <f t="shared" si="87"/>
        <v>12.020601049119556</v>
      </c>
      <c r="CX62" s="1148">
        <f t="shared" si="87"/>
        <v>12.027163471504549</v>
      </c>
      <c r="CY62" s="1148">
        <f t="shared" si="87"/>
        <v>12.033729476521339</v>
      </c>
      <c r="CZ62" s="1148">
        <f t="shared" si="87"/>
        <v>12.040299066125799</v>
      </c>
    </row>
    <row r="63" spans="1:104">
      <c r="A63" s="737" t="str">
        <f>'HyARC Physical Property Data'!A75</f>
        <v>Bio Methane</v>
      </c>
      <c r="B63">
        <v>2007</v>
      </c>
      <c r="C63" s="738">
        <f t="shared" si="78"/>
        <v>1.1413971588333081</v>
      </c>
      <c r="D63" s="1029" t="str">
        <f>'HyARC Physical Property Data'!H75</f>
        <v>mmBtu</v>
      </c>
      <c r="E63" s="738" t="s">
        <v>1055</v>
      </c>
      <c r="F63">
        <f>'HyARC Physical Property Data'!$E$6</f>
        <v>47.141269049911173</v>
      </c>
      <c r="G63">
        <f>'HyARC Physical Property Data'!$I$6</f>
        <v>52.224661236371581</v>
      </c>
      <c r="H63" s="852">
        <v>12.42654028436019</v>
      </c>
      <c r="I63" s="852">
        <v>12.42654028436019</v>
      </c>
      <c r="J63" s="852">
        <v>12.42654028436019</v>
      </c>
      <c r="K63" s="852">
        <v>12.42654028436019</v>
      </c>
      <c r="L63" s="852">
        <v>12.42654028436019</v>
      </c>
      <c r="M63" s="852">
        <v>12.42654028436019</v>
      </c>
      <c r="N63">
        <f t="shared" ref="N63:AM63" si="88">13.11*($C$63/mmBTU_to_GJ)</f>
        <v>14.183617774696369</v>
      </c>
      <c r="O63">
        <f t="shared" si="88"/>
        <v>14.183617774696369</v>
      </c>
      <c r="P63">
        <f t="shared" si="88"/>
        <v>14.183617774696369</v>
      </c>
      <c r="Q63">
        <f t="shared" si="88"/>
        <v>14.183617774696369</v>
      </c>
      <c r="R63">
        <f t="shared" si="88"/>
        <v>14.183617774696369</v>
      </c>
      <c r="S63">
        <f t="shared" si="88"/>
        <v>14.183617774696369</v>
      </c>
      <c r="T63">
        <f t="shared" si="88"/>
        <v>14.183617774696369</v>
      </c>
      <c r="U63">
        <f t="shared" si="88"/>
        <v>14.183617774696369</v>
      </c>
      <c r="V63">
        <f t="shared" si="88"/>
        <v>14.183617774696369</v>
      </c>
      <c r="W63">
        <f t="shared" si="88"/>
        <v>14.183617774696369</v>
      </c>
      <c r="X63">
        <f t="shared" si="88"/>
        <v>14.183617774696369</v>
      </c>
      <c r="Y63">
        <f t="shared" si="88"/>
        <v>14.183617774696369</v>
      </c>
      <c r="Z63">
        <f t="shared" si="88"/>
        <v>14.183617774696369</v>
      </c>
      <c r="AA63">
        <f t="shared" si="88"/>
        <v>14.183617774696369</v>
      </c>
      <c r="AB63">
        <f t="shared" si="88"/>
        <v>14.183617774696369</v>
      </c>
      <c r="AC63">
        <f t="shared" si="88"/>
        <v>14.183617774696369</v>
      </c>
      <c r="AD63">
        <f t="shared" si="88"/>
        <v>14.183617774696369</v>
      </c>
      <c r="AE63">
        <f t="shared" si="88"/>
        <v>14.183617774696369</v>
      </c>
      <c r="AF63">
        <f t="shared" si="88"/>
        <v>14.183617774696369</v>
      </c>
      <c r="AG63">
        <f t="shared" si="88"/>
        <v>14.183617774696369</v>
      </c>
      <c r="AH63">
        <f t="shared" si="88"/>
        <v>14.183617774696369</v>
      </c>
      <c r="AI63">
        <f t="shared" si="88"/>
        <v>14.183617774696369</v>
      </c>
      <c r="AJ63">
        <f t="shared" si="88"/>
        <v>14.183617774696369</v>
      </c>
      <c r="AK63">
        <f t="shared" si="88"/>
        <v>14.183617774696369</v>
      </c>
      <c r="AL63">
        <f t="shared" si="88"/>
        <v>14.183617774696369</v>
      </c>
      <c r="AM63">
        <f t="shared" si="88"/>
        <v>14.183617774696369</v>
      </c>
      <c r="AN63">
        <f t="shared" ref="AN63:BV63" si="89">13.11*($C$63/mmBTU_to_GJ)</f>
        <v>14.183617774696369</v>
      </c>
      <c r="AO63">
        <f t="shared" si="89"/>
        <v>14.183617774696369</v>
      </c>
      <c r="AP63">
        <f t="shared" si="89"/>
        <v>14.183617774696369</v>
      </c>
      <c r="AQ63">
        <f t="shared" si="89"/>
        <v>14.183617774696369</v>
      </c>
      <c r="AR63">
        <f t="shared" si="89"/>
        <v>14.183617774696369</v>
      </c>
      <c r="AS63">
        <f t="shared" si="89"/>
        <v>14.183617774696369</v>
      </c>
      <c r="AT63">
        <f t="shared" si="89"/>
        <v>14.183617774696369</v>
      </c>
      <c r="AU63">
        <f t="shared" si="89"/>
        <v>14.183617774696369</v>
      </c>
      <c r="AV63">
        <f t="shared" si="89"/>
        <v>14.183617774696369</v>
      </c>
      <c r="AW63">
        <f t="shared" si="89"/>
        <v>14.183617774696369</v>
      </c>
      <c r="AX63">
        <f t="shared" si="89"/>
        <v>14.183617774696369</v>
      </c>
      <c r="AY63">
        <f t="shared" si="89"/>
        <v>14.183617774696369</v>
      </c>
      <c r="AZ63">
        <f t="shared" si="89"/>
        <v>14.183617774696369</v>
      </c>
      <c r="BA63">
        <f t="shared" si="89"/>
        <v>14.183617774696369</v>
      </c>
      <c r="BB63">
        <f t="shared" si="89"/>
        <v>14.183617774696369</v>
      </c>
      <c r="BC63">
        <f t="shared" si="89"/>
        <v>14.183617774696369</v>
      </c>
      <c r="BD63">
        <f t="shared" si="89"/>
        <v>14.183617774696369</v>
      </c>
      <c r="BE63">
        <f t="shared" si="89"/>
        <v>14.183617774696369</v>
      </c>
      <c r="BF63">
        <f t="shared" si="89"/>
        <v>14.183617774696369</v>
      </c>
      <c r="BG63">
        <f t="shared" si="89"/>
        <v>14.183617774696369</v>
      </c>
      <c r="BH63">
        <f t="shared" si="89"/>
        <v>14.183617774696369</v>
      </c>
      <c r="BI63">
        <f t="shared" si="89"/>
        <v>14.183617774696369</v>
      </c>
      <c r="BJ63">
        <f t="shared" si="89"/>
        <v>14.183617774696369</v>
      </c>
      <c r="BK63">
        <f t="shared" si="89"/>
        <v>14.183617774696369</v>
      </c>
      <c r="BL63">
        <f t="shared" si="89"/>
        <v>14.183617774696369</v>
      </c>
      <c r="BM63">
        <f t="shared" si="89"/>
        <v>14.183617774696369</v>
      </c>
      <c r="BN63">
        <f t="shared" si="89"/>
        <v>14.183617774696369</v>
      </c>
      <c r="BO63">
        <f t="shared" si="89"/>
        <v>14.183617774696369</v>
      </c>
      <c r="BP63">
        <f t="shared" si="89"/>
        <v>14.183617774696369</v>
      </c>
      <c r="BQ63">
        <f t="shared" si="89"/>
        <v>14.183617774696369</v>
      </c>
      <c r="BR63" s="737">
        <f t="shared" si="89"/>
        <v>14.183617774696369</v>
      </c>
      <c r="BS63">
        <f t="shared" si="89"/>
        <v>14.183617774696369</v>
      </c>
      <c r="BT63">
        <f t="shared" si="89"/>
        <v>14.183617774696369</v>
      </c>
      <c r="BU63">
        <f t="shared" si="89"/>
        <v>14.183617774696369</v>
      </c>
      <c r="BV63" s="609">
        <f t="shared" si="89"/>
        <v>14.183617774696369</v>
      </c>
      <c r="BW63" s="1148">
        <f>+BV63*BW$136/BV$136</f>
        <v>14.230711556264829</v>
      </c>
      <c r="BX63" s="1148">
        <f t="shared" si="87"/>
        <v>14.277961703035571</v>
      </c>
      <c r="BY63" s="1148">
        <f t="shared" si="87"/>
        <v>14.325368734187041</v>
      </c>
      <c r="BZ63" s="1148">
        <f t="shared" si="87"/>
        <v>14.372933170621517</v>
      </c>
      <c r="CA63" s="1148">
        <f t="shared" si="87"/>
        <v>14.420655534970821</v>
      </c>
      <c r="CB63" s="1148">
        <f t="shared" si="87"/>
        <v>14.451428179067991</v>
      </c>
      <c r="CC63" s="1148">
        <f t="shared" si="87"/>
        <v>14.482266489779443</v>
      </c>
      <c r="CD63" s="1148">
        <f t="shared" si="87"/>
        <v>14.51317060723302</v>
      </c>
      <c r="CE63" s="1148">
        <f t="shared" si="87"/>
        <v>14.54414067185559</v>
      </c>
      <c r="CF63" s="1148">
        <f t="shared" si="87"/>
        <v>14.575176824373679</v>
      </c>
      <c r="CG63" s="1148">
        <f t="shared" si="87"/>
        <v>14.585254066221541</v>
      </c>
      <c r="CH63" s="1148">
        <f t="shared" si="87"/>
        <v>14.595338275449933</v>
      </c>
      <c r="CI63" s="1148">
        <f t="shared" si="87"/>
        <v>14.605429456876088</v>
      </c>
      <c r="CJ63" s="1148">
        <f t="shared" si="87"/>
        <v>14.615527615320566</v>
      </c>
      <c r="CK63" s="1148">
        <f t="shared" si="87"/>
        <v>14.625632755607262</v>
      </c>
      <c r="CL63" s="1148">
        <f t="shared" si="87"/>
        <v>14.629057949594106</v>
      </c>
      <c r="CM63" s="1148">
        <f t="shared" si="87"/>
        <v>14.632483945731124</v>
      </c>
      <c r="CN63" s="1148">
        <f t="shared" si="87"/>
        <v>14.635910744206171</v>
      </c>
      <c r="CO63" s="1148">
        <f t="shared" si="87"/>
        <v>14.639338345207147</v>
      </c>
      <c r="CP63" s="1148">
        <f t="shared" si="87"/>
        <v>14.642766748922</v>
      </c>
      <c r="CQ63" s="1148">
        <f t="shared" si="87"/>
        <v>14.647962823919764</v>
      </c>
      <c r="CR63" s="1148">
        <f t="shared" si="87"/>
        <v>14.6531607427764</v>
      </c>
      <c r="CS63" s="1148">
        <f t="shared" si="87"/>
        <v>14.658360506146211</v>
      </c>
      <c r="CT63" s="1148">
        <f t="shared" si="87"/>
        <v>14.663562114683737</v>
      </c>
      <c r="CU63" s="1148">
        <f t="shared" si="87"/>
        <v>14.668765569043746</v>
      </c>
      <c r="CV63" s="1148">
        <f t="shared" si="87"/>
        <v>14.676773707333766</v>
      </c>
      <c r="CW63" s="1148">
        <f t="shared" si="87"/>
        <v>14.68478621751715</v>
      </c>
      <c r="CX63" s="1148">
        <f t="shared" si="87"/>
        <v>14.692803101980653</v>
      </c>
      <c r="CY63" s="1148">
        <f t="shared" si="87"/>
        <v>14.700824363112332</v>
      </c>
      <c r="CZ63" s="1148">
        <f t="shared" si="87"/>
        <v>14.708850003301547</v>
      </c>
    </row>
    <row r="64" spans="1:104">
      <c r="A64" s="812" t="str">
        <f>'HyARC Physical Property Data'!A85</f>
        <v>Woody Biomass</v>
      </c>
      <c r="B64">
        <v>2005</v>
      </c>
      <c r="C64" s="738">
        <f>VLOOKUP(ref_year,DeflatorTable,2,FALSE)/VLOOKUP(B64,DeflatorTable,2,FALSE)</f>
        <v>1.208440716126562</v>
      </c>
      <c r="D64" s="1028" t="str">
        <f>+'HyARC Physical Property Data'!$H$85</f>
        <v>kg</v>
      </c>
      <c r="E64" s="756" t="s">
        <v>1049</v>
      </c>
      <c r="F64">
        <f>'HyARC Physical Property Data'!$E$45</f>
        <v>19.551069237418005</v>
      </c>
      <c r="G64">
        <f>'HyARC Physical Property Data'!$I$45</f>
        <v>20.588656379262464</v>
      </c>
      <c r="H64" s="852">
        <v>1.3438238843289665</v>
      </c>
      <c r="I64" s="852">
        <v>1.3438238843289665</v>
      </c>
      <c r="J64" s="852">
        <v>1.3438238843289665</v>
      </c>
      <c r="K64" s="852">
        <v>1.3438238843289665</v>
      </c>
      <c r="L64" s="852">
        <v>1.3438238843289665</v>
      </c>
      <c r="M64" s="852">
        <v>1.3438238843289665</v>
      </c>
      <c r="N64">
        <f>1.27*($C$64)</f>
        <v>1.5347197094807337</v>
      </c>
      <c r="O64">
        <f>1.27*($C$64)</f>
        <v>1.5347197094807337</v>
      </c>
      <c r="P64">
        <f>1.28*($C$64)</f>
        <v>1.5468041166419995</v>
      </c>
      <c r="Q64">
        <f>1.32*($C$64)</f>
        <v>1.595141745287062</v>
      </c>
      <c r="R64">
        <f>1.32*($C$64)</f>
        <v>1.595141745287062</v>
      </c>
      <c r="S64">
        <f>1.34*($C$64)</f>
        <v>1.6193105596095931</v>
      </c>
      <c r="T64">
        <f>1.34*($C$64)</f>
        <v>1.6193105596095931</v>
      </c>
      <c r="U64">
        <f>1.36*($C$64)</f>
        <v>1.6434793739321245</v>
      </c>
      <c r="V64">
        <f>1.36*($C$64)</f>
        <v>1.6434793739321245</v>
      </c>
      <c r="W64">
        <f>1.38*($C$64)</f>
        <v>1.6676481882546554</v>
      </c>
      <c r="X64">
        <f>1.4*($C$64)</f>
        <v>1.6918170025771868</v>
      </c>
      <c r="Y64">
        <f>1.46*($C$64)</f>
        <v>1.7643234455447805</v>
      </c>
      <c r="Z64">
        <f>1.48*($C$64)</f>
        <v>1.7884922598673119</v>
      </c>
      <c r="AA64">
        <f>1.48*($C$64)</f>
        <v>1.7884922598673119</v>
      </c>
      <c r="AB64">
        <f>1.51*($C$64)</f>
        <v>1.8247454813511086</v>
      </c>
      <c r="AC64">
        <f>1.52*($C$64)</f>
        <v>1.8368298885123742</v>
      </c>
      <c r="AD64">
        <f>1.62*($C$64)</f>
        <v>1.9576739601250306</v>
      </c>
      <c r="AE64">
        <f>1.72*($C$64)</f>
        <v>2.0785180317376866</v>
      </c>
      <c r="AF64">
        <f>1.82*($C$64)</f>
        <v>2.1993621033503428</v>
      </c>
      <c r="AG64">
        <f>1.91*($C$64)</f>
        <v>2.3081217678017332</v>
      </c>
      <c r="AH64">
        <f>2.01*($C$64)</f>
        <v>2.4289658394143894</v>
      </c>
      <c r="AI64">
        <f>2.11*($C$64)</f>
        <v>2.5498099110270456</v>
      </c>
      <c r="AJ64">
        <f>2.2*($C$64)</f>
        <v>2.6585695754784364</v>
      </c>
      <c r="AK64">
        <f>2.3*($C$64)</f>
        <v>2.7794136470910926</v>
      </c>
      <c r="AL64">
        <f>2.4*($C$64)</f>
        <v>2.9002577187037488</v>
      </c>
      <c r="AM64">
        <f>2.5*($C$64)</f>
        <v>3.021101790316405</v>
      </c>
      <c r="AN64">
        <f>2.57*($C$64)</f>
        <v>3.1056926404452643</v>
      </c>
      <c r="AO64">
        <f>2.64*($C$64)</f>
        <v>3.190283490574124</v>
      </c>
      <c r="AP64">
        <f>2.71*($C$64)</f>
        <v>3.2748743407029832</v>
      </c>
      <c r="AQ64">
        <f>2.78*($C$64)</f>
        <v>3.359465190831842</v>
      </c>
      <c r="AR64">
        <f>2.85*($C$64)</f>
        <v>3.4440560409607017</v>
      </c>
      <c r="AS64">
        <f>2.92*($C$64)</f>
        <v>3.528646891089561</v>
      </c>
      <c r="AT64">
        <f>2.99*($C$64)</f>
        <v>3.6132377412184207</v>
      </c>
      <c r="AU64">
        <f>3.07*($C$64)</f>
        <v>3.7099129985085453</v>
      </c>
      <c r="AV64">
        <f>3.14*($C$64)</f>
        <v>3.794503848637405</v>
      </c>
      <c r="AW64">
        <f>3.21*($C$64)</f>
        <v>3.8790946987662642</v>
      </c>
      <c r="AX64">
        <f>3.28*($C$64)</f>
        <v>3.963685548895123</v>
      </c>
      <c r="AY64">
        <f>3.35*($C$64)</f>
        <v>4.0482763990239832</v>
      </c>
      <c r="AZ64">
        <f>3.42*($C$64)</f>
        <v>4.1328672491528424</v>
      </c>
      <c r="BA64">
        <f>3.49*($C$64)</f>
        <v>4.2174580992817017</v>
      </c>
      <c r="BB64">
        <f>3.56*($C$64)</f>
        <v>4.3020489494105609</v>
      </c>
      <c r="BC64">
        <f>3.64*($C$64)</f>
        <v>4.3987242067006855</v>
      </c>
      <c r="BD64">
        <f>3.71*($C$64)</f>
        <v>4.4833150568295448</v>
      </c>
      <c r="BE64">
        <f>3.78*($C$64)</f>
        <v>4.567905906958404</v>
      </c>
      <c r="BF64">
        <f>3.85*($C$64)</f>
        <v>4.6524967570872642</v>
      </c>
      <c r="BG64">
        <f>3.92*($C$64)</f>
        <v>4.7370876072161234</v>
      </c>
      <c r="BH64">
        <f>3.99*($C$64)</f>
        <v>4.8216784573449827</v>
      </c>
      <c r="BI64">
        <f>4.06*($C$64)</f>
        <v>4.906269307473841</v>
      </c>
      <c r="BJ64">
        <f>4.14*($C$64)</f>
        <v>5.0029445647639665</v>
      </c>
      <c r="BK64">
        <f>4.21*($C$64)</f>
        <v>5.0875354148928258</v>
      </c>
      <c r="BL64">
        <f>4.28*($C$64)</f>
        <v>5.1721262650216859</v>
      </c>
      <c r="BM64">
        <f>4.35*($C$64)</f>
        <v>5.2567171151505443</v>
      </c>
      <c r="BN64">
        <f>4.42*($C$64)</f>
        <v>5.3413079652794044</v>
      </c>
      <c r="BO64">
        <f>4.49*($C$64)</f>
        <v>5.4258988154082637</v>
      </c>
      <c r="BP64">
        <f>4.56*($C$64)</f>
        <v>5.5104896655371221</v>
      </c>
      <c r="BQ64">
        <f>4.63*($C$64)</f>
        <v>5.5950805156659822</v>
      </c>
      <c r="BR64" s="737">
        <f>4.71*($C$64)</f>
        <v>5.6917557729561068</v>
      </c>
      <c r="BS64">
        <f>4.78*($C$64)</f>
        <v>5.7763466230849669</v>
      </c>
      <c r="BT64">
        <f>4.85*($C$64)</f>
        <v>5.8609374732138253</v>
      </c>
      <c r="BU64">
        <f>4.92*($C$64)</f>
        <v>5.9455283233426854</v>
      </c>
      <c r="BV64" s="609">
        <f>4.99*($C$64)</f>
        <v>6.0301191734715447</v>
      </c>
      <c r="BW64" s="1148">
        <f>+BV64*BW$137/BV$137</f>
        <v>6.0446132076616896</v>
      </c>
      <c r="BX64" s="1148">
        <f t="shared" ref="BX64:CZ64" si="90">+BW64*BX$137/BW$137</f>
        <v>6.0591420798079438</v>
      </c>
      <c r="BY64" s="1148">
        <f t="shared" si="90"/>
        <v>6.0737058736470511</v>
      </c>
      <c r="BZ64" s="1148">
        <f t="shared" si="90"/>
        <v>6.0883046731170198</v>
      </c>
      <c r="CA64" s="1148">
        <f t="shared" si="90"/>
        <v>6.1029385623576156</v>
      </c>
      <c r="CB64" s="1148">
        <f t="shared" si="90"/>
        <v>6.1157485681116217</v>
      </c>
      <c r="CC64" s="1148">
        <f t="shared" si="90"/>
        <v>6.1285854619369617</v>
      </c>
      <c r="CD64" s="1148">
        <f t="shared" si="90"/>
        <v>6.1414493002714252</v>
      </c>
      <c r="CE64" s="1148">
        <f t="shared" si="90"/>
        <v>6.1543401396712598</v>
      </c>
      <c r="CF64" s="1148">
        <f t="shared" si="90"/>
        <v>6.167258036811428</v>
      </c>
      <c r="CG64" s="1148">
        <f t="shared" si="90"/>
        <v>6.183149548139812</v>
      </c>
      <c r="CH64" s="1148">
        <f t="shared" si="90"/>
        <v>6.1990820079952069</v>
      </c>
      <c r="CI64" s="1148">
        <f t="shared" si="90"/>
        <v>6.215055521891923</v>
      </c>
      <c r="CJ64" s="1148">
        <f t="shared" si="90"/>
        <v>6.2310701956161552</v>
      </c>
      <c r="CK64" s="1148">
        <f t="shared" si="90"/>
        <v>6.2471261352266838</v>
      </c>
      <c r="CL64" s="1148">
        <f t="shared" si="90"/>
        <v>6.2604975997429575</v>
      </c>
      <c r="CM64" s="1148">
        <f t="shared" si="90"/>
        <v>6.2738976847896071</v>
      </c>
      <c r="CN64" s="1148">
        <f t="shared" si="90"/>
        <v>6.2873264516265444</v>
      </c>
      <c r="CO64" s="1148">
        <f t="shared" si="90"/>
        <v>6.3007839616448056</v>
      </c>
      <c r="CP64" s="1148">
        <f t="shared" si="90"/>
        <v>6.3142702763668277</v>
      </c>
      <c r="CQ64" s="1148">
        <f t="shared" si="90"/>
        <v>6.326614172551615</v>
      </c>
      <c r="CR64" s="1148">
        <f t="shared" si="90"/>
        <v>6.3389822000716718</v>
      </c>
      <c r="CS64" s="1148">
        <f t="shared" si="90"/>
        <v>6.3513744061018391</v>
      </c>
      <c r="CT64" s="1148">
        <f t="shared" si="90"/>
        <v>6.3637908379091801</v>
      </c>
      <c r="CU64" s="1148">
        <f t="shared" si="90"/>
        <v>6.376231542853164</v>
      </c>
      <c r="CV64" s="1148">
        <f t="shared" si="90"/>
        <v>6.3909193633613004</v>
      </c>
      <c r="CW64" s="1148">
        <f t="shared" si="90"/>
        <v>6.4056410176582252</v>
      </c>
      <c r="CX64" s="1148">
        <f t="shared" si="90"/>
        <v>6.4203965836809767</v>
      </c>
      <c r="CY64" s="1148">
        <f t="shared" si="90"/>
        <v>6.4351861395461265</v>
      </c>
      <c r="CZ64" s="1148">
        <f t="shared" si="90"/>
        <v>6.450009763550189</v>
      </c>
    </row>
    <row r="65" spans="1:104">
      <c r="A65" s="763" t="str">
        <f>'HyARC Physical Property Data'!A79</f>
        <v>Electric Utility Steam Coal</v>
      </c>
      <c r="B65">
        <v>2011</v>
      </c>
      <c r="C65" s="738">
        <f>VLOOKUP(ref_year,DeflatorTable,2,FALSE)/VLOOKUP(B65,DeflatorTable,2,FALSE)</f>
        <v>1.0771767810026385</v>
      </c>
      <c r="D65" s="1028" t="str">
        <f>+'HyARC Physical Property Data'!$H$79</f>
        <v>kg</v>
      </c>
      <c r="E65" s="756" t="s">
        <v>1049</v>
      </c>
      <c r="F65">
        <f>'HyARC Physical Property Data'!$E$42</f>
        <v>22.7322030001394</v>
      </c>
      <c r="G65">
        <f>'HyARC Physical Property Data'!$I$42</f>
        <v>23.967615189707661</v>
      </c>
      <c r="H65" s="852">
        <v>1.6359074751967535</v>
      </c>
      <c r="I65" s="852">
        <v>1.6359074751967535</v>
      </c>
      <c r="J65" s="852">
        <v>1.6359074751967535</v>
      </c>
      <c r="K65" s="852">
        <v>1.6778298347292193</v>
      </c>
      <c r="L65" s="852">
        <v>1.8315470257945772</v>
      </c>
      <c r="M65" s="852">
        <v>1.8060149340317679</v>
      </c>
      <c r="N65">
        <f t="shared" ref="N65:AR65" si="91">N79*($C65/mmBTU_to_GJ*$G65/$F65)</f>
        <v>2.4738067312648084</v>
      </c>
      <c r="O65">
        <f t="shared" si="91"/>
        <v>2.562092342657099</v>
      </c>
      <c r="P65">
        <f t="shared" si="91"/>
        <v>2.5992975836043981</v>
      </c>
      <c r="Q65">
        <f t="shared" si="91"/>
        <v>2.5097040133060879</v>
      </c>
      <c r="R65">
        <f t="shared" si="91"/>
        <v>2.6554020233616504</v>
      </c>
      <c r="S65">
        <f t="shared" si="91"/>
        <v>2.6808248690608902</v>
      </c>
      <c r="T65">
        <f t="shared" si="91"/>
        <v>2.7666904873496958</v>
      </c>
      <c r="U65">
        <f t="shared" si="91"/>
        <v>2.7733379328185648</v>
      </c>
      <c r="V65">
        <f t="shared" si="91"/>
        <v>2.7935332489312734</v>
      </c>
      <c r="W65">
        <f t="shared" si="91"/>
        <v>2.8081877712256396</v>
      </c>
      <c r="X65">
        <f t="shared" si="91"/>
        <v>2.8455997019753716</v>
      </c>
      <c r="Y65">
        <f t="shared" si="91"/>
        <v>2.875157420232656</v>
      </c>
      <c r="Z65">
        <f t="shared" si="91"/>
        <v>2.9218811571857422</v>
      </c>
      <c r="AA65">
        <f t="shared" si="91"/>
        <v>2.9595180783974975</v>
      </c>
      <c r="AB65">
        <f t="shared" si="91"/>
        <v>3.001801214126441</v>
      </c>
      <c r="AC65">
        <f t="shared" si="91"/>
        <v>3.0485410987203423</v>
      </c>
      <c r="AD65">
        <f t="shared" si="91"/>
        <v>3.0887358062372043</v>
      </c>
      <c r="AE65">
        <f t="shared" si="91"/>
        <v>3.1212689964420113</v>
      </c>
      <c r="AF65">
        <f t="shared" si="91"/>
        <v>3.1614959992405027</v>
      </c>
      <c r="AG65">
        <f t="shared" si="91"/>
        <v>3.2059762906296831</v>
      </c>
      <c r="AH65">
        <f t="shared" si="91"/>
        <v>3.2488525830312334</v>
      </c>
      <c r="AI65">
        <f t="shared" si="91"/>
        <v>3.2862978855719831</v>
      </c>
      <c r="AJ65">
        <f t="shared" si="91"/>
        <v>3.3267574143982119</v>
      </c>
      <c r="AK65">
        <f t="shared" si="91"/>
        <v>3.3693139835116237</v>
      </c>
      <c r="AL65">
        <f t="shared" si="91"/>
        <v>3.4131279155898357</v>
      </c>
      <c r="AM65">
        <f t="shared" si="91"/>
        <v>3.462467570354963</v>
      </c>
      <c r="AN65">
        <f t="shared" si="91"/>
        <v>3.500480193343015</v>
      </c>
      <c r="AO65">
        <f t="shared" si="91"/>
        <v>3.5291401027709814</v>
      </c>
      <c r="AP65">
        <f t="shared" si="91"/>
        <v>3.5647628749184039</v>
      </c>
      <c r="AQ65">
        <f t="shared" si="91"/>
        <v>3.6129969545423934</v>
      </c>
      <c r="AR65">
        <f t="shared" si="91"/>
        <v>3.658942375208194</v>
      </c>
      <c r="AS65">
        <f>($BB65-$AR65)/10+AR65</f>
        <v>3.6559939686764786</v>
      </c>
      <c r="AT65">
        <f t="shared" ref="AT65:BA65" si="92">($BB65-$AR65)/10+AS65</f>
        <v>3.6530455621447633</v>
      </c>
      <c r="AU65">
        <f t="shared" si="92"/>
        <v>3.6500971556130479</v>
      </c>
      <c r="AV65">
        <f t="shared" si="92"/>
        <v>3.6471487490813326</v>
      </c>
      <c r="AW65">
        <f t="shared" si="92"/>
        <v>3.6442003425496172</v>
      </c>
      <c r="AX65">
        <f t="shared" si="92"/>
        <v>3.6412519360179019</v>
      </c>
      <c r="AY65">
        <f t="shared" si="92"/>
        <v>3.6383035294861865</v>
      </c>
      <c r="AZ65">
        <f t="shared" si="92"/>
        <v>3.6353551229544712</v>
      </c>
      <c r="BA65">
        <f t="shared" si="92"/>
        <v>3.6324067164227558</v>
      </c>
      <c r="BB65" s="790">
        <f>('AEO Data'!$B$28*AM65)</f>
        <v>3.6294583098910396</v>
      </c>
      <c r="BC65">
        <f>($BQ65-$BB65)/15+BB65</f>
        <v>3.6421956634171884</v>
      </c>
      <c r="BD65">
        <f t="shared" ref="BD65:BP68" si="93">($BQ65-$BB65)/15+BC65</f>
        <v>3.6549330169433372</v>
      </c>
      <c r="BE65">
        <f t="shared" si="93"/>
        <v>3.667670370469486</v>
      </c>
      <c r="BF65">
        <f t="shared" si="93"/>
        <v>3.6804077239956348</v>
      </c>
      <c r="BG65">
        <f t="shared" si="93"/>
        <v>3.6931450775217836</v>
      </c>
      <c r="BH65">
        <f t="shared" si="93"/>
        <v>3.7058824310479324</v>
      </c>
      <c r="BI65">
        <f t="shared" si="93"/>
        <v>3.7186197845740812</v>
      </c>
      <c r="BJ65">
        <f t="shared" si="93"/>
        <v>3.73135713810023</v>
      </c>
      <c r="BK65">
        <f t="shared" si="93"/>
        <v>3.7440944916263788</v>
      </c>
      <c r="BL65">
        <f t="shared" si="93"/>
        <v>3.7568318451525275</v>
      </c>
      <c r="BM65">
        <f t="shared" si="93"/>
        <v>3.7695691986786763</v>
      </c>
      <c r="BN65">
        <f t="shared" si="93"/>
        <v>3.7823065522048251</v>
      </c>
      <c r="BO65">
        <f t="shared" si="93"/>
        <v>3.7950439057309739</v>
      </c>
      <c r="BP65">
        <f t="shared" si="93"/>
        <v>3.8077812592571227</v>
      </c>
      <c r="BQ65" s="790">
        <f>('AEO Data'!$C$28*BB65)</f>
        <v>3.8205186127832693</v>
      </c>
      <c r="BR65" s="737">
        <f t="shared" ref="BR65:BU68" si="94">($BV65-$BQ65)/5+BQ65</f>
        <v>3.8327668169477032</v>
      </c>
      <c r="BS65">
        <f t="shared" si="94"/>
        <v>3.845015021112137</v>
      </c>
      <c r="BT65">
        <f t="shared" si="94"/>
        <v>3.8572632252765708</v>
      </c>
      <c r="BU65">
        <f t="shared" si="94"/>
        <v>3.8695114294410047</v>
      </c>
      <c r="BV65" s="811">
        <f>('AEO Data'!$D$28*BQ65)</f>
        <v>3.8817596336054376</v>
      </c>
      <c r="BW65" s="1148">
        <f>+BV65*BW$138/BV$138</f>
        <v>3.8948836892010701</v>
      </c>
      <c r="BX65" s="1148">
        <f t="shared" ref="BX65:CZ65" si="95">+BW65*BX$138/BW$138</f>
        <v>3.9080521166413131</v>
      </c>
      <c r="BY65" s="1148">
        <f t="shared" si="95"/>
        <v>3.9212650659453869</v>
      </c>
      <c r="BZ65" s="1148">
        <f t="shared" si="95"/>
        <v>3.934522687639721</v>
      </c>
      <c r="CA65" s="1148">
        <f t="shared" si="95"/>
        <v>3.9478251327596676</v>
      </c>
      <c r="CB65" s="1148">
        <f t="shared" si="95"/>
        <v>3.9591283759223899</v>
      </c>
      <c r="CC65" s="1148">
        <f t="shared" si="95"/>
        <v>3.9704639820448935</v>
      </c>
      <c r="CD65" s="1148">
        <f t="shared" si="95"/>
        <v>3.9818320437874131</v>
      </c>
      <c r="CE65" s="1148">
        <f t="shared" si="95"/>
        <v>3.9932326540754852</v>
      </c>
      <c r="CF65" s="1148">
        <f t="shared" si="95"/>
        <v>4.0046659061007048</v>
      </c>
      <c r="CG65" s="1148">
        <f t="shared" si="95"/>
        <v>4.0133952059294913</v>
      </c>
      <c r="CH65" s="1148">
        <f t="shared" si="95"/>
        <v>4.0221435337314686</v>
      </c>
      <c r="CI65" s="1148">
        <f t="shared" si="95"/>
        <v>4.0309109309834765</v>
      </c>
      <c r="CJ65" s="1148">
        <f t="shared" si="95"/>
        <v>4.0396974392527643</v>
      </c>
      <c r="CK65" s="1148">
        <f t="shared" si="95"/>
        <v>4.0485031001971885</v>
      </c>
      <c r="CL65" s="1148">
        <f t="shared" si="95"/>
        <v>4.0544726040914778</v>
      </c>
      <c r="CM65" s="1148">
        <f t="shared" si="95"/>
        <v>4.0604509099987238</v>
      </c>
      <c r="CN65" s="1148">
        <f t="shared" si="95"/>
        <v>4.0664380308974657</v>
      </c>
      <c r="CO65" s="1148">
        <f t="shared" si="95"/>
        <v>4.0724339797853757</v>
      </c>
      <c r="CP65" s="1148">
        <f t="shared" si="95"/>
        <v>4.0784387696792948</v>
      </c>
      <c r="CQ65" s="1148">
        <f t="shared" si="95"/>
        <v>4.0804496799112764</v>
      </c>
      <c r="CR65" s="1148">
        <f t="shared" si="95"/>
        <v>4.0824615816402954</v>
      </c>
      <c r="CS65" s="1148">
        <f t="shared" si="95"/>
        <v>4.0844744753552202</v>
      </c>
      <c r="CT65" s="1148">
        <f t="shared" si="95"/>
        <v>4.0864883615451566</v>
      </c>
      <c r="CU65" s="1148">
        <f t="shared" si="95"/>
        <v>4.0885032406994535</v>
      </c>
      <c r="CV65" s="1148">
        <f t="shared" si="95"/>
        <v>4.0856074248284502</v>
      </c>
      <c r="CW65" s="1148">
        <f t="shared" si="95"/>
        <v>4.0827136600135576</v>
      </c>
      <c r="CX65" s="1148">
        <f t="shared" si="95"/>
        <v>4.0798219448020498</v>
      </c>
      <c r="CY65" s="1148">
        <f t="shared" si="95"/>
        <v>4.0769322777422268</v>
      </c>
      <c r="CZ65" s="1148">
        <f t="shared" si="95"/>
        <v>4.0740446573834195</v>
      </c>
    </row>
    <row r="66" spans="1:104">
      <c r="A66" s="740" t="str">
        <f>'HyARC Physical Property Data'!A76</f>
        <v>Commercial Electricity</v>
      </c>
      <c r="B66">
        <v>2011</v>
      </c>
      <c r="C66" s="738">
        <f t="shared" si="78"/>
        <v>1.0771767810026385</v>
      </c>
      <c r="D66" s="1028" t="str">
        <f>'HyARC Physical Property Data'!$H$76</f>
        <v>kWh</v>
      </c>
      <c r="E66" s="738" t="s">
        <v>1068</v>
      </c>
      <c r="F66" s="741"/>
      <c r="G66" s="738"/>
      <c r="H66" s="852">
        <v>26.764062885406638</v>
      </c>
      <c r="I66" s="852">
        <v>26.764062885406638</v>
      </c>
      <c r="J66" s="852">
        <v>26.764062885406638</v>
      </c>
      <c r="K66" s="852">
        <v>26.478521097803213</v>
      </c>
      <c r="L66" s="852">
        <v>27.879470162766175</v>
      </c>
      <c r="M66" s="852">
        <v>27.895326399478549</v>
      </c>
      <c r="N66">
        <f>N80*($C66)</f>
        <v>32.845898091688653</v>
      </c>
      <c r="O66">
        <f t="shared" ref="O66:AR68" si="96">O80*($C66)</f>
        <v>32.294462213720315</v>
      </c>
      <c r="P66">
        <f t="shared" si="96"/>
        <v>30.700817944591027</v>
      </c>
      <c r="Q66">
        <f t="shared" si="96"/>
        <v>29.936886325857518</v>
      </c>
      <c r="R66">
        <f t="shared" si="96"/>
        <v>30.351947314643798</v>
      </c>
      <c r="S66">
        <f t="shared" si="96"/>
        <v>30.31116863324538</v>
      </c>
      <c r="T66">
        <f t="shared" si="96"/>
        <v>30.903469366754614</v>
      </c>
      <c r="U66">
        <f t="shared" si="96"/>
        <v>31.264578879287598</v>
      </c>
      <c r="V66">
        <f t="shared" si="96"/>
        <v>31.3554312005277</v>
      </c>
      <c r="W66">
        <f t="shared" si="96"/>
        <v>31.211201538258571</v>
      </c>
      <c r="X66">
        <f t="shared" si="96"/>
        <v>31.282410463720318</v>
      </c>
      <c r="Y66">
        <f t="shared" si="96"/>
        <v>31.412854417546175</v>
      </c>
      <c r="Z66">
        <f t="shared" si="96"/>
        <v>31.504922871372031</v>
      </c>
      <c r="AA66">
        <f t="shared" si="96"/>
        <v>31.44926299274406</v>
      </c>
      <c r="AB66">
        <f t="shared" si="96"/>
        <v>31.362652593667544</v>
      </c>
      <c r="AC66">
        <f t="shared" si="96"/>
        <v>31.455675426121374</v>
      </c>
      <c r="AD66">
        <f t="shared" si="96"/>
        <v>31.429995531662264</v>
      </c>
      <c r="AE66">
        <f t="shared" si="96"/>
        <v>31.467324015831135</v>
      </c>
      <c r="AF66">
        <f t="shared" si="96"/>
        <v>31.469078736807386</v>
      </c>
      <c r="AG66">
        <f t="shared" si="96"/>
        <v>31.609617991424798</v>
      </c>
      <c r="AH66">
        <f t="shared" si="96"/>
        <v>31.830758075857517</v>
      </c>
      <c r="AI66">
        <f t="shared" si="96"/>
        <v>32.094287220976256</v>
      </c>
      <c r="AJ66">
        <f t="shared" si="96"/>
        <v>32.269189492084429</v>
      </c>
      <c r="AK66">
        <f t="shared" si="96"/>
        <v>32.612192740105542</v>
      </c>
      <c r="AL66">
        <f t="shared" si="96"/>
        <v>33.178551825197886</v>
      </c>
      <c r="AM66">
        <f t="shared" si="96"/>
        <v>33.706074378627967</v>
      </c>
      <c r="AN66">
        <f t="shared" si="96"/>
        <v>34.261722017810023</v>
      </c>
      <c r="AO66">
        <f t="shared" si="96"/>
        <v>34.758917736147751</v>
      </c>
      <c r="AP66">
        <f t="shared" si="96"/>
        <v>35.188647718337727</v>
      </c>
      <c r="AQ66">
        <f t="shared" si="96"/>
        <v>35.787504149736144</v>
      </c>
      <c r="AR66">
        <f t="shared" si="96"/>
        <v>36.169038011213715</v>
      </c>
      <c r="AS66">
        <f t="shared" ref="AS66:BA66" si="97">($BB66-$AR66)/10+AR66</f>
        <v>35.838717572225882</v>
      </c>
      <c r="AT66">
        <f t="shared" si="97"/>
        <v>35.508397133238049</v>
      </c>
      <c r="AU66">
        <f t="shared" si="97"/>
        <v>35.178076694250215</v>
      </c>
      <c r="AV66">
        <f t="shared" si="97"/>
        <v>34.847756255262382</v>
      </c>
      <c r="AW66">
        <f t="shared" si="97"/>
        <v>34.517435816274549</v>
      </c>
      <c r="AX66">
        <f t="shared" si="97"/>
        <v>34.187115377286716</v>
      </c>
      <c r="AY66">
        <f t="shared" si="97"/>
        <v>33.856794938298883</v>
      </c>
      <c r="AZ66">
        <f t="shared" si="97"/>
        <v>33.52647449931105</v>
      </c>
      <c r="BA66">
        <f t="shared" si="97"/>
        <v>33.196154060323217</v>
      </c>
      <c r="BB66" s="790">
        <f>'AEO Data'!$B$33*AM66</f>
        <v>32.865833621335355</v>
      </c>
      <c r="BC66">
        <f>($BQ66-$BB66)/15+BB66</f>
        <v>32.884982038593449</v>
      </c>
      <c r="BD66">
        <f t="shared" si="93"/>
        <v>32.904130455851544</v>
      </c>
      <c r="BE66">
        <f t="shared" si="93"/>
        <v>32.923278873109638</v>
      </c>
      <c r="BF66">
        <f t="shared" si="93"/>
        <v>32.942427290367732</v>
      </c>
      <c r="BG66">
        <f t="shared" si="93"/>
        <v>32.961575707625826</v>
      </c>
      <c r="BH66">
        <f t="shared" si="93"/>
        <v>32.98072412488392</v>
      </c>
      <c r="BI66">
        <f t="shared" si="93"/>
        <v>32.999872542142015</v>
      </c>
      <c r="BJ66">
        <f t="shared" si="93"/>
        <v>33.019020959400109</v>
      </c>
      <c r="BK66">
        <f t="shared" si="93"/>
        <v>33.038169376658203</v>
      </c>
      <c r="BL66">
        <f t="shared" si="93"/>
        <v>33.057317793916297</v>
      </c>
      <c r="BM66">
        <f t="shared" si="93"/>
        <v>33.076466211174392</v>
      </c>
      <c r="BN66">
        <f t="shared" si="93"/>
        <v>33.095614628432486</v>
      </c>
      <c r="BO66">
        <f t="shared" si="93"/>
        <v>33.11476304569058</v>
      </c>
      <c r="BP66">
        <f t="shared" si="93"/>
        <v>33.133911462948674</v>
      </c>
      <c r="BQ66" s="790">
        <f>'AEO Data'!$C$33*BB66</f>
        <v>33.153059880206783</v>
      </c>
      <c r="BR66" s="737">
        <f t="shared" si="94"/>
        <v>33.130736260086941</v>
      </c>
      <c r="BS66">
        <f t="shared" si="94"/>
        <v>33.108412639967099</v>
      </c>
      <c r="BT66">
        <f t="shared" si="94"/>
        <v>33.086089019847257</v>
      </c>
      <c r="BU66">
        <f t="shared" si="94"/>
        <v>33.063765399727416</v>
      </c>
      <c r="BV66" s="811">
        <f>'AEO Data'!$D$33*BQ66</f>
        <v>33.04144177960756</v>
      </c>
      <c r="BW66" s="1148">
        <f>+BV66*BW$139/BV$139</f>
        <v>33.026893508206783</v>
      </c>
      <c r="BX66" s="1148">
        <f t="shared" ref="BX66:CZ66" si="98">+BW66*BX$139/BW$139</f>
        <v>33.012351642464765</v>
      </c>
      <c r="BY66" s="1148">
        <f t="shared" si="98"/>
        <v>32.997816179561063</v>
      </c>
      <c r="BZ66" s="1148">
        <f t="shared" si="98"/>
        <v>32.983287116676486</v>
      </c>
      <c r="CA66" s="1148">
        <f t="shared" si="98"/>
        <v>32.968764450993078</v>
      </c>
      <c r="CB66" s="1148">
        <f t="shared" si="98"/>
        <v>32.94235698552729</v>
      </c>
      <c r="CC66" s="1148">
        <f t="shared" si="98"/>
        <v>32.915970672028941</v>
      </c>
      <c r="CD66" s="1148">
        <f t="shared" si="98"/>
        <v>32.889605493555642</v>
      </c>
      <c r="CE66" s="1148">
        <f t="shared" si="98"/>
        <v>32.863261433178565</v>
      </c>
      <c r="CF66" s="1148">
        <f t="shared" si="98"/>
        <v>32.83693847398245</v>
      </c>
      <c r="CG66" s="1148">
        <f t="shared" si="98"/>
        <v>32.800677122537721</v>
      </c>
      <c r="CH66" s="1148">
        <f t="shared" si="98"/>
        <v>32.764455813973655</v>
      </c>
      <c r="CI66" s="1148">
        <f t="shared" si="98"/>
        <v>32.728274504071479</v>
      </c>
      <c r="CJ66" s="1148">
        <f t="shared" si="98"/>
        <v>32.692133148661256</v>
      </c>
      <c r="CK66" s="1148">
        <f t="shared" si="98"/>
        <v>32.656031703621828</v>
      </c>
      <c r="CL66" s="1148">
        <f t="shared" si="98"/>
        <v>32.61667230567209</v>
      </c>
      <c r="CM66" s="1148">
        <f t="shared" si="98"/>
        <v>32.57736034649939</v>
      </c>
      <c r="CN66" s="1148">
        <f t="shared" si="98"/>
        <v>32.538095768927107</v>
      </c>
      <c r="CO66" s="1148">
        <f t="shared" si="98"/>
        <v>32.498878515847522</v>
      </c>
      <c r="CP66" s="1148">
        <f t="shared" si="98"/>
        <v>32.459708530221761</v>
      </c>
      <c r="CQ66" s="1148">
        <f t="shared" si="98"/>
        <v>32.414339458662745</v>
      </c>
      <c r="CR66" s="1148">
        <f t="shared" si="98"/>
        <v>32.369033799646459</v>
      </c>
      <c r="CS66" s="1148">
        <f t="shared" si="98"/>
        <v>32.323791464540925</v>
      </c>
      <c r="CT66" s="1148">
        <f t="shared" si="98"/>
        <v>32.27861236483804</v>
      </c>
      <c r="CU66" s="1148">
        <f t="shared" si="98"/>
        <v>32.233496412153421</v>
      </c>
      <c r="CV66" s="1148">
        <f t="shared" si="98"/>
        <v>32.189455210275135</v>
      </c>
      <c r="CW66" s="1148">
        <f t="shared" si="98"/>
        <v>32.145474182677603</v>
      </c>
      <c r="CX66" s="1148">
        <f t="shared" si="98"/>
        <v>32.101553247143634</v>
      </c>
      <c r="CY66" s="1148">
        <f t="shared" si="98"/>
        <v>32.057692321568368</v>
      </c>
      <c r="CZ66" s="1148">
        <f t="shared" si="98"/>
        <v>32.013891323959122</v>
      </c>
    </row>
    <row r="67" spans="1:104">
      <c r="A67" s="740" t="str">
        <f>'HyARC Physical Property Data'!A77</f>
        <v>Industrial Electricity</v>
      </c>
      <c r="B67">
        <v>2011</v>
      </c>
      <c r="C67" s="738">
        <f t="shared" si="78"/>
        <v>1.0771767810026385</v>
      </c>
      <c r="D67" s="1016" t="str">
        <f>'HyARC Physical Property Data'!$H$77</f>
        <v>kWh</v>
      </c>
      <c r="E67" s="738" t="s">
        <v>1068</v>
      </c>
      <c r="F67" s="739"/>
      <c r="H67" s="852">
        <v>17.365230901091444</v>
      </c>
      <c r="I67" s="852">
        <v>17.365230901091444</v>
      </c>
      <c r="J67" s="852">
        <v>17.365230901091444</v>
      </c>
      <c r="K67" s="852">
        <v>17.575551809904887</v>
      </c>
      <c r="L67" s="852">
        <v>19.530121721487372</v>
      </c>
      <c r="M67" s="852">
        <v>19.467200489895287</v>
      </c>
      <c r="N67">
        <f t="shared" ref="N67:AC68" si="99">N81*($C67)</f>
        <v>21.824080926781001</v>
      </c>
      <c r="O67">
        <f t="shared" si="99"/>
        <v>21.517382844986805</v>
      </c>
      <c r="P67">
        <f t="shared" si="99"/>
        <v>19.878853696569919</v>
      </c>
      <c r="Q67">
        <f t="shared" si="99"/>
        <v>19.559017289577834</v>
      </c>
      <c r="R67">
        <f t="shared" si="99"/>
        <v>19.681393189313983</v>
      </c>
      <c r="S67">
        <f t="shared" si="99"/>
        <v>19.595758712401054</v>
      </c>
      <c r="T67">
        <f t="shared" si="99"/>
        <v>20.147114879287596</v>
      </c>
      <c r="U67">
        <f t="shared" si="99"/>
        <v>20.469555899736147</v>
      </c>
      <c r="V67">
        <f t="shared" si="99"/>
        <v>20.570052184696571</v>
      </c>
      <c r="W67">
        <f t="shared" si="99"/>
        <v>20.520463274406332</v>
      </c>
      <c r="X67">
        <f t="shared" si="99"/>
        <v>20.569618082453825</v>
      </c>
      <c r="Y67">
        <f t="shared" si="99"/>
        <v>20.73793341754617</v>
      </c>
      <c r="Z67">
        <f t="shared" si="99"/>
        <v>20.92149511279683</v>
      </c>
      <c r="AA67">
        <f t="shared" si="99"/>
        <v>21.047268428100264</v>
      </c>
      <c r="AB67">
        <f t="shared" si="99"/>
        <v>21.075329960422163</v>
      </c>
      <c r="AC67">
        <f t="shared" si="99"/>
        <v>21.244222662269127</v>
      </c>
      <c r="AD67">
        <f t="shared" si="96"/>
        <v>21.339939513852244</v>
      </c>
      <c r="AE67">
        <f t="shared" si="96"/>
        <v>21.483012288258571</v>
      </c>
      <c r="AF67">
        <f t="shared" si="96"/>
        <v>21.593541397757257</v>
      </c>
      <c r="AG67">
        <f t="shared" si="96"/>
        <v>21.800339950527704</v>
      </c>
      <c r="AH67">
        <f t="shared" si="96"/>
        <v>21.997833850263849</v>
      </c>
      <c r="AI67">
        <f t="shared" si="96"/>
        <v>22.197943135224271</v>
      </c>
      <c r="AJ67">
        <f t="shared" si="96"/>
        <v>22.447729658970974</v>
      </c>
      <c r="AK67">
        <f t="shared" si="96"/>
        <v>22.811336067282323</v>
      </c>
      <c r="AL67">
        <f t="shared" si="96"/>
        <v>23.297994842348285</v>
      </c>
      <c r="AM67">
        <f t="shared" si="96"/>
        <v>23.815261595646437</v>
      </c>
      <c r="AN67">
        <f t="shared" si="96"/>
        <v>24.308689349604222</v>
      </c>
      <c r="AO67">
        <f t="shared" si="96"/>
        <v>24.764817703166226</v>
      </c>
      <c r="AP67">
        <f t="shared" si="96"/>
        <v>25.184108765171505</v>
      </c>
      <c r="AQ67">
        <f t="shared" si="96"/>
        <v>25.713819064643797</v>
      </c>
      <c r="AR67">
        <f t="shared" si="96"/>
        <v>26.032369322559369</v>
      </c>
      <c r="AS67">
        <f t="shared" ref="AS67:BA67" si="100">($BB67-$AR67)/10+AR67</f>
        <v>25.751290753982193</v>
      </c>
      <c r="AT67">
        <f t="shared" si="100"/>
        <v>25.470212185405018</v>
      </c>
      <c r="AU67">
        <f t="shared" si="100"/>
        <v>25.189133616827842</v>
      </c>
      <c r="AV67">
        <f t="shared" si="100"/>
        <v>24.908055048250667</v>
      </c>
      <c r="AW67">
        <f t="shared" si="100"/>
        <v>24.626976479673491</v>
      </c>
      <c r="AX67">
        <f t="shared" si="100"/>
        <v>24.345897911096316</v>
      </c>
      <c r="AY67">
        <f t="shared" si="100"/>
        <v>24.06481934251914</v>
      </c>
      <c r="AZ67">
        <f t="shared" si="100"/>
        <v>23.783740773941965</v>
      </c>
      <c r="BA67">
        <f t="shared" si="100"/>
        <v>23.502662205364789</v>
      </c>
      <c r="BB67" s="790">
        <f>'AEO Data'!$B$33*AM67</f>
        <v>23.22158363678761</v>
      </c>
      <c r="BC67">
        <f>($BQ67-$BB67)/15+BB67</f>
        <v>23.235113084359032</v>
      </c>
      <c r="BD67">
        <f t="shared" si="93"/>
        <v>23.248642531930454</v>
      </c>
      <c r="BE67">
        <f t="shared" si="93"/>
        <v>23.262171979501876</v>
      </c>
      <c r="BF67">
        <f t="shared" si="93"/>
        <v>23.275701427073297</v>
      </c>
      <c r="BG67">
        <f t="shared" si="93"/>
        <v>23.289230874644719</v>
      </c>
      <c r="BH67">
        <f t="shared" si="93"/>
        <v>23.302760322216141</v>
      </c>
      <c r="BI67">
        <f t="shared" si="93"/>
        <v>23.316289769787563</v>
      </c>
      <c r="BJ67">
        <f t="shared" si="93"/>
        <v>23.329819217358985</v>
      </c>
      <c r="BK67">
        <f t="shared" si="93"/>
        <v>23.343348664930406</v>
      </c>
      <c r="BL67">
        <f t="shared" si="93"/>
        <v>23.356878112501828</v>
      </c>
      <c r="BM67">
        <f t="shared" si="93"/>
        <v>23.37040756007325</v>
      </c>
      <c r="BN67">
        <f t="shared" si="93"/>
        <v>23.383937007644672</v>
      </c>
      <c r="BO67">
        <f t="shared" si="93"/>
        <v>23.397466455216094</v>
      </c>
      <c r="BP67">
        <f t="shared" si="93"/>
        <v>23.410995902787516</v>
      </c>
      <c r="BQ67" s="790">
        <f>'AEO Data'!$C$33*BB67</f>
        <v>23.424525350358955</v>
      </c>
      <c r="BR67" s="737">
        <f t="shared" si="94"/>
        <v>23.408752441092101</v>
      </c>
      <c r="BS67">
        <f t="shared" si="94"/>
        <v>23.392979531825247</v>
      </c>
      <c r="BT67">
        <f t="shared" si="94"/>
        <v>23.377206622558393</v>
      </c>
      <c r="BU67">
        <f t="shared" si="94"/>
        <v>23.36143371329154</v>
      </c>
      <c r="BV67" s="811">
        <f>'AEO Data'!$D$33*BQ67</f>
        <v>23.345660804024686</v>
      </c>
      <c r="BW67" s="1148">
        <f>+BV67*BW$140/BV$140</f>
        <v>23.3527149207825</v>
      </c>
      <c r="BX67" s="1148">
        <f t="shared" ref="BX67:CZ67" si="101">+BW67*BX$140/BW$140</f>
        <v>23.359771169009782</v>
      </c>
      <c r="BY67" s="1148">
        <f t="shared" si="101"/>
        <v>23.366829549350573</v>
      </c>
      <c r="BZ67" s="1148">
        <f t="shared" si="101"/>
        <v>23.373890062449121</v>
      </c>
      <c r="CA67" s="1148">
        <f t="shared" si="101"/>
        <v>23.380952708949849</v>
      </c>
      <c r="CB67" s="1148">
        <f t="shared" si="101"/>
        <v>23.378308502870599</v>
      </c>
      <c r="CC67" s="1148">
        <f t="shared" si="101"/>
        <v>23.375664595830738</v>
      </c>
      <c r="CD67" s="1148">
        <f t="shared" si="101"/>
        <v>23.373020987796441</v>
      </c>
      <c r="CE67" s="1148">
        <f t="shared" si="101"/>
        <v>23.370377678733899</v>
      </c>
      <c r="CF67" s="1148">
        <f t="shared" si="101"/>
        <v>23.367734668609302</v>
      </c>
      <c r="CG67" s="1148">
        <f t="shared" si="101"/>
        <v>23.357134857315337</v>
      </c>
      <c r="CH67" s="1148">
        <f t="shared" si="101"/>
        <v>23.346539854189601</v>
      </c>
      <c r="CI67" s="1148">
        <f t="shared" si="101"/>
        <v>23.335949657051067</v>
      </c>
      <c r="CJ67" s="1148">
        <f t="shared" si="101"/>
        <v>23.325364263719699</v>
      </c>
      <c r="CK67" s="1148">
        <f t="shared" si="101"/>
        <v>23.314783672016446</v>
      </c>
      <c r="CL67" s="1148">
        <f t="shared" si="101"/>
        <v>23.301803459317899</v>
      </c>
      <c r="CM67" s="1148">
        <f t="shared" si="101"/>
        <v>23.288830473189584</v>
      </c>
      <c r="CN67" s="1148">
        <f t="shared" si="101"/>
        <v>23.275864709608204</v>
      </c>
      <c r="CO67" s="1148">
        <f t="shared" si="101"/>
        <v>23.262906164552696</v>
      </c>
      <c r="CP67" s="1148">
        <f t="shared" si="101"/>
        <v>23.249954834004228</v>
      </c>
      <c r="CQ67" s="1148">
        <f t="shared" si="101"/>
        <v>23.232210866712229</v>
      </c>
      <c r="CR67" s="1148">
        <f t="shared" si="101"/>
        <v>23.214480441312137</v>
      </c>
      <c r="CS67" s="1148">
        <f t="shared" si="101"/>
        <v>23.196763547469015</v>
      </c>
      <c r="CT67" s="1148">
        <f t="shared" si="101"/>
        <v>23.179060174855813</v>
      </c>
      <c r="CU67" s="1148">
        <f t="shared" si="101"/>
        <v>23.161370313153348</v>
      </c>
      <c r="CV67" s="1148">
        <f t="shared" si="101"/>
        <v>23.144738488925565</v>
      </c>
      <c r="CW67" s="1148">
        <f t="shared" si="101"/>
        <v>23.128118607755269</v>
      </c>
      <c r="CX67" s="1148">
        <f t="shared" si="101"/>
        <v>23.111510661066333</v>
      </c>
      <c r="CY67" s="1148">
        <f t="shared" si="101"/>
        <v>23.094914640288788</v>
      </c>
      <c r="CZ67" s="1148">
        <f t="shared" si="101"/>
        <v>23.078330536858825</v>
      </c>
    </row>
    <row r="68" spans="1:104" ht="14" thickBot="1">
      <c r="A68" s="742" t="str">
        <f>'HyARC Physical Property Data'!A78</f>
        <v>Residential Electricity</v>
      </c>
      <c r="B68" s="492">
        <v>2011</v>
      </c>
      <c r="C68" s="743">
        <f t="shared" si="78"/>
        <v>1.0771767810026385</v>
      </c>
      <c r="D68" s="1017" t="str">
        <f>'HyARC Physical Property Data'!$H$78</f>
        <v>kWh</v>
      </c>
      <c r="E68" s="743" t="s">
        <v>1068</v>
      </c>
      <c r="F68" s="747"/>
      <c r="G68" s="492"/>
      <c r="H68" s="854">
        <v>29.433773538887177</v>
      </c>
      <c r="I68" s="854">
        <v>29.433773538887177</v>
      </c>
      <c r="J68" s="854">
        <v>29.433773538887177</v>
      </c>
      <c r="K68" s="854">
        <v>29.415861064534436</v>
      </c>
      <c r="L68" s="854">
        <v>30.500905105766051</v>
      </c>
      <c r="M68" s="854">
        <v>30.574559070308627</v>
      </c>
      <c r="N68" s="492">
        <f t="shared" si="99"/>
        <v>37.187183350263851</v>
      </c>
      <c r="O68" s="492">
        <f t="shared" si="96"/>
        <v>36.985808382585752</v>
      </c>
      <c r="P68" s="492">
        <f t="shared" si="96"/>
        <v>35.861648381926123</v>
      </c>
      <c r="Q68" s="492">
        <f t="shared" si="96"/>
        <v>35.074328023746702</v>
      </c>
      <c r="R68" s="492">
        <f t="shared" si="96"/>
        <v>35.926786339050132</v>
      </c>
      <c r="S68" s="492">
        <f t="shared" si="96"/>
        <v>36.073591531002634</v>
      </c>
      <c r="T68" s="492">
        <f t="shared" si="96"/>
        <v>36.674317941292877</v>
      </c>
      <c r="U68" s="492">
        <f t="shared" si="96"/>
        <v>36.975630139182059</v>
      </c>
      <c r="V68" s="492">
        <f t="shared" si="96"/>
        <v>36.950708577176783</v>
      </c>
      <c r="W68" s="492">
        <f t="shared" si="96"/>
        <v>36.706312246042216</v>
      </c>
      <c r="X68" s="492">
        <f t="shared" si="96"/>
        <v>36.737241222955141</v>
      </c>
      <c r="Y68" s="492">
        <f t="shared" si="96"/>
        <v>36.822931713060683</v>
      </c>
      <c r="Z68" s="492">
        <f t="shared" si="96"/>
        <v>36.936536162269128</v>
      </c>
      <c r="AA68" s="492">
        <f t="shared" si="96"/>
        <v>36.968069435356199</v>
      </c>
      <c r="AB68" s="492">
        <f t="shared" si="96"/>
        <v>37.072613750659634</v>
      </c>
      <c r="AC68" s="492">
        <f t="shared" si="96"/>
        <v>37.406478230870711</v>
      </c>
      <c r="AD68" s="492">
        <f t="shared" si="96"/>
        <v>37.597953943931394</v>
      </c>
      <c r="AE68" s="492">
        <f t="shared" si="96"/>
        <v>37.769102253957783</v>
      </c>
      <c r="AF68" s="492">
        <f t="shared" si="96"/>
        <v>37.892630732849597</v>
      </c>
      <c r="AG68" s="492">
        <f t="shared" si="96"/>
        <v>38.064576153693928</v>
      </c>
      <c r="AH68" s="492">
        <f t="shared" si="96"/>
        <v>38.24699927308707</v>
      </c>
      <c r="AI68" s="492">
        <f t="shared" si="96"/>
        <v>38.482771726912929</v>
      </c>
      <c r="AJ68" s="492">
        <f t="shared" si="96"/>
        <v>38.653685212401051</v>
      </c>
      <c r="AK68" s="492">
        <f t="shared" si="96"/>
        <v>38.945181098284962</v>
      </c>
      <c r="AL68" s="492">
        <f t="shared" si="96"/>
        <v>39.434103021767804</v>
      </c>
      <c r="AM68" s="492">
        <f t="shared" si="96"/>
        <v>39.943878010554087</v>
      </c>
      <c r="AN68" s="492">
        <f t="shared" si="96"/>
        <v>40.396384895778361</v>
      </c>
      <c r="AO68" s="492">
        <f t="shared" si="96"/>
        <v>40.762839359498678</v>
      </c>
      <c r="AP68" s="492">
        <f t="shared" si="96"/>
        <v>41.106692500000001</v>
      </c>
      <c r="AQ68" s="492">
        <f t="shared" si="96"/>
        <v>41.598897658311344</v>
      </c>
      <c r="AR68" s="492">
        <f t="shared" si="96"/>
        <v>41.849125824538255</v>
      </c>
      <c r="AS68" s="492">
        <f t="shared" ref="AS68:BA68" si="102">($BB68-$AR68)/10+AR68</f>
        <v>41.559027079314276</v>
      </c>
      <c r="AT68" s="492">
        <f t="shared" si="102"/>
        <v>41.268928334090297</v>
      </c>
      <c r="AU68" s="492">
        <f t="shared" si="102"/>
        <v>40.978829588866319</v>
      </c>
      <c r="AV68" s="492">
        <f t="shared" si="102"/>
        <v>40.68873084364234</v>
      </c>
      <c r="AW68" s="492">
        <f t="shared" si="102"/>
        <v>40.398632098418361</v>
      </c>
      <c r="AX68" s="492">
        <f t="shared" si="102"/>
        <v>40.108533353194382</v>
      </c>
      <c r="AY68" s="492">
        <f t="shared" si="102"/>
        <v>39.818434607970403</v>
      </c>
      <c r="AZ68" s="492">
        <f t="shared" si="102"/>
        <v>39.528335862746424</v>
      </c>
      <c r="BA68" s="492">
        <f t="shared" si="102"/>
        <v>39.238237117522445</v>
      </c>
      <c r="BB68" s="816">
        <f>'AEO Data'!$B$33*AM68</f>
        <v>38.948138372298473</v>
      </c>
      <c r="BC68" s="492">
        <f>($BQ68-$BB68)/15+BB68</f>
        <v>38.9708304851343</v>
      </c>
      <c r="BD68" s="492">
        <f t="shared" si="93"/>
        <v>38.993522597970127</v>
      </c>
      <c r="BE68" s="492">
        <f t="shared" si="93"/>
        <v>39.016214710805954</v>
      </c>
      <c r="BF68" s="492">
        <f t="shared" si="93"/>
        <v>39.038906823641781</v>
      </c>
      <c r="BG68" s="492">
        <f t="shared" si="93"/>
        <v>39.061598936477608</v>
      </c>
      <c r="BH68" s="492">
        <f t="shared" si="93"/>
        <v>39.084291049313435</v>
      </c>
      <c r="BI68" s="492">
        <f t="shared" si="93"/>
        <v>39.106983162149263</v>
      </c>
      <c r="BJ68" s="492">
        <f t="shared" si="93"/>
        <v>39.12967527498509</v>
      </c>
      <c r="BK68" s="492">
        <f t="shared" si="93"/>
        <v>39.152367387820917</v>
      </c>
      <c r="BL68" s="492">
        <f t="shared" si="93"/>
        <v>39.175059500656744</v>
      </c>
      <c r="BM68" s="492">
        <f t="shared" si="93"/>
        <v>39.197751613492571</v>
      </c>
      <c r="BN68" s="492">
        <f t="shared" si="93"/>
        <v>39.220443726328398</v>
      </c>
      <c r="BO68" s="492">
        <f t="shared" si="93"/>
        <v>39.243135839164225</v>
      </c>
      <c r="BP68" s="492">
        <f t="shared" si="93"/>
        <v>39.265827952000052</v>
      </c>
      <c r="BQ68" s="816">
        <f>'AEO Data'!$C$33*BB68</f>
        <v>39.288520064835851</v>
      </c>
      <c r="BR68" s="820">
        <f t="shared" si="94"/>
        <v>39.262065131259057</v>
      </c>
      <c r="BS68" s="492">
        <f t="shared" si="94"/>
        <v>39.235610197682263</v>
      </c>
      <c r="BT68" s="492">
        <f t="shared" si="94"/>
        <v>39.209155264105469</v>
      </c>
      <c r="BU68" s="492">
        <f t="shared" si="94"/>
        <v>39.182700330528675</v>
      </c>
      <c r="BV68" s="817">
        <f>'AEO Data'!$D$33*BQ68</f>
        <v>39.156245396951888</v>
      </c>
      <c r="BW68" s="1148">
        <f>+BV68*BW$141/BV$141</f>
        <v>39.139004754462078</v>
      </c>
      <c r="BX68" s="1148">
        <f t="shared" ref="BX68:CZ68" si="103">+BW68*BX$141/BW$141</f>
        <v>39.121771703092165</v>
      </c>
      <c r="BY68" s="1148">
        <f t="shared" si="103"/>
        <v>39.104546239499747</v>
      </c>
      <c r="BZ68" s="1148">
        <f t="shared" si="103"/>
        <v>39.087328360343896</v>
      </c>
      <c r="CA68" s="1148">
        <f t="shared" si="103"/>
        <v>39.070118062285161</v>
      </c>
      <c r="CB68" s="1148">
        <f t="shared" si="103"/>
        <v>39.038823507859021</v>
      </c>
      <c r="CC68" s="1148">
        <f t="shared" si="103"/>
        <v>39.007554019882264</v>
      </c>
      <c r="CD68" s="1148">
        <f t="shared" si="103"/>
        <v>38.976309578277061</v>
      </c>
      <c r="CE68" s="1148">
        <f t="shared" si="103"/>
        <v>38.94509016298165</v>
      </c>
      <c r="CF68" s="1148">
        <f t="shared" si="103"/>
        <v>38.913895753950342</v>
      </c>
      <c r="CG68" s="1148">
        <f t="shared" si="103"/>
        <v>38.870923707359104</v>
      </c>
      <c r="CH68" s="1148">
        <f t="shared" si="103"/>
        <v>38.827999114171142</v>
      </c>
      <c r="CI68" s="1148">
        <f t="shared" si="103"/>
        <v>38.785121921984356</v>
      </c>
      <c r="CJ68" s="1148">
        <f t="shared" si="103"/>
        <v>38.742292078454511</v>
      </c>
      <c r="CK68" s="1148">
        <f t="shared" si="103"/>
        <v>38.699509531295178</v>
      </c>
      <c r="CL68" s="1148">
        <f t="shared" si="103"/>
        <v>38.652866099235652</v>
      </c>
      <c r="CM68" s="1148">
        <f t="shared" si="103"/>
        <v>38.606278885194918</v>
      </c>
      <c r="CN68" s="1148">
        <f t="shared" si="103"/>
        <v>38.559747821414987</v>
      </c>
      <c r="CO68" s="1148">
        <f t="shared" si="103"/>
        <v>38.513272840219521</v>
      </c>
      <c r="CP68" s="1148">
        <f t="shared" si="103"/>
        <v>38.466853874013751</v>
      </c>
      <c r="CQ68" s="1148">
        <f t="shared" si="103"/>
        <v>38.413088590063794</v>
      </c>
      <c r="CR68" s="1148">
        <f t="shared" si="103"/>
        <v>38.359398454078047</v>
      </c>
      <c r="CS68" s="1148">
        <f t="shared" si="103"/>
        <v>38.305783361021881</v>
      </c>
      <c r="CT68" s="1148">
        <f t="shared" si="103"/>
        <v>38.252243206007478</v>
      </c>
      <c r="CU68" s="1148">
        <f t="shared" si="103"/>
        <v>38.198777884293627</v>
      </c>
      <c r="CV68" s="1148">
        <f t="shared" si="103"/>
        <v>38.146586211792602</v>
      </c>
      <c r="CW68" s="1148">
        <f t="shared" si="103"/>
        <v>38.094465849705919</v>
      </c>
      <c r="CX68" s="1148">
        <f t="shared" si="103"/>
        <v>38.042416700600896</v>
      </c>
      <c r="CY68" s="1148">
        <f t="shared" si="103"/>
        <v>37.990438667177955</v>
      </c>
      <c r="CZ68" s="1148">
        <f t="shared" si="103"/>
        <v>37.93853165227047</v>
      </c>
    </row>
    <row r="69" spans="1:104" ht="14" thickTop="1">
      <c r="D69" s="876"/>
    </row>
    <row r="70" spans="1:104" ht="14" thickBot="1">
      <c r="D70" s="876"/>
      <c r="E70" s="738"/>
    </row>
    <row r="71" spans="1:104" s="838" customFormat="1">
      <c r="A71" s="834" t="s">
        <v>1108</v>
      </c>
      <c r="B71" s="835"/>
      <c r="C71" s="836"/>
      <c r="D71" s="1020"/>
      <c r="E71" s="836"/>
      <c r="F71" s="835"/>
      <c r="G71" s="835"/>
      <c r="H71" s="835"/>
      <c r="I71" s="835"/>
      <c r="J71" s="835"/>
      <c r="K71" s="835"/>
      <c r="L71" s="835"/>
      <c r="M71" s="835"/>
      <c r="N71" s="835"/>
      <c r="O71" s="835"/>
      <c r="P71" s="835"/>
      <c r="Q71" s="835"/>
      <c r="R71" s="835"/>
      <c r="S71" s="835"/>
      <c r="T71" s="835"/>
      <c r="U71" s="835"/>
      <c r="V71" s="835"/>
      <c r="W71" s="835"/>
      <c r="X71" s="835"/>
      <c r="Y71" s="835"/>
      <c r="Z71" s="835"/>
      <c r="AA71" s="835"/>
      <c r="AB71" s="835"/>
      <c r="AC71" s="835"/>
      <c r="AD71" s="835"/>
      <c r="AE71" s="835"/>
      <c r="AF71" s="835"/>
      <c r="AG71" s="835"/>
      <c r="AH71" s="835"/>
      <c r="AI71" s="835"/>
      <c r="AJ71" s="835"/>
      <c r="AK71" s="835"/>
      <c r="AL71" s="835"/>
      <c r="AM71" s="835"/>
      <c r="AN71" s="835"/>
      <c r="AO71" s="835"/>
      <c r="AP71" s="835"/>
      <c r="AQ71" s="835"/>
      <c r="AR71" s="835"/>
      <c r="AS71" s="835"/>
      <c r="AT71" s="835"/>
      <c r="AU71" s="835"/>
      <c r="AV71" s="835"/>
      <c r="AW71" s="835"/>
      <c r="AX71" s="835"/>
      <c r="AY71" s="835"/>
      <c r="AZ71" s="835"/>
      <c r="BA71" s="835"/>
      <c r="BB71" s="835"/>
      <c r="BC71" s="835"/>
      <c r="BD71" s="835"/>
      <c r="BE71" s="835"/>
      <c r="BF71" s="835"/>
      <c r="BG71" s="835"/>
      <c r="BH71" s="835"/>
      <c r="BI71" s="835"/>
      <c r="BJ71" s="835"/>
      <c r="BK71" s="835"/>
      <c r="BL71" s="835"/>
      <c r="BM71" s="835"/>
      <c r="BN71" s="835"/>
      <c r="BO71" s="835"/>
      <c r="BP71" s="835"/>
      <c r="BQ71" s="835"/>
      <c r="BR71" s="835"/>
      <c r="BS71" s="835"/>
      <c r="BT71" s="835"/>
      <c r="BU71" s="835"/>
      <c r="BV71" s="837"/>
    </row>
    <row r="72" spans="1:104" s="838" customFormat="1">
      <c r="A72" s="839" t="s">
        <v>1105</v>
      </c>
      <c r="C72" s="840"/>
      <c r="D72" s="1021"/>
      <c r="E72" s="840"/>
      <c r="BV72" s="841"/>
    </row>
    <row r="73" spans="1:104" s="838" customFormat="1">
      <c r="A73" s="842"/>
      <c r="C73" s="840"/>
      <c r="D73" s="1021"/>
      <c r="E73" s="855"/>
      <c r="BV73" s="841"/>
    </row>
    <row r="74" spans="1:104" s="838" customFormat="1">
      <c r="A74" s="842" t="s">
        <v>679</v>
      </c>
      <c r="C74" s="840"/>
      <c r="D74" s="1021"/>
      <c r="E74" s="840"/>
      <c r="N74" s="843">
        <v>11.359373</v>
      </c>
      <c r="O74" s="843">
        <v>10.802343</v>
      </c>
      <c r="P74" s="843">
        <v>10.473763999999999</v>
      </c>
      <c r="Q74" s="843">
        <v>10.501935</v>
      </c>
      <c r="R74" s="843">
        <v>10.334021999999999</v>
      </c>
      <c r="S74" s="843">
        <v>10.229792</v>
      </c>
      <c r="T74" s="843">
        <v>10.748874000000001</v>
      </c>
      <c r="U74" s="843">
        <v>11.092333999999999</v>
      </c>
      <c r="V74" s="843">
        <v>11.515472000000001</v>
      </c>
      <c r="W74" s="843">
        <v>11.774895000000001</v>
      </c>
      <c r="X74" s="843">
        <v>11.996413</v>
      </c>
      <c r="Y74" s="843">
        <v>12.209519999999999</v>
      </c>
      <c r="Z74" s="843">
        <v>12.479982</v>
      </c>
      <c r="AA74" s="843">
        <v>12.729352</v>
      </c>
      <c r="AB74" s="843">
        <v>12.853237999999999</v>
      </c>
      <c r="AC74" s="843">
        <v>13.018173000000001</v>
      </c>
      <c r="AD74" s="843">
        <v>13.212711000000001</v>
      </c>
      <c r="AE74" s="843">
        <v>13.366512</v>
      </c>
      <c r="AF74" s="843">
        <v>13.603230999999999</v>
      </c>
      <c r="AG74" s="843">
        <v>13.784504</v>
      </c>
      <c r="AH74" s="843">
        <v>13.991047</v>
      </c>
      <c r="AI74" s="843">
        <v>14.231726</v>
      </c>
      <c r="AJ74" s="843">
        <v>14.577776</v>
      </c>
      <c r="AK74" s="843">
        <v>14.956607999999999</v>
      </c>
      <c r="AL74" s="843">
        <v>15.347963</v>
      </c>
      <c r="AM74" s="843">
        <v>15.708157999999999</v>
      </c>
      <c r="AN74" s="843">
        <v>16.169785000000001</v>
      </c>
      <c r="AO74" s="843">
        <v>16.471478000000001</v>
      </c>
      <c r="AP74" s="843">
        <v>16.949921</v>
      </c>
      <c r="AQ74" s="843">
        <v>17.380462999999999</v>
      </c>
      <c r="AR74" s="843">
        <v>17.673891000000001</v>
      </c>
      <c r="BV74" s="841"/>
    </row>
    <row r="75" spans="1:104" s="838" customFormat="1">
      <c r="A75" s="842" t="s">
        <v>1082</v>
      </c>
      <c r="C75" s="840"/>
      <c r="D75" s="1021"/>
      <c r="E75" s="840"/>
      <c r="N75" s="843">
        <v>9.3969749999999994</v>
      </c>
      <c r="O75" s="843">
        <v>8.8368559999999992</v>
      </c>
      <c r="P75" s="843">
        <v>8.081448</v>
      </c>
      <c r="Q75" s="843">
        <v>8.4844790000000003</v>
      </c>
      <c r="R75" s="843">
        <v>8.3155520000000003</v>
      </c>
      <c r="S75" s="843">
        <v>8.1773039999999995</v>
      </c>
      <c r="T75" s="843">
        <v>8.6431299999999993</v>
      </c>
      <c r="U75" s="843">
        <v>8.9205120000000004</v>
      </c>
      <c r="V75" s="843">
        <v>9.2811249999999994</v>
      </c>
      <c r="W75" s="843">
        <v>9.4920469999999995</v>
      </c>
      <c r="X75" s="843">
        <v>9.6757190000000008</v>
      </c>
      <c r="Y75" s="843">
        <v>9.8498520000000003</v>
      </c>
      <c r="Z75" s="843">
        <v>10.083444999999999</v>
      </c>
      <c r="AA75" s="843">
        <v>10.292596</v>
      </c>
      <c r="AB75" s="843">
        <v>10.386177</v>
      </c>
      <c r="AC75" s="843">
        <v>10.522978999999999</v>
      </c>
      <c r="AD75" s="843">
        <v>10.688981999999999</v>
      </c>
      <c r="AE75" s="843">
        <v>10.803459999999999</v>
      </c>
      <c r="AF75" s="843">
        <v>10.994071</v>
      </c>
      <c r="AG75" s="843">
        <v>11.132752999999999</v>
      </c>
      <c r="AH75" s="843">
        <v>11.290343</v>
      </c>
      <c r="AI75" s="843">
        <v>11.483471</v>
      </c>
      <c r="AJ75" s="843">
        <v>11.774739</v>
      </c>
      <c r="AK75" s="843">
        <v>12.104623999999999</v>
      </c>
      <c r="AL75" s="843">
        <v>12.443429</v>
      </c>
      <c r="AM75" s="843">
        <v>12.746489</v>
      </c>
      <c r="AN75" s="843">
        <v>13.159888</v>
      </c>
      <c r="AO75" s="843">
        <v>13.417020000000001</v>
      </c>
      <c r="AP75" s="843">
        <v>13.853782000000001</v>
      </c>
      <c r="AQ75" s="843">
        <v>14.239846</v>
      </c>
      <c r="AR75" s="843">
        <v>14.480893</v>
      </c>
      <c r="BV75" s="841"/>
    </row>
    <row r="76" spans="1:104" s="838" customFormat="1">
      <c r="A76" s="842" t="s">
        <v>283</v>
      </c>
      <c r="C76" s="840"/>
      <c r="D76" s="1021"/>
      <c r="E76" s="840"/>
      <c r="N76" s="843">
        <v>5.4839570000000002</v>
      </c>
      <c r="O76" s="843">
        <v>4.8889880000000003</v>
      </c>
      <c r="P76" s="843">
        <v>3.7668759999999999</v>
      </c>
      <c r="Q76" s="843">
        <v>4.3500249999999996</v>
      </c>
      <c r="R76" s="843">
        <v>4.4161510000000002</v>
      </c>
      <c r="S76" s="843">
        <v>4.4533610000000001</v>
      </c>
      <c r="T76" s="843">
        <v>4.916512</v>
      </c>
      <c r="U76" s="843">
        <v>5.1321560000000002</v>
      </c>
      <c r="V76" s="843">
        <v>5.3872429999999998</v>
      </c>
      <c r="W76" s="843">
        <v>5.5533659999999996</v>
      </c>
      <c r="X76" s="843">
        <v>5.6994189999999998</v>
      </c>
      <c r="Y76" s="843">
        <v>5.84443</v>
      </c>
      <c r="Z76" s="843">
        <v>6.055364</v>
      </c>
      <c r="AA76" s="843">
        <v>6.2505249999999997</v>
      </c>
      <c r="AB76" s="843">
        <v>6.3249610000000001</v>
      </c>
      <c r="AC76" s="843">
        <v>6.4443630000000001</v>
      </c>
      <c r="AD76" s="843">
        <v>6.5689469999999996</v>
      </c>
      <c r="AE76" s="843">
        <v>6.6624569999999999</v>
      </c>
      <c r="AF76" s="843">
        <v>6.8533949999999999</v>
      </c>
      <c r="AG76" s="843">
        <v>6.9821</v>
      </c>
      <c r="AH76" s="843">
        <v>7.1203779999999997</v>
      </c>
      <c r="AI76" s="843">
        <v>7.3037179999999999</v>
      </c>
      <c r="AJ76" s="843">
        <v>7.5896039999999996</v>
      </c>
      <c r="AK76" s="843">
        <v>7.9110909999999999</v>
      </c>
      <c r="AL76" s="843">
        <v>8.2410040000000002</v>
      </c>
      <c r="AM76" s="843">
        <v>8.5300290000000007</v>
      </c>
      <c r="AN76" s="843">
        <v>8.90123</v>
      </c>
      <c r="AO76" s="843">
        <v>9.1114479999999993</v>
      </c>
      <c r="AP76" s="843">
        <v>9.4914550000000002</v>
      </c>
      <c r="AQ76" s="843">
        <v>9.8126739999999995</v>
      </c>
      <c r="AR76" s="843">
        <v>10.012231</v>
      </c>
      <c r="BV76" s="841"/>
    </row>
    <row r="77" spans="1:104" s="838" customFormat="1">
      <c r="A77" s="842" t="str">
        <f>'HyARC Physical Property Data'!$A$74</f>
        <v>Electric Utility Natural Gas</v>
      </c>
      <c r="C77" s="840"/>
      <c r="D77" s="1021"/>
      <c r="E77" s="840"/>
      <c r="N77" s="843">
        <v>5.2581660000000001</v>
      </c>
      <c r="O77" s="843">
        <v>4.7747140000000003</v>
      </c>
      <c r="P77" s="843">
        <v>3.3280129999999999</v>
      </c>
      <c r="Q77" s="843">
        <v>3.7262059999999999</v>
      </c>
      <c r="R77" s="843">
        <v>3.8342619999999998</v>
      </c>
      <c r="S77" s="843">
        <v>3.9162499999999998</v>
      </c>
      <c r="T77" s="843">
        <v>4.3469340000000001</v>
      </c>
      <c r="U77" s="843">
        <v>4.5235139999999996</v>
      </c>
      <c r="V77" s="843">
        <v>4.7720750000000001</v>
      </c>
      <c r="W77" s="843">
        <v>4.9304030000000001</v>
      </c>
      <c r="X77" s="843">
        <v>5.0667330000000002</v>
      </c>
      <c r="Y77" s="843">
        <v>5.2030240000000001</v>
      </c>
      <c r="Z77" s="843">
        <v>5.4141339999999998</v>
      </c>
      <c r="AA77" s="843">
        <v>5.6120320000000001</v>
      </c>
      <c r="AB77" s="843">
        <v>5.7180549999999997</v>
      </c>
      <c r="AC77" s="843">
        <v>5.8497880000000002</v>
      </c>
      <c r="AD77" s="843">
        <v>5.9964360000000001</v>
      </c>
      <c r="AE77" s="843">
        <v>6.1136410000000003</v>
      </c>
      <c r="AF77" s="843">
        <v>6.2808900000000003</v>
      </c>
      <c r="AG77" s="843">
        <v>6.4099190000000004</v>
      </c>
      <c r="AH77" s="843">
        <v>6.5488220000000004</v>
      </c>
      <c r="AI77" s="843">
        <v>6.7307620000000004</v>
      </c>
      <c r="AJ77" s="843">
        <v>7.0166529999999998</v>
      </c>
      <c r="AK77" s="843">
        <v>7.3227570000000002</v>
      </c>
      <c r="AL77" s="843">
        <v>7.6342280000000002</v>
      </c>
      <c r="AM77" s="843">
        <v>7.902755</v>
      </c>
      <c r="AN77" s="843">
        <v>8.2651950000000003</v>
      </c>
      <c r="AO77" s="843">
        <v>8.4774010000000004</v>
      </c>
      <c r="AP77" s="843">
        <v>8.8551400000000005</v>
      </c>
      <c r="AQ77" s="843">
        <v>9.1715459999999993</v>
      </c>
      <c r="AR77" s="843">
        <v>9.3359030000000001</v>
      </c>
      <c r="BV77" s="841"/>
    </row>
    <row r="78" spans="1:104" s="838" customFormat="1">
      <c r="A78" s="842" t="s">
        <v>1078</v>
      </c>
      <c r="C78" s="840"/>
      <c r="D78" s="1021"/>
      <c r="E78" s="840"/>
      <c r="N78" s="843"/>
      <c r="O78" s="843"/>
      <c r="P78" s="843"/>
      <c r="Q78" s="843"/>
      <c r="R78" s="843"/>
      <c r="S78" s="843"/>
      <c r="T78" s="843"/>
      <c r="U78" s="843"/>
      <c r="V78" s="843"/>
      <c r="W78" s="843"/>
      <c r="X78" s="843"/>
      <c r="Y78" s="843"/>
      <c r="Z78" s="843"/>
      <c r="AA78" s="843"/>
      <c r="AB78" s="843"/>
      <c r="AC78" s="843"/>
      <c r="AD78" s="843"/>
      <c r="AE78" s="843"/>
      <c r="AF78" s="843"/>
      <c r="AG78" s="843"/>
      <c r="AH78" s="843"/>
      <c r="AI78" s="843"/>
      <c r="AJ78" s="843"/>
      <c r="AK78" s="843"/>
      <c r="AL78" s="843"/>
      <c r="AM78" s="843"/>
      <c r="AN78" s="843"/>
      <c r="AO78" s="843"/>
      <c r="AP78" s="843"/>
      <c r="AQ78" s="843"/>
      <c r="AR78" s="843"/>
      <c r="BV78" s="841"/>
    </row>
    <row r="79" spans="1:104" s="838" customFormat="1">
      <c r="A79" s="842" t="s">
        <v>1084</v>
      </c>
      <c r="C79" s="840"/>
      <c r="D79" s="1021"/>
      <c r="E79" s="840"/>
      <c r="N79" s="843">
        <v>2.2979889999999998</v>
      </c>
      <c r="O79" s="843">
        <v>2.38</v>
      </c>
      <c r="P79" s="843">
        <v>2.414561</v>
      </c>
      <c r="Q79" s="843">
        <v>2.3313350000000002</v>
      </c>
      <c r="R79" s="843">
        <v>2.4666779999999999</v>
      </c>
      <c r="S79" s="843">
        <v>2.490294</v>
      </c>
      <c r="T79" s="843">
        <v>2.5700569999999998</v>
      </c>
      <c r="U79" s="843">
        <v>2.5762320000000001</v>
      </c>
      <c r="V79" s="843">
        <v>2.594992</v>
      </c>
      <c r="W79" s="843">
        <v>2.6086049999999998</v>
      </c>
      <c r="X79" s="843">
        <v>2.6433580000000001</v>
      </c>
      <c r="Y79" s="843">
        <v>2.6708150000000002</v>
      </c>
      <c r="Z79" s="843">
        <v>2.7142179999999998</v>
      </c>
      <c r="AA79" s="843">
        <v>2.74918</v>
      </c>
      <c r="AB79" s="843">
        <v>2.7884579999999999</v>
      </c>
      <c r="AC79" s="843">
        <v>2.8318759999999998</v>
      </c>
      <c r="AD79" s="843">
        <v>2.8692139999999999</v>
      </c>
      <c r="AE79" s="843">
        <v>2.899435</v>
      </c>
      <c r="AF79" s="843">
        <v>2.9368029999999998</v>
      </c>
      <c r="AG79" s="843">
        <v>2.9781219999999999</v>
      </c>
      <c r="AH79" s="843">
        <v>3.0179510000000001</v>
      </c>
      <c r="AI79" s="843">
        <v>3.0527350000000002</v>
      </c>
      <c r="AJ79" s="843">
        <v>3.090319</v>
      </c>
      <c r="AK79" s="843">
        <v>3.1298509999999999</v>
      </c>
      <c r="AL79" s="843">
        <v>3.1705510000000001</v>
      </c>
      <c r="AM79" s="843">
        <v>3.2163840000000001</v>
      </c>
      <c r="AN79" s="843">
        <v>3.2516949999999998</v>
      </c>
      <c r="AO79" s="843">
        <v>3.2783180000000001</v>
      </c>
      <c r="AP79" s="843">
        <v>3.3114089999999998</v>
      </c>
      <c r="AQ79" s="843">
        <v>3.3562150000000002</v>
      </c>
      <c r="AR79" s="843">
        <v>3.398895</v>
      </c>
      <c r="BV79" s="841"/>
    </row>
    <row r="80" spans="1:104" s="838" customFormat="1">
      <c r="A80" s="842" t="s">
        <v>681</v>
      </c>
      <c r="C80" s="840"/>
      <c r="D80" s="1021"/>
      <c r="E80" s="840"/>
      <c r="N80" s="843">
        <v>30.492578999999999</v>
      </c>
      <c r="O80" s="843">
        <v>29.980651999999999</v>
      </c>
      <c r="P80" s="843">
        <v>28.501187999999999</v>
      </c>
      <c r="Q80" s="843">
        <v>27.791989999999998</v>
      </c>
      <c r="R80" s="843">
        <v>28.177313000000002</v>
      </c>
      <c r="S80" s="843">
        <v>28.139455999999999</v>
      </c>
      <c r="T80" s="843">
        <v>28.689319999999999</v>
      </c>
      <c r="U80" s="843">
        <v>29.024557000000001</v>
      </c>
      <c r="V80" s="843">
        <v>29.108899999999998</v>
      </c>
      <c r="W80" s="843">
        <v>28.975003999999998</v>
      </c>
      <c r="X80" s="843">
        <v>29.041111000000001</v>
      </c>
      <c r="Y80" s="843">
        <v>29.162209000000001</v>
      </c>
      <c r="Z80" s="843">
        <v>29.247681</v>
      </c>
      <c r="AA80" s="843">
        <v>29.196009</v>
      </c>
      <c r="AB80" s="843">
        <v>29.115604000000001</v>
      </c>
      <c r="AC80" s="843">
        <v>29.201962000000002</v>
      </c>
      <c r="AD80" s="843">
        <v>29.178121999999998</v>
      </c>
      <c r="AE80" s="843">
        <v>29.212776000000002</v>
      </c>
      <c r="AF80" s="843">
        <v>29.214404999999999</v>
      </c>
      <c r="AG80" s="843">
        <v>29.344874999999998</v>
      </c>
      <c r="AH80" s="843">
        <v>29.550170999999999</v>
      </c>
      <c r="AI80" s="843">
        <v>29.794819</v>
      </c>
      <c r="AJ80" s="843">
        <v>29.957190000000001</v>
      </c>
      <c r="AK80" s="843">
        <v>30.275618000000001</v>
      </c>
      <c r="AL80" s="843">
        <v>30.801399</v>
      </c>
      <c r="AM80" s="843">
        <v>31.291125999999998</v>
      </c>
      <c r="AN80" s="843">
        <v>31.806963</v>
      </c>
      <c r="AO80" s="843">
        <v>32.268535999999997</v>
      </c>
      <c r="AP80" s="843">
        <v>32.667476999999998</v>
      </c>
      <c r="AQ80" s="843">
        <v>33.223427000000001</v>
      </c>
      <c r="AR80" s="843">
        <v>33.577624999999998</v>
      </c>
      <c r="BV80" s="841"/>
    </row>
    <row r="81" spans="1:104" s="838" customFormat="1">
      <c r="A81" s="842" t="s">
        <v>696</v>
      </c>
      <c r="C81" s="840"/>
      <c r="D81" s="1021"/>
      <c r="E81" s="840"/>
      <c r="N81" s="843">
        <v>20.260445000000001</v>
      </c>
      <c r="O81" s="843">
        <v>19.975721</v>
      </c>
      <c r="P81" s="843">
        <v>18.454588000000001</v>
      </c>
      <c r="Q81" s="843">
        <v>18.157667</v>
      </c>
      <c r="R81" s="843">
        <v>18.271274999999999</v>
      </c>
      <c r="S81" s="843">
        <v>18.191776000000001</v>
      </c>
      <c r="T81" s="843">
        <v>18.703628999999999</v>
      </c>
      <c r="U81" s="843">
        <v>19.002967999999999</v>
      </c>
      <c r="V81" s="843">
        <v>19.096264000000001</v>
      </c>
      <c r="W81" s="843">
        <v>19.050228000000001</v>
      </c>
      <c r="X81" s="843">
        <v>19.095860999999999</v>
      </c>
      <c r="Y81" s="843">
        <v>19.252116999999998</v>
      </c>
      <c r="Z81" s="843">
        <v>19.422526999999999</v>
      </c>
      <c r="AA81" s="843">
        <v>19.539289</v>
      </c>
      <c r="AB81" s="843">
        <v>19.565339999999999</v>
      </c>
      <c r="AC81" s="843">
        <v>19.722131999999998</v>
      </c>
      <c r="AD81" s="843">
        <v>19.810991000000001</v>
      </c>
      <c r="AE81" s="843">
        <v>19.943812999999999</v>
      </c>
      <c r="AF81" s="843">
        <v>20.046423000000001</v>
      </c>
      <c r="AG81" s="843">
        <v>20.238405</v>
      </c>
      <c r="AH81" s="843">
        <v>20.421748999999998</v>
      </c>
      <c r="AI81" s="843">
        <v>20.607520999999998</v>
      </c>
      <c r="AJ81" s="843">
        <v>20.839410999999998</v>
      </c>
      <c r="AK81" s="843">
        <v>21.176966</v>
      </c>
      <c r="AL81" s="843">
        <v>21.628757</v>
      </c>
      <c r="AM81" s="843">
        <v>22.108962999999999</v>
      </c>
      <c r="AN81" s="843">
        <v>22.567038</v>
      </c>
      <c r="AO81" s="843">
        <v>22.990486000000001</v>
      </c>
      <c r="AP81" s="843">
        <v>23.379736000000001</v>
      </c>
      <c r="AQ81" s="843">
        <v>23.871493999999998</v>
      </c>
      <c r="AR81" s="843">
        <v>24.167221000000001</v>
      </c>
      <c r="BV81" s="841"/>
    </row>
    <row r="82" spans="1:104" s="838" customFormat="1" ht="14" thickBot="1">
      <c r="A82" s="845" t="s">
        <v>682</v>
      </c>
      <c r="B82" s="846"/>
      <c r="C82" s="847"/>
      <c r="D82" s="1022"/>
      <c r="E82" s="847"/>
      <c r="F82" s="846"/>
      <c r="G82" s="846"/>
      <c r="H82" s="846"/>
      <c r="I82" s="846"/>
      <c r="J82" s="846"/>
      <c r="K82" s="846"/>
      <c r="L82" s="846"/>
      <c r="M82" s="846"/>
      <c r="N82" s="848">
        <v>34.522823000000002</v>
      </c>
      <c r="O82" s="848">
        <v>34.335875999999999</v>
      </c>
      <c r="P82" s="848">
        <v>33.292259000000001</v>
      </c>
      <c r="Q82" s="848">
        <v>32.561348000000002</v>
      </c>
      <c r="R82" s="848">
        <v>33.352730000000001</v>
      </c>
      <c r="S82" s="848">
        <v>33.489016999999997</v>
      </c>
      <c r="T82" s="848">
        <v>34.046703000000001</v>
      </c>
      <c r="U82" s="848">
        <v>34.326427000000002</v>
      </c>
      <c r="V82" s="848">
        <v>34.303291000000002</v>
      </c>
      <c r="W82" s="848">
        <v>34.076405000000001</v>
      </c>
      <c r="X82" s="848">
        <v>34.105117999999997</v>
      </c>
      <c r="Y82" s="848">
        <v>34.184669</v>
      </c>
      <c r="Z82" s="848">
        <v>34.290134000000002</v>
      </c>
      <c r="AA82" s="848">
        <v>34.319408000000003</v>
      </c>
      <c r="AB82" s="848">
        <v>34.416462000000003</v>
      </c>
      <c r="AC82" s="848">
        <v>34.726405999999997</v>
      </c>
      <c r="AD82" s="848">
        <v>34.904162999999997</v>
      </c>
      <c r="AE82" s="848">
        <v>35.063048999999999</v>
      </c>
      <c r="AF82" s="848">
        <v>35.177726999999997</v>
      </c>
      <c r="AG82" s="848">
        <v>35.337353</v>
      </c>
      <c r="AH82" s="848">
        <v>35.506706000000001</v>
      </c>
      <c r="AI82" s="848">
        <v>35.725586</v>
      </c>
      <c r="AJ82" s="848">
        <v>35.884253999999999</v>
      </c>
      <c r="AK82" s="848">
        <v>36.154865000000001</v>
      </c>
      <c r="AL82" s="848">
        <v>36.608756999999997</v>
      </c>
      <c r="AM82" s="848">
        <v>37.082008000000002</v>
      </c>
      <c r="AN82" s="848">
        <v>37.502094</v>
      </c>
      <c r="AO82" s="848">
        <v>37.842292999999998</v>
      </c>
      <c r="AP82" s="848">
        <v>38.16151</v>
      </c>
      <c r="AQ82" s="848">
        <v>38.618450000000003</v>
      </c>
      <c r="AR82" s="848">
        <v>38.850749999999998</v>
      </c>
      <c r="AS82" s="846"/>
      <c r="AT82" s="846"/>
      <c r="AU82" s="846"/>
      <c r="AV82" s="846"/>
      <c r="AW82" s="846"/>
      <c r="AX82" s="846"/>
      <c r="AY82" s="846"/>
      <c r="AZ82" s="846"/>
      <c r="BA82" s="846"/>
      <c r="BB82" s="846"/>
      <c r="BC82" s="846"/>
      <c r="BD82" s="846"/>
      <c r="BE82" s="846"/>
      <c r="BF82" s="846"/>
      <c r="BG82" s="846"/>
      <c r="BH82" s="846"/>
      <c r="BI82" s="846"/>
      <c r="BJ82" s="846"/>
      <c r="BK82" s="846"/>
      <c r="BL82" s="846"/>
      <c r="BM82" s="846"/>
      <c r="BN82" s="846"/>
      <c r="BO82" s="846"/>
      <c r="BP82" s="846"/>
      <c r="BQ82" s="846"/>
      <c r="BR82" s="846"/>
      <c r="BS82" s="846"/>
      <c r="BT82" s="846"/>
      <c r="BU82" s="846"/>
      <c r="BV82" s="849"/>
    </row>
    <row r="83" spans="1:104">
      <c r="D83" s="876"/>
      <c r="E83" s="738"/>
    </row>
    <row r="84" spans="1:104">
      <c r="D84" s="876"/>
    </row>
    <row r="85" spans="1:104" ht="14" thickBot="1">
      <c r="D85" s="876"/>
    </row>
    <row r="86" spans="1:104" ht="14" thickTop="1">
      <c r="A86" s="732" t="s">
        <v>1103</v>
      </c>
      <c r="B86" s="607" t="str">
        <f>"Prices are in $(" &amp; ref_year&amp;")/GJ LHV"</f>
        <v>Prices are in $(2016)/GJ LHV</v>
      </c>
      <c r="C86" s="607"/>
      <c r="D86" s="1023"/>
      <c r="E86" s="607"/>
      <c r="F86" s="733"/>
      <c r="G86" s="733"/>
      <c r="H86" s="733"/>
      <c r="I86" s="733"/>
      <c r="J86" s="733"/>
      <c r="K86" s="733"/>
      <c r="L86" s="733"/>
      <c r="M86" s="733"/>
      <c r="N86" s="733"/>
      <c r="O86" s="733"/>
      <c r="P86" s="733"/>
      <c r="Q86" s="733"/>
      <c r="R86" s="733"/>
      <c r="S86" s="733"/>
      <c r="T86" s="733"/>
      <c r="U86" s="733"/>
      <c r="V86" s="733"/>
      <c r="W86" s="733"/>
      <c r="X86" s="733"/>
      <c r="Y86" s="733"/>
      <c r="Z86" s="733"/>
      <c r="AA86" s="733"/>
      <c r="AB86" s="733"/>
      <c r="AC86" s="733"/>
      <c r="AD86" s="733"/>
      <c r="AE86" s="733"/>
      <c r="AF86" s="733"/>
      <c r="AG86" s="733"/>
      <c r="AH86" s="733"/>
      <c r="AI86" s="733"/>
      <c r="AJ86" s="733"/>
      <c r="AK86" s="733"/>
      <c r="AL86" s="733"/>
      <c r="AM86" s="733"/>
      <c r="AN86" s="733"/>
      <c r="AO86" s="733"/>
      <c r="AP86" s="733"/>
      <c r="AQ86" s="733"/>
      <c r="AR86" s="733"/>
      <c r="AS86" s="744" t="s">
        <v>770</v>
      </c>
      <c r="AT86" s="745"/>
      <c r="AU86" s="745"/>
      <c r="AV86" s="745"/>
      <c r="AW86" s="745"/>
      <c r="AX86" s="745"/>
      <c r="AY86" s="745"/>
      <c r="AZ86" s="745"/>
      <c r="BA86" s="745"/>
      <c r="BB86" s="745"/>
      <c r="BC86" s="745"/>
      <c r="BD86" s="745"/>
      <c r="BE86" s="745"/>
      <c r="BF86" s="745"/>
      <c r="BG86" s="745"/>
      <c r="BH86" s="745"/>
      <c r="BI86" s="745"/>
      <c r="BJ86" s="745"/>
      <c r="BK86" s="745"/>
      <c r="BL86" s="745"/>
      <c r="BM86" s="745"/>
      <c r="BN86" s="745"/>
      <c r="BO86" s="745"/>
      <c r="BP86" s="745"/>
      <c r="BQ86" s="745"/>
      <c r="BR86" s="745"/>
      <c r="BS86" s="745"/>
      <c r="BT86" s="745"/>
      <c r="BU86" s="745"/>
      <c r="BV86" s="746"/>
    </row>
    <row r="87" spans="1:104" ht="43" thickBot="1">
      <c r="A87" s="901" t="s">
        <v>1081</v>
      </c>
      <c r="B87" s="902" t="s">
        <v>676</v>
      </c>
      <c r="C87" s="902" t="s">
        <v>677</v>
      </c>
      <c r="D87" s="1024" t="s">
        <v>688</v>
      </c>
      <c r="E87" s="902" t="s">
        <v>689</v>
      </c>
      <c r="F87" s="505" t="s">
        <v>678</v>
      </c>
      <c r="G87" s="505" t="s">
        <v>690</v>
      </c>
      <c r="H87" s="1">
        <v>2004</v>
      </c>
      <c r="I87" s="1">
        <v>2005</v>
      </c>
      <c r="J87" s="1">
        <v>2006</v>
      </c>
      <c r="K87" s="1">
        <v>2007</v>
      </c>
      <c r="L87" s="1">
        <v>2008</v>
      </c>
      <c r="M87" s="1">
        <v>2009</v>
      </c>
      <c r="N87" s="1">
        <v>2010</v>
      </c>
      <c r="O87" s="1">
        <v>2011</v>
      </c>
      <c r="P87" s="1">
        <v>2012</v>
      </c>
      <c r="Q87" s="1">
        <v>2013</v>
      </c>
      <c r="R87" s="1">
        <v>2014</v>
      </c>
      <c r="S87" s="1">
        <v>2015</v>
      </c>
      <c r="T87" s="1">
        <v>2016</v>
      </c>
      <c r="U87" s="1">
        <v>2017</v>
      </c>
      <c r="V87" s="1">
        <v>2018</v>
      </c>
      <c r="W87" s="1">
        <v>2019</v>
      </c>
      <c r="X87" s="1">
        <v>2020</v>
      </c>
      <c r="Y87" s="1">
        <v>2021</v>
      </c>
      <c r="Z87" s="1">
        <v>2022</v>
      </c>
      <c r="AA87" s="1">
        <v>2023</v>
      </c>
      <c r="AB87" s="1">
        <v>2024</v>
      </c>
      <c r="AC87" s="1">
        <v>2025</v>
      </c>
      <c r="AD87" s="1">
        <v>2026</v>
      </c>
      <c r="AE87" s="1">
        <v>2027</v>
      </c>
      <c r="AF87" s="1">
        <v>2028</v>
      </c>
      <c r="AG87" s="1">
        <v>2029</v>
      </c>
      <c r="AH87" s="1">
        <v>2030</v>
      </c>
      <c r="AI87" s="1">
        <v>2031</v>
      </c>
      <c r="AJ87" s="1">
        <v>2032</v>
      </c>
      <c r="AK87" s="1">
        <v>2033</v>
      </c>
      <c r="AL87" s="1">
        <v>2034</v>
      </c>
      <c r="AM87" s="1">
        <v>2035</v>
      </c>
      <c r="AN87" s="1">
        <v>2036</v>
      </c>
      <c r="AO87" s="1">
        <v>2037</v>
      </c>
      <c r="AP87" s="1">
        <v>2038</v>
      </c>
      <c r="AQ87" s="1">
        <v>2039</v>
      </c>
      <c r="AR87" s="1">
        <v>2040</v>
      </c>
      <c r="AS87" s="1">
        <v>2041</v>
      </c>
      <c r="AT87" s="1">
        <v>2042</v>
      </c>
      <c r="AU87" s="1">
        <v>2043</v>
      </c>
      <c r="AV87" s="1">
        <v>2044</v>
      </c>
      <c r="AW87" s="1">
        <v>2045</v>
      </c>
      <c r="AX87" s="1">
        <v>2046</v>
      </c>
      <c r="AY87" s="1">
        <v>2047</v>
      </c>
      <c r="AZ87" s="1">
        <v>2048</v>
      </c>
      <c r="BA87" s="1">
        <v>2049</v>
      </c>
      <c r="BB87" s="1">
        <v>2050</v>
      </c>
      <c r="BC87" s="1">
        <v>2051</v>
      </c>
      <c r="BD87" s="1">
        <v>2052</v>
      </c>
      <c r="BE87" s="1">
        <v>2053</v>
      </c>
      <c r="BF87" s="1">
        <v>2054</v>
      </c>
      <c r="BG87" s="1">
        <v>2055</v>
      </c>
      <c r="BH87" s="1">
        <v>2056</v>
      </c>
      <c r="BI87" s="1">
        <v>2057</v>
      </c>
      <c r="BJ87" s="1">
        <v>2058</v>
      </c>
      <c r="BK87" s="1">
        <v>2059</v>
      </c>
      <c r="BL87" s="1">
        <v>2060</v>
      </c>
      <c r="BM87" s="1">
        <v>2061</v>
      </c>
      <c r="BN87" s="1">
        <v>2062</v>
      </c>
      <c r="BO87" s="1">
        <v>2063</v>
      </c>
      <c r="BP87" s="1">
        <v>2064</v>
      </c>
      <c r="BQ87" s="1">
        <v>2065</v>
      </c>
      <c r="BR87" s="1">
        <v>2066</v>
      </c>
      <c r="BS87" s="1">
        <v>2067</v>
      </c>
      <c r="BT87" s="1">
        <v>2068</v>
      </c>
      <c r="BU87" s="1">
        <v>2069</v>
      </c>
      <c r="BV87" s="750">
        <v>2070</v>
      </c>
      <c r="BW87" s="1149">
        <f t="shared" ref="BW87:CZ87" si="104">+BV87+1</f>
        <v>2071</v>
      </c>
      <c r="BX87" s="1149">
        <f t="shared" si="104"/>
        <v>2072</v>
      </c>
      <c r="BY87" s="1149">
        <f t="shared" si="104"/>
        <v>2073</v>
      </c>
      <c r="BZ87" s="1149">
        <f t="shared" si="104"/>
        <v>2074</v>
      </c>
      <c r="CA87" s="1149">
        <f t="shared" si="104"/>
        <v>2075</v>
      </c>
      <c r="CB87" s="1149">
        <f t="shared" si="104"/>
        <v>2076</v>
      </c>
      <c r="CC87" s="1149">
        <f t="shared" si="104"/>
        <v>2077</v>
      </c>
      <c r="CD87" s="1149">
        <f t="shared" si="104"/>
        <v>2078</v>
      </c>
      <c r="CE87" s="1149">
        <f t="shared" si="104"/>
        <v>2079</v>
      </c>
      <c r="CF87" s="1149">
        <f t="shared" si="104"/>
        <v>2080</v>
      </c>
      <c r="CG87" s="1149">
        <f t="shared" si="104"/>
        <v>2081</v>
      </c>
      <c r="CH87" s="1149">
        <f t="shared" si="104"/>
        <v>2082</v>
      </c>
      <c r="CI87" s="1149">
        <f t="shared" si="104"/>
        <v>2083</v>
      </c>
      <c r="CJ87" s="1149">
        <f t="shared" si="104"/>
        <v>2084</v>
      </c>
      <c r="CK87" s="1149">
        <f t="shared" si="104"/>
        <v>2085</v>
      </c>
      <c r="CL87" s="1149">
        <f t="shared" si="104"/>
        <v>2086</v>
      </c>
      <c r="CM87" s="1149">
        <f t="shared" si="104"/>
        <v>2087</v>
      </c>
      <c r="CN87" s="1149">
        <f t="shared" si="104"/>
        <v>2088</v>
      </c>
      <c r="CO87" s="1149">
        <f t="shared" si="104"/>
        <v>2089</v>
      </c>
      <c r="CP87" s="1149">
        <f t="shared" si="104"/>
        <v>2090</v>
      </c>
      <c r="CQ87" s="1149">
        <f t="shared" si="104"/>
        <v>2091</v>
      </c>
      <c r="CR87" s="1149">
        <f t="shared" si="104"/>
        <v>2092</v>
      </c>
      <c r="CS87" s="1149">
        <f t="shared" si="104"/>
        <v>2093</v>
      </c>
      <c r="CT87" s="1149">
        <f t="shared" si="104"/>
        <v>2094</v>
      </c>
      <c r="CU87" s="1149">
        <f t="shared" si="104"/>
        <v>2095</v>
      </c>
      <c r="CV87" s="1149">
        <f t="shared" si="104"/>
        <v>2096</v>
      </c>
      <c r="CW87" s="1149">
        <f t="shared" si="104"/>
        <v>2097</v>
      </c>
      <c r="CX87" s="1149">
        <f t="shared" si="104"/>
        <v>2098</v>
      </c>
      <c r="CY87" s="1149">
        <f t="shared" si="104"/>
        <v>2099</v>
      </c>
      <c r="CZ87" s="1149">
        <f t="shared" si="104"/>
        <v>2100</v>
      </c>
    </row>
    <row r="88" spans="1:104" ht="14" thickBot="1">
      <c r="A88" s="734" t="s">
        <v>1087</v>
      </c>
      <c r="B88" s="735"/>
      <c r="C88" s="735"/>
      <c r="D88" s="1025"/>
      <c r="E88" s="735"/>
      <c r="F88" s="735"/>
      <c r="G88" s="735"/>
      <c r="H88" s="807"/>
      <c r="I88" s="807"/>
      <c r="J88" s="807"/>
      <c r="K88" s="807"/>
      <c r="L88" s="807"/>
      <c r="M88" s="807"/>
      <c r="N88" s="807"/>
      <c r="O88" s="807"/>
      <c r="P88" s="807"/>
      <c r="Q88" s="807"/>
      <c r="R88" s="807"/>
      <c r="S88" s="807"/>
      <c r="T88" s="807"/>
      <c r="U88" s="807"/>
      <c r="V88" s="807"/>
      <c r="W88" s="807"/>
      <c r="X88" s="807"/>
      <c r="Y88" s="807"/>
      <c r="Z88" s="807"/>
      <c r="AA88" s="807"/>
      <c r="AB88" s="807"/>
      <c r="AC88" s="807"/>
      <c r="AD88" s="807"/>
      <c r="AE88" s="807"/>
      <c r="AF88" s="807"/>
      <c r="AG88" s="807"/>
      <c r="AH88" s="807"/>
      <c r="AI88" s="807"/>
      <c r="AJ88" s="807"/>
      <c r="AK88" s="807"/>
      <c r="AL88" s="807"/>
      <c r="AM88" s="807"/>
      <c r="AN88" s="807"/>
      <c r="AO88" s="807"/>
      <c r="AP88" s="807"/>
      <c r="AQ88" s="807"/>
      <c r="AR88" s="807"/>
      <c r="AS88" s="807"/>
      <c r="AT88" s="807"/>
      <c r="AU88" s="807"/>
      <c r="AV88" s="807"/>
      <c r="AW88" s="807"/>
      <c r="AX88" s="807"/>
      <c r="AY88" s="807"/>
      <c r="AZ88" s="807"/>
      <c r="BA88" s="807"/>
      <c r="BC88" s="807"/>
      <c r="BD88" s="807"/>
      <c r="BE88" s="807"/>
      <c r="BF88" s="807"/>
      <c r="BG88" s="807"/>
      <c r="BH88" s="807"/>
      <c r="BI88" s="807"/>
      <c r="BJ88" s="807"/>
      <c r="BK88" s="807"/>
      <c r="BL88" s="807"/>
      <c r="BM88" s="807"/>
      <c r="BN88" s="807"/>
      <c r="BO88" s="807"/>
      <c r="BP88" s="807"/>
      <c r="BR88" s="807"/>
      <c r="BS88" s="807"/>
      <c r="BT88" s="807"/>
      <c r="BU88" s="807"/>
    </row>
    <row r="89" spans="1:104">
      <c r="A89" s="737" t="str">
        <f>'HyARC Physical Property Data'!A73</f>
        <v>Residential Natural Gas</v>
      </c>
      <c r="B89">
        <v>2012</v>
      </c>
      <c r="C89" s="738">
        <f t="shared" ref="C89:C100" si="105">VLOOKUP(ref_year,DeflatorTable,2,FALSE)/VLOOKUP(B89,DeflatorTable,2,FALSE)</f>
        <v>1.0573833607504113</v>
      </c>
      <c r="D89" s="1026" t="str">
        <f>'HyARC Physical Property Data'!H73</f>
        <v>mmBtu</v>
      </c>
      <c r="E89" s="738" t="s">
        <v>1055</v>
      </c>
      <c r="F89">
        <f>'HyARC Physical Property Data'!$E$6</f>
        <v>47.141269049911173</v>
      </c>
      <c r="G89">
        <f>'HyARC Physical Property Data'!$I$6</f>
        <v>52.224661236371581</v>
      </c>
      <c r="H89" s="851">
        <v>12.595706345448797</v>
      </c>
      <c r="I89" s="851">
        <v>12.595706345448797</v>
      </c>
      <c r="J89" s="851">
        <v>12.595706345448797</v>
      </c>
      <c r="K89" s="851">
        <v>12.595706345448797</v>
      </c>
      <c r="L89" s="851">
        <v>13.121338604068761</v>
      </c>
      <c r="M89" s="851">
        <v>11.086947084595193</v>
      </c>
      <c r="N89" s="851">
        <v>10.600250548835966</v>
      </c>
      <c r="O89" s="807">
        <f t="shared" ref="O89:AR89" si="106">O106*($C89/mmBTU_to_GJ*$G89/$F89)</f>
        <v>12.191092687749757</v>
      </c>
      <c r="P89" s="807">
        <f t="shared" si="106"/>
        <v>11.61240672324179</v>
      </c>
      <c r="Q89" s="807">
        <f t="shared" si="106"/>
        <v>11.532824509346533</v>
      </c>
      <c r="R89" s="807">
        <f t="shared" si="106"/>
        <v>12.433025993412414</v>
      </c>
      <c r="S89" s="807">
        <f t="shared" si="106"/>
        <v>12.210932169261609</v>
      </c>
      <c r="T89" s="807">
        <f t="shared" si="106"/>
        <v>11.863496968910505</v>
      </c>
      <c r="U89" s="807">
        <f t="shared" si="106"/>
        <v>12.225430935188502</v>
      </c>
      <c r="V89" s="807">
        <f t="shared" si="106"/>
        <v>12.719978977683732</v>
      </c>
      <c r="W89" s="807">
        <f t="shared" si="106"/>
        <v>12.909977432874298</v>
      </c>
      <c r="X89" s="807">
        <f t="shared" si="106"/>
        <v>12.870974664401787</v>
      </c>
      <c r="Y89" s="807">
        <f t="shared" si="106"/>
        <v>13.107127561470831</v>
      </c>
      <c r="Z89" s="807">
        <f t="shared" si="106"/>
        <v>13.208746611585347</v>
      </c>
      <c r="AA89" s="807">
        <f t="shared" si="106"/>
        <v>13.387263083436196</v>
      </c>
      <c r="AB89" s="807">
        <f t="shared" si="106"/>
        <v>13.662847338627605</v>
      </c>
      <c r="AC89" s="807">
        <f t="shared" si="106"/>
        <v>13.851960856121453</v>
      </c>
      <c r="AD89" s="807">
        <f t="shared" si="106"/>
        <v>13.96794321118545</v>
      </c>
      <c r="AE89" s="807">
        <f t="shared" si="106"/>
        <v>14.119468528118476</v>
      </c>
      <c r="AF89" s="807">
        <f t="shared" si="106"/>
        <v>14.321017807473346</v>
      </c>
      <c r="AG89" s="807">
        <f t="shared" si="106"/>
        <v>14.638900308030435</v>
      </c>
      <c r="AH89" s="807">
        <f t="shared" si="106"/>
        <v>14.992739925739963</v>
      </c>
      <c r="AI89" s="807">
        <f t="shared" si="106"/>
        <v>15.156051458043953</v>
      </c>
      <c r="AJ89" s="807">
        <f t="shared" si="106"/>
        <v>15.225075488052026</v>
      </c>
      <c r="AK89" s="807">
        <f t="shared" si="106"/>
        <v>15.481925045932627</v>
      </c>
      <c r="AL89" s="807">
        <f t="shared" si="106"/>
        <v>15.921613613246663</v>
      </c>
      <c r="AM89" s="807">
        <f t="shared" si="106"/>
        <v>16.217219445034317</v>
      </c>
      <c r="AN89" s="807">
        <f t="shared" si="106"/>
        <v>16.649245584437377</v>
      </c>
      <c r="AO89" s="807">
        <f t="shared" si="106"/>
        <v>16.824194547104348</v>
      </c>
      <c r="AP89" s="807">
        <f t="shared" si="106"/>
        <v>16.965891170823646</v>
      </c>
      <c r="AQ89" s="807">
        <f t="shared" si="106"/>
        <v>17.341637715454421</v>
      </c>
      <c r="AR89" s="807">
        <f t="shared" si="106"/>
        <v>17.740732402979265</v>
      </c>
      <c r="AS89" s="807">
        <f>($BB89-$AR89)/10+AR89</f>
        <v>17.791465746273797</v>
      </c>
      <c r="AT89" s="807">
        <f t="shared" ref="AT89:BA89" si="107">($BB89-$AR89)/10+AS89</f>
        <v>17.842199089568329</v>
      </c>
      <c r="AU89" s="807">
        <f t="shared" si="107"/>
        <v>17.89293243286286</v>
      </c>
      <c r="AV89" s="807">
        <f t="shared" si="107"/>
        <v>17.943665776157392</v>
      </c>
      <c r="AW89" s="807">
        <f t="shared" si="107"/>
        <v>17.994399119451923</v>
      </c>
      <c r="AX89" s="807">
        <f t="shared" si="107"/>
        <v>18.045132462746455</v>
      </c>
      <c r="AY89" s="807">
        <f t="shared" si="107"/>
        <v>18.095865806040987</v>
      </c>
      <c r="AZ89" s="807">
        <f t="shared" si="107"/>
        <v>18.146599149335518</v>
      </c>
      <c r="BA89" s="807">
        <f t="shared" si="107"/>
        <v>18.19733249263005</v>
      </c>
      <c r="BB89" s="809">
        <f>'AEO Data'!$B$30*AM89</f>
        <v>18.248065835924574</v>
      </c>
      <c r="BC89" s="807">
        <f t="shared" ref="BC89:BP92" si="108">($BQ89-$BB89)/15+BB89</f>
        <v>18.396757114031804</v>
      </c>
      <c r="BD89" s="807">
        <f t="shared" si="108"/>
        <v>18.545448392139033</v>
      </c>
      <c r="BE89" s="807">
        <f t="shared" si="108"/>
        <v>18.694139670246262</v>
      </c>
      <c r="BF89" s="807">
        <f t="shared" si="108"/>
        <v>18.842830948353491</v>
      </c>
      <c r="BG89" s="807">
        <f t="shared" si="108"/>
        <v>18.99152222646072</v>
      </c>
      <c r="BH89" s="807">
        <f t="shared" si="108"/>
        <v>19.140213504567949</v>
      </c>
      <c r="BI89" s="807">
        <f t="shared" si="108"/>
        <v>19.288904782675178</v>
      </c>
      <c r="BJ89" s="807">
        <f t="shared" si="108"/>
        <v>19.437596060782408</v>
      </c>
      <c r="BK89" s="807">
        <f t="shared" si="108"/>
        <v>19.586287338889637</v>
      </c>
      <c r="BL89" s="807">
        <f t="shared" si="108"/>
        <v>19.734978616996866</v>
      </c>
      <c r="BM89" s="807">
        <f t="shared" si="108"/>
        <v>19.883669895104095</v>
      </c>
      <c r="BN89" s="807">
        <f t="shared" si="108"/>
        <v>20.032361173211324</v>
      </c>
      <c r="BO89" s="807">
        <f t="shared" si="108"/>
        <v>20.181052451318553</v>
      </c>
      <c r="BP89" s="807">
        <f t="shared" si="108"/>
        <v>20.329743729425783</v>
      </c>
      <c r="BQ89" s="809">
        <f>'AEO Data'!$C$30*BB89</f>
        <v>20.478435007533015</v>
      </c>
      <c r="BR89" s="807">
        <f t="shared" ref="BR89:BU92" si="109">($BV89-$BQ89)/5+BQ89</f>
        <v>20.595487067510991</v>
      </c>
      <c r="BS89" s="807">
        <f t="shared" si="109"/>
        <v>20.712539127488967</v>
      </c>
      <c r="BT89" s="807">
        <f t="shared" si="109"/>
        <v>20.829591187466942</v>
      </c>
      <c r="BU89" s="807">
        <f t="shared" si="109"/>
        <v>20.946643247444918</v>
      </c>
      <c r="BV89" s="810">
        <f>'AEO Data'!$D$30*BQ89</f>
        <v>21.063695307422901</v>
      </c>
      <c r="BW89" s="1148">
        <f>+BV89*BW$133/BV$133</f>
        <v>21.133632969420677</v>
      </c>
      <c r="BX89" s="1148">
        <f t="shared" ref="BX89:CZ89" si="110">+BW89*BX$133/BW$133</f>
        <v>21.203802845020782</v>
      </c>
      <c r="BY89" s="1148">
        <f t="shared" si="110"/>
        <v>21.274205705240661</v>
      </c>
      <c r="BZ89" s="1148">
        <f t="shared" si="110"/>
        <v>21.344842323657751</v>
      </c>
      <c r="CA89" s="1148">
        <f t="shared" si="110"/>
        <v>21.415713476418006</v>
      </c>
      <c r="CB89" s="1148">
        <f t="shared" si="110"/>
        <v>21.461413072202582</v>
      </c>
      <c r="CC89" s="1148">
        <f t="shared" si="110"/>
        <v>21.507210187645192</v>
      </c>
      <c r="CD89" s="1148">
        <f t="shared" si="110"/>
        <v>21.553105030845796</v>
      </c>
      <c r="CE89" s="1148">
        <f t="shared" si="110"/>
        <v>21.599097810348415</v>
      </c>
      <c r="CF89" s="1148">
        <f t="shared" si="110"/>
        <v>21.645188735142085</v>
      </c>
      <c r="CG89" s="1148">
        <f t="shared" si="110"/>
        <v>21.66015416604937</v>
      </c>
      <c r="CH89" s="1148">
        <f t="shared" si="110"/>
        <v>21.675129944019229</v>
      </c>
      <c r="CI89" s="1148">
        <f t="shared" si="110"/>
        <v>21.690116076205594</v>
      </c>
      <c r="CJ89" s="1148">
        <f t="shared" si="110"/>
        <v>21.705112569767344</v>
      </c>
      <c r="CK89" s="1148">
        <f t="shared" si="110"/>
        <v>21.720119431868312</v>
      </c>
      <c r="CL89" s="1148">
        <f t="shared" si="110"/>
        <v>21.725206091961226</v>
      </c>
      <c r="CM89" s="1148">
        <f t="shared" si="110"/>
        <v>21.730293943305</v>
      </c>
      <c r="CN89" s="1148">
        <f t="shared" si="110"/>
        <v>21.73538298617861</v>
      </c>
      <c r="CO89" s="1148">
        <f t="shared" si="110"/>
        <v>21.740473220861105</v>
      </c>
      <c r="CP89" s="1148">
        <f t="shared" si="110"/>
        <v>21.745564647631596</v>
      </c>
      <c r="CQ89" s="1148">
        <f t="shared" si="110"/>
        <v>21.753281193740353</v>
      </c>
      <c r="CR89" s="1148">
        <f t="shared" si="110"/>
        <v>21.761000478112514</v>
      </c>
      <c r="CS89" s="1148">
        <f t="shared" si="110"/>
        <v>21.768722501719765</v>
      </c>
      <c r="CT89" s="1148">
        <f t="shared" si="110"/>
        <v>21.776447265534141</v>
      </c>
      <c r="CU89" s="1148">
        <f t="shared" si="110"/>
        <v>21.784174770528026</v>
      </c>
      <c r="CV89" s="1148">
        <f t="shared" si="110"/>
        <v>21.796067433429702</v>
      </c>
      <c r="CW89" s="1148">
        <f t="shared" si="110"/>
        <v>21.807966588908322</v>
      </c>
      <c r="CX89" s="1148">
        <f t="shared" si="110"/>
        <v>21.819872240508388</v>
      </c>
      <c r="CY89" s="1148">
        <f t="shared" si="110"/>
        <v>21.831784391776338</v>
      </c>
      <c r="CZ89" s="1148">
        <f t="shared" si="110"/>
        <v>21.84370304626054</v>
      </c>
    </row>
    <row r="90" spans="1:104">
      <c r="A90" s="737" t="str">
        <f>'HyARC Physical Property Data'!A71</f>
        <v>Commercial Natural Gas</v>
      </c>
      <c r="B90">
        <v>2012</v>
      </c>
      <c r="C90" s="738">
        <f t="shared" si="105"/>
        <v>1.0573833607504113</v>
      </c>
      <c r="D90" s="1026" t="str">
        <f>'HyARC Physical Property Data'!H71</f>
        <v>mmBtu</v>
      </c>
      <c r="E90" s="738" t="s">
        <v>1055</v>
      </c>
      <c r="F90">
        <f>'HyARC Physical Property Data'!$E$6</f>
        <v>47.141269049911173</v>
      </c>
      <c r="G90">
        <f>'HyARC Physical Property Data'!$I$6</f>
        <v>52.224661236371581</v>
      </c>
      <c r="H90" s="852">
        <v>10.902002401006685</v>
      </c>
      <c r="I90" s="852">
        <v>10.902002401006685</v>
      </c>
      <c r="J90" s="852">
        <v>10.902002401006685</v>
      </c>
      <c r="K90" s="852">
        <v>10.902002401006685</v>
      </c>
      <c r="L90" s="852">
        <v>11.622313273930342</v>
      </c>
      <c r="M90" s="852">
        <v>8.8092072972420112</v>
      </c>
      <c r="N90" s="852">
        <v>8.4393179300649965</v>
      </c>
      <c r="O90">
        <f t="shared" ref="O90:AR90" si="111">O107*($C90/mmBTU_to_GJ*$G90/$F90)</f>
        <v>9.9495366192776444</v>
      </c>
      <c r="P90">
        <f t="shared" si="111"/>
        <v>9.0080039923979545</v>
      </c>
      <c r="Q90">
        <f t="shared" si="111"/>
        <v>9.2291706860885867</v>
      </c>
      <c r="R90">
        <f t="shared" si="111"/>
        <v>10.088576209235033</v>
      </c>
      <c r="S90">
        <f t="shared" si="111"/>
        <v>9.9025871769087672</v>
      </c>
      <c r="T90">
        <f t="shared" si="111"/>
        <v>9.6855387189987159</v>
      </c>
      <c r="U90">
        <f t="shared" si="111"/>
        <v>10.001081741855701</v>
      </c>
      <c r="V90">
        <f t="shared" si="111"/>
        <v>10.447347938925514</v>
      </c>
      <c r="W90">
        <f t="shared" si="111"/>
        <v>10.599788172624031</v>
      </c>
      <c r="X90">
        <f t="shared" si="111"/>
        <v>10.53794690542658</v>
      </c>
      <c r="Y90">
        <f t="shared" si="111"/>
        <v>10.753568581730253</v>
      </c>
      <c r="Z90">
        <f t="shared" si="111"/>
        <v>10.835192703309655</v>
      </c>
      <c r="AA90">
        <f t="shared" si="111"/>
        <v>10.990940627596027</v>
      </c>
      <c r="AB90">
        <f t="shared" si="111"/>
        <v>11.244415874735946</v>
      </c>
      <c r="AC90">
        <f t="shared" si="111"/>
        <v>11.421938595973796</v>
      </c>
      <c r="AD90">
        <f t="shared" si="111"/>
        <v>11.526345699484116</v>
      </c>
      <c r="AE90">
        <f t="shared" si="111"/>
        <v>11.655064717432735</v>
      </c>
      <c r="AF90">
        <f t="shared" si="111"/>
        <v>11.833099303511471</v>
      </c>
      <c r="AG90">
        <f t="shared" si="111"/>
        <v>12.114892556946344</v>
      </c>
      <c r="AH90">
        <f t="shared" si="111"/>
        <v>12.427240033139398</v>
      </c>
      <c r="AI90">
        <f t="shared" si="111"/>
        <v>12.540484299922209</v>
      </c>
      <c r="AJ90">
        <f t="shared" si="111"/>
        <v>12.538704431505849</v>
      </c>
      <c r="AK90">
        <f t="shared" si="111"/>
        <v>12.7448604944287</v>
      </c>
      <c r="AL90">
        <f t="shared" si="111"/>
        <v>13.044138206972995</v>
      </c>
      <c r="AM90">
        <f t="shared" si="111"/>
        <v>13.272322223428063</v>
      </c>
      <c r="AN90">
        <f t="shared" si="111"/>
        <v>13.616748413543148</v>
      </c>
      <c r="AO90">
        <f t="shared" si="111"/>
        <v>13.732951725447354</v>
      </c>
      <c r="AP90">
        <f t="shared" si="111"/>
        <v>13.833902353361841</v>
      </c>
      <c r="AQ90">
        <f t="shared" si="111"/>
        <v>14.16332901606795</v>
      </c>
      <c r="AR90">
        <f t="shared" si="111"/>
        <v>14.520292008609179</v>
      </c>
      <c r="AS90">
        <f t="shared" ref="AS90:BA90" si="112">($BB90-$AR90)/10+AR90</f>
        <v>14.561701375004496</v>
      </c>
      <c r="AT90">
        <f t="shared" si="112"/>
        <v>14.603110741399814</v>
      </c>
      <c r="AU90">
        <f t="shared" si="112"/>
        <v>14.644520107795131</v>
      </c>
      <c r="AV90">
        <f t="shared" si="112"/>
        <v>14.685929474190448</v>
      </c>
      <c r="AW90">
        <f t="shared" si="112"/>
        <v>14.727338840585766</v>
      </c>
      <c r="AX90">
        <f t="shared" si="112"/>
        <v>14.768748206981083</v>
      </c>
      <c r="AY90">
        <f t="shared" si="112"/>
        <v>14.810157573376401</v>
      </c>
      <c r="AZ90">
        <f t="shared" si="112"/>
        <v>14.851566939771718</v>
      </c>
      <c r="BA90">
        <f t="shared" si="112"/>
        <v>14.892976306167036</v>
      </c>
      <c r="BB90" s="790">
        <f>'AEO Data'!$B$30*AM90</f>
        <v>14.934385672562355</v>
      </c>
      <c r="BC90">
        <f t="shared" si="108"/>
        <v>15.056075988312308</v>
      </c>
      <c r="BD90">
        <f t="shared" si="108"/>
        <v>15.177766304062262</v>
      </c>
      <c r="BE90">
        <f t="shared" si="108"/>
        <v>15.299456619812215</v>
      </c>
      <c r="BF90">
        <f t="shared" si="108"/>
        <v>15.421146935562168</v>
      </c>
      <c r="BG90">
        <f t="shared" si="108"/>
        <v>15.542837251312122</v>
      </c>
      <c r="BH90">
        <f t="shared" si="108"/>
        <v>15.664527567062075</v>
      </c>
      <c r="BI90">
        <f t="shared" si="108"/>
        <v>15.786217882812029</v>
      </c>
      <c r="BJ90">
        <f t="shared" si="108"/>
        <v>15.907908198561982</v>
      </c>
      <c r="BK90">
        <f t="shared" si="108"/>
        <v>16.029598514311935</v>
      </c>
      <c r="BL90">
        <f t="shared" si="108"/>
        <v>16.151288830061887</v>
      </c>
      <c r="BM90">
        <f t="shared" si="108"/>
        <v>16.272979145811838</v>
      </c>
      <c r="BN90">
        <f t="shared" si="108"/>
        <v>16.39466946156179</v>
      </c>
      <c r="BO90">
        <f t="shared" si="108"/>
        <v>16.516359777311742</v>
      </c>
      <c r="BP90">
        <f t="shared" si="108"/>
        <v>16.638050093061693</v>
      </c>
      <c r="BQ90" s="790">
        <f>'AEO Data'!$C$30*BB90</f>
        <v>16.759740408811648</v>
      </c>
      <c r="BR90">
        <f t="shared" si="109"/>
        <v>16.855536896132378</v>
      </c>
      <c r="BS90">
        <f t="shared" si="109"/>
        <v>16.951333383453107</v>
      </c>
      <c r="BT90">
        <f t="shared" si="109"/>
        <v>17.047129870773837</v>
      </c>
      <c r="BU90">
        <f t="shared" si="109"/>
        <v>17.142926358094567</v>
      </c>
      <c r="BV90" s="811">
        <f>'AEO Data'!$D$30*BQ90</f>
        <v>17.238722845415303</v>
      </c>
      <c r="BW90" s="1148">
        <f>+BV90*BW$134/BV$134</f>
        <v>17.295960474142827</v>
      </c>
      <c r="BX90" s="1148">
        <f t="shared" ref="BX90:CZ90" si="113">+BW90*BX$134/BW$134</f>
        <v>17.353388148627904</v>
      </c>
      <c r="BY90" s="1148">
        <f t="shared" si="113"/>
        <v>17.411006499878322</v>
      </c>
      <c r="BZ90" s="1148">
        <f t="shared" si="113"/>
        <v>17.468816160997019</v>
      </c>
      <c r="CA90" s="1148">
        <f t="shared" si="113"/>
        <v>17.526817767189005</v>
      </c>
      <c r="CB90" s="1148">
        <f t="shared" si="113"/>
        <v>17.564218738594064</v>
      </c>
      <c r="CC90" s="1148">
        <f t="shared" si="113"/>
        <v>17.601699520988237</v>
      </c>
      <c r="CD90" s="1148">
        <f t="shared" si="113"/>
        <v>17.63926028468245</v>
      </c>
      <c r="CE90" s="1148">
        <f t="shared" si="113"/>
        <v>17.676901200351057</v>
      </c>
      <c r="CF90" s="1148">
        <f t="shared" si="113"/>
        <v>17.71462243903262</v>
      </c>
      <c r="CG90" s="1148">
        <f t="shared" si="113"/>
        <v>17.726870285951581</v>
      </c>
      <c r="CH90" s="1148">
        <f t="shared" si="113"/>
        <v>17.739126601002145</v>
      </c>
      <c r="CI90" s="1148">
        <f t="shared" si="113"/>
        <v>17.751391390039156</v>
      </c>
      <c r="CJ90" s="1148">
        <f t="shared" si="113"/>
        <v>17.763664658921517</v>
      </c>
      <c r="CK90" s="1148">
        <f t="shared" si="113"/>
        <v>17.775946413512166</v>
      </c>
      <c r="CL90" s="1148">
        <f t="shared" si="113"/>
        <v>17.78010938312746</v>
      </c>
      <c r="CM90" s="1148">
        <f t="shared" si="113"/>
        <v>17.784273327673461</v>
      </c>
      <c r="CN90" s="1148">
        <f t="shared" si="113"/>
        <v>17.78843824737849</v>
      </c>
      <c r="CO90" s="1148">
        <f t="shared" si="113"/>
        <v>17.792604142470921</v>
      </c>
      <c r="CP90" s="1148">
        <f t="shared" si="113"/>
        <v>17.796771013179182</v>
      </c>
      <c r="CQ90" s="1148">
        <f t="shared" si="113"/>
        <v>17.803086305807149</v>
      </c>
      <c r="CR90" s="1148">
        <f t="shared" si="113"/>
        <v>17.809403839455182</v>
      </c>
      <c r="CS90" s="1148">
        <f t="shared" si="113"/>
        <v>17.815723614918522</v>
      </c>
      <c r="CT90" s="1148">
        <f t="shared" si="113"/>
        <v>17.82204563299269</v>
      </c>
      <c r="CU90" s="1148">
        <f t="shared" si="113"/>
        <v>17.828369894473493</v>
      </c>
      <c r="CV90" s="1148">
        <f t="shared" si="113"/>
        <v>17.838102959667598</v>
      </c>
      <c r="CW90" s="1148">
        <f t="shared" si="113"/>
        <v>17.84784133844666</v>
      </c>
      <c r="CX90" s="1148">
        <f t="shared" si="113"/>
        <v>17.85758503371153</v>
      </c>
      <c r="CY90" s="1148">
        <f t="shared" si="113"/>
        <v>17.867334048364647</v>
      </c>
      <c r="CZ90" s="1148">
        <f t="shared" si="113"/>
        <v>17.877088385310028</v>
      </c>
    </row>
    <row r="91" spans="1:104">
      <c r="A91" s="737" t="str">
        <f>'HyARC Physical Property Data'!A72</f>
        <v>Industrial Natural Gas</v>
      </c>
      <c r="B91">
        <v>2012</v>
      </c>
      <c r="C91" s="738">
        <f t="shared" si="105"/>
        <v>1.0573833607504113</v>
      </c>
      <c r="D91" s="1026" t="str">
        <f>'HyARC Physical Property Data'!H72</f>
        <v>mmBtu</v>
      </c>
      <c r="E91" s="738" t="s">
        <v>1055</v>
      </c>
      <c r="F91">
        <f>'HyARC Physical Property Data'!$E$6</f>
        <v>47.141269049911173</v>
      </c>
      <c r="G91">
        <f>'HyARC Physical Property Data'!$I$6</f>
        <v>52.224661236371581</v>
      </c>
      <c r="H91" s="852">
        <v>7.3783194821098821</v>
      </c>
      <c r="I91" s="852">
        <v>7.3783194821098821</v>
      </c>
      <c r="J91" s="852">
        <v>7.3783194821098821</v>
      </c>
      <c r="K91" s="852">
        <v>7.3783194821098821</v>
      </c>
      <c r="L91" s="852">
        <v>8.8676108815331158</v>
      </c>
      <c r="M91" s="852">
        <v>4.0882509003775072</v>
      </c>
      <c r="N91" s="852">
        <v>4.7404242582948717</v>
      </c>
      <c r="O91">
        <f t="shared" ref="O91:AR91" si="114">O108*($C91/mmBTU_to_GJ*$G91/$F91)</f>
        <v>5.655737860285754</v>
      </c>
      <c r="P91">
        <f t="shared" si="114"/>
        <v>4.1875429462406233</v>
      </c>
      <c r="Q91">
        <f t="shared" si="114"/>
        <v>5.101776855163612</v>
      </c>
      <c r="R91">
        <f t="shared" si="114"/>
        <v>5.3291370023953855</v>
      </c>
      <c r="S91">
        <f t="shared" si="114"/>
        <v>5.4842809039627953</v>
      </c>
      <c r="T91">
        <f t="shared" si="114"/>
        <v>5.7166186869466191</v>
      </c>
      <c r="U91">
        <f t="shared" si="114"/>
        <v>6.0244693028238556</v>
      </c>
      <c r="V91">
        <f t="shared" si="114"/>
        <v>6.490891427131448</v>
      </c>
      <c r="W91">
        <f t="shared" si="114"/>
        <v>6.6038403445700586</v>
      </c>
      <c r="X91">
        <f t="shared" si="114"/>
        <v>6.4314251683822734</v>
      </c>
      <c r="Y91">
        <f t="shared" si="114"/>
        <v>6.5896202729491558</v>
      </c>
      <c r="Z91">
        <f t="shared" si="114"/>
        <v>6.6115305308780448</v>
      </c>
      <c r="AA91">
        <f t="shared" si="114"/>
        <v>6.7200414358025036</v>
      </c>
      <c r="AB91">
        <f t="shared" si="114"/>
        <v>6.9144745724995795</v>
      </c>
      <c r="AC91">
        <f t="shared" si="114"/>
        <v>7.0183809145278193</v>
      </c>
      <c r="AD91">
        <f t="shared" si="114"/>
        <v>7.0574158827408624</v>
      </c>
      <c r="AE91">
        <f t="shared" si="114"/>
        <v>7.1387235585943367</v>
      </c>
      <c r="AF91">
        <f t="shared" si="114"/>
        <v>7.2521565824768235</v>
      </c>
      <c r="AG91">
        <f t="shared" si="114"/>
        <v>7.4789127069896324</v>
      </c>
      <c r="AH91">
        <f t="shared" si="114"/>
        <v>7.7602540537211651</v>
      </c>
      <c r="AI91">
        <f t="shared" si="114"/>
        <v>7.8876606546590935</v>
      </c>
      <c r="AJ91">
        <f t="shared" si="114"/>
        <v>8.02124849544348</v>
      </c>
      <c r="AK91">
        <f t="shared" si="114"/>
        <v>8.2390597541033976</v>
      </c>
      <c r="AL91">
        <f t="shared" si="114"/>
        <v>8.4081761223903708</v>
      </c>
      <c r="AM91">
        <f t="shared" si="114"/>
        <v>8.613534964151059</v>
      </c>
      <c r="AN91">
        <f t="shared" si="114"/>
        <v>8.930664656981202</v>
      </c>
      <c r="AO91">
        <f t="shared" si="114"/>
        <v>8.9872951178917102</v>
      </c>
      <c r="AP91">
        <f t="shared" si="114"/>
        <v>9.0273060713436681</v>
      </c>
      <c r="AQ91">
        <f t="shared" si="114"/>
        <v>9.2571600329629291</v>
      </c>
      <c r="AR91">
        <f t="shared" si="114"/>
        <v>9.5415659067244984</v>
      </c>
      <c r="AS91">
        <f t="shared" ref="AS91:BA91" si="115">($BB91-$AR91)/10+AR91</f>
        <v>9.5566281987255213</v>
      </c>
      <c r="AT91">
        <f t="shared" si="115"/>
        <v>9.5716904907265441</v>
      </c>
      <c r="AU91">
        <f t="shared" si="115"/>
        <v>9.5867527827275669</v>
      </c>
      <c r="AV91">
        <f t="shared" si="115"/>
        <v>9.6018150747285897</v>
      </c>
      <c r="AW91">
        <f t="shared" si="115"/>
        <v>9.6168773667296126</v>
      </c>
      <c r="AX91">
        <f t="shared" si="115"/>
        <v>9.6319396587306354</v>
      </c>
      <c r="AY91">
        <f t="shared" si="115"/>
        <v>9.6470019507316582</v>
      </c>
      <c r="AZ91">
        <f t="shared" si="115"/>
        <v>9.6620642427326811</v>
      </c>
      <c r="BA91">
        <f t="shared" si="115"/>
        <v>9.6771265347337039</v>
      </c>
      <c r="BB91" s="790">
        <f>'AEO Data'!$B$30*AM91</f>
        <v>9.6921888267347267</v>
      </c>
      <c r="BC91">
        <f t="shared" si="108"/>
        <v>9.7711639881168519</v>
      </c>
      <c r="BD91">
        <f t="shared" si="108"/>
        <v>9.8501391494989772</v>
      </c>
      <c r="BE91">
        <f t="shared" si="108"/>
        <v>9.9291143108811024</v>
      </c>
      <c r="BF91">
        <f t="shared" si="108"/>
        <v>10.008089472263228</v>
      </c>
      <c r="BG91">
        <f t="shared" si="108"/>
        <v>10.087064633645353</v>
      </c>
      <c r="BH91">
        <f t="shared" si="108"/>
        <v>10.166039795027478</v>
      </c>
      <c r="BI91">
        <f t="shared" si="108"/>
        <v>10.245014956409603</v>
      </c>
      <c r="BJ91">
        <f t="shared" si="108"/>
        <v>10.323990117791729</v>
      </c>
      <c r="BK91">
        <f t="shared" si="108"/>
        <v>10.402965279173854</v>
      </c>
      <c r="BL91">
        <f t="shared" si="108"/>
        <v>10.481940440555979</v>
      </c>
      <c r="BM91">
        <f t="shared" si="108"/>
        <v>10.560915601938104</v>
      </c>
      <c r="BN91">
        <f t="shared" si="108"/>
        <v>10.63989076332023</v>
      </c>
      <c r="BO91">
        <f t="shared" si="108"/>
        <v>10.718865924702355</v>
      </c>
      <c r="BP91">
        <f t="shared" si="108"/>
        <v>10.79784108608448</v>
      </c>
      <c r="BQ91" s="790">
        <f>'AEO Data'!$C$30*BB91</f>
        <v>10.876816247466609</v>
      </c>
      <c r="BR91">
        <f t="shared" si="109"/>
        <v>10.938986708602901</v>
      </c>
      <c r="BS91">
        <f t="shared" si="109"/>
        <v>11.001157169739193</v>
      </c>
      <c r="BT91">
        <f t="shared" si="109"/>
        <v>11.063327630875484</v>
      </c>
      <c r="BU91">
        <f t="shared" si="109"/>
        <v>11.125498092011776</v>
      </c>
      <c r="BV91" s="811">
        <f>'AEO Data'!$D$30*BQ91</f>
        <v>11.187668553148065</v>
      </c>
      <c r="BW91" s="1148">
        <f>+BV91*BW$135/BV$135</f>
        <v>11.224814902370914</v>
      </c>
      <c r="BX91" s="1148">
        <f t="shared" ref="BX91:CZ91" si="116">+BW91*BX$135/BW$135</f>
        <v>11.262084588395711</v>
      </c>
      <c r="BY91" s="1148">
        <f t="shared" si="116"/>
        <v>11.299478020736903</v>
      </c>
      <c r="BZ91" s="1148">
        <f t="shared" si="116"/>
        <v>11.336995610268644</v>
      </c>
      <c r="CA91" s="1148">
        <f t="shared" si="116"/>
        <v>11.37463776922932</v>
      </c>
      <c r="CB91" s="1148">
        <f t="shared" si="116"/>
        <v>11.398910429994142</v>
      </c>
      <c r="CC91" s="1148">
        <f t="shared" si="116"/>
        <v>11.42323488687525</v>
      </c>
      <c r="CD91" s="1148">
        <f t="shared" si="116"/>
        <v>11.447611250401838</v>
      </c>
      <c r="CE91" s="1148">
        <f t="shared" si="116"/>
        <v>11.472039631338966</v>
      </c>
      <c r="CF91" s="1148">
        <f t="shared" si="116"/>
        <v>11.496520140688052</v>
      </c>
      <c r="CG91" s="1148">
        <f t="shared" si="116"/>
        <v>11.504468806784013</v>
      </c>
      <c r="CH91" s="1148">
        <f t="shared" si="116"/>
        <v>11.512422968568401</v>
      </c>
      <c r="CI91" s="1148">
        <f t="shared" si="116"/>
        <v>11.520382629840926</v>
      </c>
      <c r="CJ91" s="1148">
        <f t="shared" si="116"/>
        <v>11.528347794403915</v>
      </c>
      <c r="CK91" s="1148">
        <f t="shared" si="116"/>
        <v>11.536318466062333</v>
      </c>
      <c r="CL91" s="1148">
        <f t="shared" si="116"/>
        <v>11.539020169933924</v>
      </c>
      <c r="CM91" s="1148">
        <f t="shared" si="116"/>
        <v>11.541722506520692</v>
      </c>
      <c r="CN91" s="1148">
        <f t="shared" si="116"/>
        <v>11.544425475970817</v>
      </c>
      <c r="CO91" s="1148">
        <f t="shared" si="116"/>
        <v>11.54712907843251</v>
      </c>
      <c r="CP91" s="1148">
        <f t="shared" si="116"/>
        <v>11.549833314054016</v>
      </c>
      <c r="CQ91" s="1148">
        <f t="shared" si="116"/>
        <v>11.553931842777482</v>
      </c>
      <c r="CR91" s="1148">
        <f t="shared" si="116"/>
        <v>11.558031825888838</v>
      </c>
      <c r="CS91" s="1148">
        <f t="shared" si="116"/>
        <v>11.562133263904183</v>
      </c>
      <c r="CT91" s="1148">
        <f t="shared" si="116"/>
        <v>11.566236157339798</v>
      </c>
      <c r="CU91" s="1148">
        <f t="shared" si="116"/>
        <v>11.570340506712146</v>
      </c>
      <c r="CV91" s="1148">
        <f t="shared" si="116"/>
        <v>11.576657117772855</v>
      </c>
      <c r="CW91" s="1148">
        <f t="shared" si="116"/>
        <v>11.582977177269267</v>
      </c>
      <c r="CX91" s="1148">
        <f t="shared" si="116"/>
        <v>11.589300687083989</v>
      </c>
      <c r="CY91" s="1148">
        <f t="shared" si="116"/>
        <v>11.595627649100658</v>
      </c>
      <c r="CZ91" s="1148">
        <f t="shared" si="116"/>
        <v>11.60195806520394</v>
      </c>
    </row>
    <row r="92" spans="1:104">
      <c r="A92" s="737" t="str">
        <f>'HyARC Physical Property Data'!A74</f>
        <v>Electric Utility Natural Gas</v>
      </c>
      <c r="B92">
        <v>2012</v>
      </c>
      <c r="C92" s="738">
        <f t="shared" si="105"/>
        <v>1.0573833607504113</v>
      </c>
      <c r="D92" s="1026" t="str">
        <f>'HyARC Physical Property Data'!H74</f>
        <v>mmBtu</v>
      </c>
      <c r="E92" s="738" t="s">
        <v>1055</v>
      </c>
      <c r="F92">
        <f>'HyARC Physical Property Data'!$E$6</f>
        <v>47.141269049911173</v>
      </c>
      <c r="G92">
        <f>'HyARC Physical Property Data'!$I$6</f>
        <v>52.224661236371581</v>
      </c>
      <c r="H92" s="852">
        <v>7.0668336992239764</v>
      </c>
      <c r="I92" s="852">
        <v>7.0668336992239764</v>
      </c>
      <c r="J92" s="852">
        <v>7.0668336992239764</v>
      </c>
      <c r="K92" s="852">
        <v>7.0668336992239764</v>
      </c>
      <c r="L92" s="852">
        <v>8.8481430201027482</v>
      </c>
      <c r="M92" s="852">
        <v>4.0298473160863999</v>
      </c>
      <c r="N92" s="852">
        <v>4.7209563968645023</v>
      </c>
      <c r="O92">
        <f t="shared" ref="O92:AR92" si="117">O109*($C92/mmBTU_to_GJ*$G92/$F92)</f>
        <v>5.4205498450968195</v>
      </c>
      <c r="P92">
        <f t="shared" si="117"/>
        <v>3.8171937443247086</v>
      </c>
      <c r="Q92">
        <f t="shared" si="117"/>
        <v>4.7973527358134387</v>
      </c>
      <c r="R92">
        <f t="shared" si="117"/>
        <v>4.9625507287783099</v>
      </c>
      <c r="S92">
        <f t="shared" si="117"/>
        <v>4.9171202258938838</v>
      </c>
      <c r="T92">
        <f t="shared" si="117"/>
        <v>4.9685332185021656</v>
      </c>
      <c r="U92">
        <f t="shared" si="117"/>
        <v>5.2081048397471088</v>
      </c>
      <c r="V92">
        <f t="shared" si="117"/>
        <v>5.6206345914253779</v>
      </c>
      <c r="W92">
        <f t="shared" si="117"/>
        <v>5.7508958659119411</v>
      </c>
      <c r="X92">
        <f t="shared" si="117"/>
        <v>5.6343006054419362</v>
      </c>
      <c r="Y92">
        <f t="shared" si="117"/>
        <v>5.8207548685021111</v>
      </c>
      <c r="Z92">
        <f t="shared" si="117"/>
        <v>5.8784978859648298</v>
      </c>
      <c r="AA92">
        <f t="shared" si="117"/>
        <v>6.0180882025189186</v>
      </c>
      <c r="AB92">
        <f t="shared" si="117"/>
        <v>6.2425492627668415</v>
      </c>
      <c r="AC92">
        <f t="shared" si="117"/>
        <v>6.3929997745675973</v>
      </c>
      <c r="AD92">
        <f t="shared" si="117"/>
        <v>6.4554939192627536</v>
      </c>
      <c r="AE92">
        <f t="shared" si="117"/>
        <v>6.5567554412237641</v>
      </c>
      <c r="AF92">
        <f t="shared" si="117"/>
        <v>6.6927371661663972</v>
      </c>
      <c r="AG92">
        <f t="shared" si="117"/>
        <v>6.9326085780990629</v>
      </c>
      <c r="AH92">
        <f t="shared" si="117"/>
        <v>7.2098860955081534</v>
      </c>
      <c r="AI92">
        <f t="shared" si="117"/>
        <v>7.3471713547744324</v>
      </c>
      <c r="AJ92">
        <f t="shared" si="117"/>
        <v>7.468747582004128</v>
      </c>
      <c r="AK92">
        <f t="shared" si="117"/>
        <v>7.6952494396003139</v>
      </c>
      <c r="AL92">
        <f t="shared" si="117"/>
        <v>7.8732995703813753</v>
      </c>
      <c r="AM92">
        <f t="shared" si="117"/>
        <v>8.0908132590253317</v>
      </c>
      <c r="AN92">
        <f t="shared" si="117"/>
        <v>8.4061308836985837</v>
      </c>
      <c r="AO92">
        <f t="shared" si="117"/>
        <v>8.4723502052726456</v>
      </c>
      <c r="AP92">
        <f t="shared" si="117"/>
        <v>8.5254853288315022</v>
      </c>
      <c r="AQ92">
        <f t="shared" si="117"/>
        <v>8.7688220990470462</v>
      </c>
      <c r="AR92">
        <f t="shared" si="117"/>
        <v>9.0589717403181744</v>
      </c>
      <c r="AS92">
        <f t="shared" ref="AS92:BA92" si="118">($BB92-$AR92)/10+AR92</f>
        <v>9.0634753505716894</v>
      </c>
      <c r="AT92">
        <f t="shared" si="118"/>
        <v>9.0679789608252044</v>
      </c>
      <c r="AU92">
        <f t="shared" si="118"/>
        <v>9.0724825710787194</v>
      </c>
      <c r="AV92">
        <f t="shared" si="118"/>
        <v>9.0769861813322343</v>
      </c>
      <c r="AW92">
        <f t="shared" si="118"/>
        <v>9.0814897915857493</v>
      </c>
      <c r="AX92">
        <f t="shared" si="118"/>
        <v>9.0859934018392643</v>
      </c>
      <c r="AY92">
        <f t="shared" si="118"/>
        <v>9.0904970120927793</v>
      </c>
      <c r="AZ92">
        <f t="shared" si="118"/>
        <v>9.0950006223462943</v>
      </c>
      <c r="BA92">
        <f t="shared" si="118"/>
        <v>9.0995042325998092</v>
      </c>
      <c r="BB92" s="790">
        <f>'AEO Data'!$B$30*AM92</f>
        <v>9.1040078428533171</v>
      </c>
      <c r="BC92">
        <f t="shared" si="108"/>
        <v>9.178190310969315</v>
      </c>
      <c r="BD92">
        <f t="shared" si="108"/>
        <v>9.252372779085313</v>
      </c>
      <c r="BE92">
        <f t="shared" si="108"/>
        <v>9.3265552472013109</v>
      </c>
      <c r="BF92">
        <f t="shared" si="108"/>
        <v>9.4007377153173088</v>
      </c>
      <c r="BG92">
        <f t="shared" si="108"/>
        <v>9.4749201834333068</v>
      </c>
      <c r="BH92">
        <f t="shared" si="108"/>
        <v>9.5491026515493047</v>
      </c>
      <c r="BI92">
        <f t="shared" si="108"/>
        <v>9.6232851196653026</v>
      </c>
      <c r="BJ92">
        <f t="shared" si="108"/>
        <v>9.6974675877813006</v>
      </c>
      <c r="BK92">
        <f t="shared" si="108"/>
        <v>9.7716500558972985</v>
      </c>
      <c r="BL92">
        <f t="shared" si="108"/>
        <v>9.8458325240132964</v>
      </c>
      <c r="BM92">
        <f t="shared" si="108"/>
        <v>9.9200149921292944</v>
      </c>
      <c r="BN92">
        <f t="shared" si="108"/>
        <v>9.9941974602452923</v>
      </c>
      <c r="BO92">
        <f t="shared" si="108"/>
        <v>10.06837992836129</v>
      </c>
      <c r="BP92">
        <f t="shared" si="108"/>
        <v>10.142562396477288</v>
      </c>
      <c r="BQ92" s="790">
        <f>'AEO Data'!$C$30*BB92</f>
        <v>10.216744864593281</v>
      </c>
      <c r="BR92">
        <f t="shared" si="109"/>
        <v>10.275142443911728</v>
      </c>
      <c r="BS92">
        <f t="shared" si="109"/>
        <v>10.333540023230174</v>
      </c>
      <c r="BT92">
        <f t="shared" si="109"/>
        <v>10.391937602548621</v>
      </c>
      <c r="BU92">
        <f t="shared" si="109"/>
        <v>10.450335181867068</v>
      </c>
      <c r="BV92" s="811">
        <f>'AEO Data'!$D$30*BQ92</f>
        <v>10.508732761185513</v>
      </c>
      <c r="BW92" s="1148">
        <f>+BV92*BW$136/BV$136</f>
        <v>10.543624843944501</v>
      </c>
      <c r="BX92" s="1148">
        <f t="shared" ref="BX92:CZ92" si="119">+BW92*BX$136/BW$136</f>
        <v>10.578632778677932</v>
      </c>
      <c r="BY92" s="1148">
        <f t="shared" si="119"/>
        <v>10.613756950048424</v>
      </c>
      <c r="BZ92" s="1148">
        <f t="shared" si="119"/>
        <v>10.648997743995791</v>
      </c>
      <c r="CA92" s="1148">
        <f t="shared" si="119"/>
        <v>10.684355547741282</v>
      </c>
      <c r="CB92" s="1148">
        <f t="shared" si="119"/>
        <v>10.707155195779537</v>
      </c>
      <c r="CC92" s="1148">
        <f t="shared" si="119"/>
        <v>10.730003496630621</v>
      </c>
      <c r="CD92" s="1148">
        <f t="shared" si="119"/>
        <v>10.752900554116147</v>
      </c>
      <c r="CE92" s="1148">
        <f t="shared" si="119"/>
        <v>10.775846472279273</v>
      </c>
      <c r="CF92" s="1148">
        <f t="shared" si="119"/>
        <v>10.79884135538518</v>
      </c>
      <c r="CG92" s="1148">
        <f t="shared" si="119"/>
        <v>10.806307648063903</v>
      </c>
      <c r="CH92" s="1148">
        <f t="shared" si="119"/>
        <v>10.813779102919245</v>
      </c>
      <c r="CI92" s="1148">
        <f t="shared" si="119"/>
        <v>10.821255723520322</v>
      </c>
      <c r="CJ92" s="1148">
        <f t="shared" si="119"/>
        <v>10.828737513438721</v>
      </c>
      <c r="CK92" s="1148">
        <f t="shared" si="119"/>
        <v>10.836224476248493</v>
      </c>
      <c r="CL92" s="1148">
        <f t="shared" si="119"/>
        <v>10.838762224292379</v>
      </c>
      <c r="CM92" s="1148">
        <f t="shared" si="119"/>
        <v>10.841300566654439</v>
      </c>
      <c r="CN92" s="1148">
        <f t="shared" si="119"/>
        <v>10.843839503473856</v>
      </c>
      <c r="CO92" s="1148">
        <f t="shared" si="119"/>
        <v>10.846379034889845</v>
      </c>
      <c r="CP92" s="1148">
        <f t="shared" si="119"/>
        <v>10.848919161041659</v>
      </c>
      <c r="CQ92" s="1148">
        <f t="shared" si="119"/>
        <v>10.85276896610733</v>
      </c>
      <c r="CR92" s="1148">
        <f t="shared" si="119"/>
        <v>10.856620137299787</v>
      </c>
      <c r="CS92" s="1148">
        <f t="shared" si="119"/>
        <v>10.860472675103804</v>
      </c>
      <c r="CT92" s="1148">
        <f t="shared" si="119"/>
        <v>10.864326580004334</v>
      </c>
      <c r="CU92" s="1148">
        <f t="shared" si="119"/>
        <v>10.868181852486501</v>
      </c>
      <c r="CV92" s="1148">
        <f t="shared" si="119"/>
        <v>10.874115133158696</v>
      </c>
      <c r="CW92" s="1148">
        <f t="shared" si="119"/>
        <v>10.880051652994538</v>
      </c>
      <c r="CX92" s="1148">
        <f t="shared" si="119"/>
        <v>10.885991413762385</v>
      </c>
      <c r="CY92" s="1148">
        <f t="shared" si="119"/>
        <v>10.891934417231562</v>
      </c>
      <c r="CZ92" s="1148">
        <f t="shared" si="119"/>
        <v>10.897880665172362</v>
      </c>
    </row>
    <row r="93" spans="1:104">
      <c r="A93" s="737" t="str">
        <f>'HyARC Physical Property Data'!A75</f>
        <v>Bio Methane</v>
      </c>
      <c r="B93">
        <v>2007</v>
      </c>
      <c r="C93" s="738">
        <f t="shared" si="105"/>
        <v>1.1413971588333081</v>
      </c>
      <c r="D93" s="1026" t="str">
        <f>'HyARC Physical Property Data'!H75</f>
        <v>mmBtu</v>
      </c>
      <c r="E93" s="738" t="s">
        <v>1055</v>
      </c>
      <c r="F93">
        <f>'HyARC Physical Property Data'!$E$6</f>
        <v>47.141269049911173</v>
      </c>
      <c r="G93">
        <f>'HyARC Physical Property Data'!$I$6</f>
        <v>52.224661236371581</v>
      </c>
      <c r="H93" s="852">
        <v>12.42654028436019</v>
      </c>
      <c r="I93" s="852">
        <v>12.42654028436019</v>
      </c>
      <c r="J93" s="852">
        <v>12.42654028436019</v>
      </c>
      <c r="K93" s="852">
        <v>12.42654028436019</v>
      </c>
      <c r="L93" s="852">
        <v>12.42654028436019</v>
      </c>
      <c r="M93" s="852">
        <v>12.42654028436019</v>
      </c>
      <c r="N93" s="852">
        <v>12.42654028436019</v>
      </c>
      <c r="O93">
        <f t="shared" ref="O93:AM93" si="120">13.11*($C$93/mmBTU_to_GJ)</f>
        <v>14.183617774696369</v>
      </c>
      <c r="P93">
        <f t="shared" si="120"/>
        <v>14.183617774696369</v>
      </c>
      <c r="Q93">
        <f t="shared" si="120"/>
        <v>14.183617774696369</v>
      </c>
      <c r="R93">
        <f t="shared" si="120"/>
        <v>14.183617774696369</v>
      </c>
      <c r="S93">
        <f t="shared" si="120"/>
        <v>14.183617774696369</v>
      </c>
      <c r="T93">
        <f t="shared" si="120"/>
        <v>14.183617774696369</v>
      </c>
      <c r="U93">
        <f t="shared" si="120"/>
        <v>14.183617774696369</v>
      </c>
      <c r="V93">
        <f t="shared" si="120"/>
        <v>14.183617774696369</v>
      </c>
      <c r="W93">
        <f t="shared" si="120"/>
        <v>14.183617774696369</v>
      </c>
      <c r="X93">
        <f t="shared" si="120"/>
        <v>14.183617774696369</v>
      </c>
      <c r="Y93">
        <f t="shared" si="120"/>
        <v>14.183617774696369</v>
      </c>
      <c r="Z93">
        <f t="shared" si="120"/>
        <v>14.183617774696369</v>
      </c>
      <c r="AA93">
        <f t="shared" si="120"/>
        <v>14.183617774696369</v>
      </c>
      <c r="AB93">
        <f t="shared" si="120"/>
        <v>14.183617774696369</v>
      </c>
      <c r="AC93">
        <f t="shared" si="120"/>
        <v>14.183617774696369</v>
      </c>
      <c r="AD93">
        <f t="shared" si="120"/>
        <v>14.183617774696369</v>
      </c>
      <c r="AE93">
        <f t="shared" si="120"/>
        <v>14.183617774696369</v>
      </c>
      <c r="AF93">
        <f t="shared" si="120"/>
        <v>14.183617774696369</v>
      </c>
      <c r="AG93">
        <f t="shared" si="120"/>
        <v>14.183617774696369</v>
      </c>
      <c r="AH93">
        <f t="shared" si="120"/>
        <v>14.183617774696369</v>
      </c>
      <c r="AI93">
        <f t="shared" si="120"/>
        <v>14.183617774696369</v>
      </c>
      <c r="AJ93">
        <f t="shared" si="120"/>
        <v>14.183617774696369</v>
      </c>
      <c r="AK93">
        <f t="shared" si="120"/>
        <v>14.183617774696369</v>
      </c>
      <c r="AL93">
        <f t="shared" si="120"/>
        <v>14.183617774696369</v>
      </c>
      <c r="AM93">
        <f t="shared" si="120"/>
        <v>14.183617774696369</v>
      </c>
      <c r="AN93">
        <f t="shared" ref="AN93:BV93" si="121">13.11*($C$93/mmBTU_to_GJ)</f>
        <v>14.183617774696369</v>
      </c>
      <c r="AO93">
        <f t="shared" si="121"/>
        <v>14.183617774696369</v>
      </c>
      <c r="AP93">
        <f t="shared" si="121"/>
        <v>14.183617774696369</v>
      </c>
      <c r="AQ93">
        <f t="shared" si="121"/>
        <v>14.183617774696369</v>
      </c>
      <c r="AR93">
        <f t="shared" si="121"/>
        <v>14.183617774696369</v>
      </c>
      <c r="AS93">
        <f t="shared" si="121"/>
        <v>14.183617774696369</v>
      </c>
      <c r="AT93">
        <f t="shared" si="121"/>
        <v>14.183617774696369</v>
      </c>
      <c r="AU93">
        <f t="shared" si="121"/>
        <v>14.183617774696369</v>
      </c>
      <c r="AV93">
        <f t="shared" si="121"/>
        <v>14.183617774696369</v>
      </c>
      <c r="AW93">
        <f t="shared" si="121"/>
        <v>14.183617774696369</v>
      </c>
      <c r="AX93">
        <f t="shared" si="121"/>
        <v>14.183617774696369</v>
      </c>
      <c r="AY93">
        <f t="shared" si="121"/>
        <v>14.183617774696369</v>
      </c>
      <c r="AZ93">
        <f t="shared" si="121"/>
        <v>14.183617774696369</v>
      </c>
      <c r="BA93">
        <f t="shared" si="121"/>
        <v>14.183617774696369</v>
      </c>
      <c r="BB93">
        <f t="shared" si="121"/>
        <v>14.183617774696369</v>
      </c>
      <c r="BC93">
        <f t="shared" si="121"/>
        <v>14.183617774696369</v>
      </c>
      <c r="BD93">
        <f t="shared" si="121"/>
        <v>14.183617774696369</v>
      </c>
      <c r="BE93">
        <f t="shared" si="121"/>
        <v>14.183617774696369</v>
      </c>
      <c r="BF93">
        <f t="shared" si="121"/>
        <v>14.183617774696369</v>
      </c>
      <c r="BG93">
        <f t="shared" si="121"/>
        <v>14.183617774696369</v>
      </c>
      <c r="BH93">
        <f t="shared" si="121"/>
        <v>14.183617774696369</v>
      </c>
      <c r="BI93">
        <f t="shared" si="121"/>
        <v>14.183617774696369</v>
      </c>
      <c r="BJ93">
        <f t="shared" si="121"/>
        <v>14.183617774696369</v>
      </c>
      <c r="BK93">
        <f t="shared" si="121"/>
        <v>14.183617774696369</v>
      </c>
      <c r="BL93">
        <f t="shared" si="121"/>
        <v>14.183617774696369</v>
      </c>
      <c r="BM93">
        <f t="shared" si="121"/>
        <v>14.183617774696369</v>
      </c>
      <c r="BN93">
        <f t="shared" si="121"/>
        <v>14.183617774696369</v>
      </c>
      <c r="BO93">
        <f t="shared" si="121"/>
        <v>14.183617774696369</v>
      </c>
      <c r="BP93">
        <f t="shared" si="121"/>
        <v>14.183617774696369</v>
      </c>
      <c r="BQ93">
        <f t="shared" si="121"/>
        <v>14.183617774696369</v>
      </c>
      <c r="BR93">
        <f t="shared" si="121"/>
        <v>14.183617774696369</v>
      </c>
      <c r="BS93">
        <f t="shared" si="121"/>
        <v>14.183617774696369</v>
      </c>
      <c r="BT93">
        <f t="shared" si="121"/>
        <v>14.183617774696369</v>
      </c>
      <c r="BU93">
        <f t="shared" si="121"/>
        <v>14.183617774696369</v>
      </c>
      <c r="BV93" s="609">
        <f t="shared" si="121"/>
        <v>14.183617774696369</v>
      </c>
      <c r="BW93" s="1148">
        <f>+BV93*BW$136/BV$136</f>
        <v>14.230711556264829</v>
      </c>
      <c r="BX93" s="1148">
        <f t="shared" ref="BX93:CZ93" si="122">+BW93*BX$136/BW$136</f>
        <v>14.277961703035571</v>
      </c>
      <c r="BY93" s="1148">
        <f t="shared" si="122"/>
        <v>14.325368734187041</v>
      </c>
      <c r="BZ93" s="1148">
        <f t="shared" si="122"/>
        <v>14.372933170621517</v>
      </c>
      <c r="CA93" s="1148">
        <f t="shared" si="122"/>
        <v>14.420655534970821</v>
      </c>
      <c r="CB93" s="1148">
        <f t="shared" si="122"/>
        <v>14.451428179067991</v>
      </c>
      <c r="CC93" s="1148">
        <f t="shared" si="122"/>
        <v>14.482266489779443</v>
      </c>
      <c r="CD93" s="1148">
        <f t="shared" si="122"/>
        <v>14.51317060723302</v>
      </c>
      <c r="CE93" s="1148">
        <f t="shared" si="122"/>
        <v>14.54414067185559</v>
      </c>
      <c r="CF93" s="1148">
        <f t="shared" si="122"/>
        <v>14.575176824373679</v>
      </c>
      <c r="CG93" s="1148">
        <f t="shared" si="122"/>
        <v>14.585254066221541</v>
      </c>
      <c r="CH93" s="1148">
        <f t="shared" si="122"/>
        <v>14.595338275449933</v>
      </c>
      <c r="CI93" s="1148">
        <f t="shared" si="122"/>
        <v>14.605429456876088</v>
      </c>
      <c r="CJ93" s="1148">
        <f t="shared" si="122"/>
        <v>14.615527615320566</v>
      </c>
      <c r="CK93" s="1148">
        <f t="shared" si="122"/>
        <v>14.625632755607262</v>
      </c>
      <c r="CL93" s="1148">
        <f t="shared" si="122"/>
        <v>14.629057949594106</v>
      </c>
      <c r="CM93" s="1148">
        <f t="shared" si="122"/>
        <v>14.632483945731124</v>
      </c>
      <c r="CN93" s="1148">
        <f t="shared" si="122"/>
        <v>14.635910744206171</v>
      </c>
      <c r="CO93" s="1148">
        <f t="shared" si="122"/>
        <v>14.639338345207147</v>
      </c>
      <c r="CP93" s="1148">
        <f t="shared" si="122"/>
        <v>14.642766748922</v>
      </c>
      <c r="CQ93" s="1148">
        <f t="shared" si="122"/>
        <v>14.647962823919764</v>
      </c>
      <c r="CR93" s="1148">
        <f t="shared" si="122"/>
        <v>14.6531607427764</v>
      </c>
      <c r="CS93" s="1148">
        <f t="shared" si="122"/>
        <v>14.658360506146211</v>
      </c>
      <c r="CT93" s="1148">
        <f t="shared" si="122"/>
        <v>14.663562114683737</v>
      </c>
      <c r="CU93" s="1148">
        <f t="shared" si="122"/>
        <v>14.668765569043746</v>
      </c>
      <c r="CV93" s="1148">
        <f t="shared" si="122"/>
        <v>14.676773707333766</v>
      </c>
      <c r="CW93" s="1148">
        <f t="shared" si="122"/>
        <v>14.68478621751715</v>
      </c>
      <c r="CX93" s="1148">
        <f t="shared" si="122"/>
        <v>14.692803101980653</v>
      </c>
      <c r="CY93" s="1148">
        <f t="shared" si="122"/>
        <v>14.700824363112332</v>
      </c>
      <c r="CZ93" s="1148">
        <f t="shared" si="122"/>
        <v>14.708850003301547</v>
      </c>
    </row>
    <row r="94" spans="1:104">
      <c r="A94" s="812" t="str">
        <f>'HyARC Physical Property Data'!A85</f>
        <v>Woody Biomass</v>
      </c>
      <c r="B94">
        <v>2005</v>
      </c>
      <c r="C94" s="738">
        <f t="shared" si="105"/>
        <v>1.208440716126562</v>
      </c>
      <c r="D94" s="1028" t="str">
        <f>+'HyARC Physical Property Data'!$H$85</f>
        <v>kg</v>
      </c>
      <c r="E94" s="738" t="s">
        <v>1055</v>
      </c>
      <c r="F94">
        <f>'HyARC Physical Property Data'!$E$45</f>
        <v>19.551069237418005</v>
      </c>
      <c r="G94">
        <f>'HyARC Physical Property Data'!$I$45</f>
        <v>20.588656379262464</v>
      </c>
      <c r="H94" s="852">
        <v>1.3438238843289665</v>
      </c>
      <c r="I94" s="852">
        <v>1.3438238843289665</v>
      </c>
      <c r="J94" s="852">
        <v>1.3438238843289665</v>
      </c>
      <c r="K94" s="852">
        <v>1.3438238843289665</v>
      </c>
      <c r="L94" s="852">
        <v>1.3438238843289665</v>
      </c>
      <c r="M94" s="852">
        <v>1.3438238843289665</v>
      </c>
      <c r="N94" s="852">
        <v>1.3438238843289665</v>
      </c>
      <c r="O94">
        <f>1.27*($C$94)</f>
        <v>1.5347197094807337</v>
      </c>
      <c r="P94">
        <f>1.28*($C$94)</f>
        <v>1.5468041166419995</v>
      </c>
      <c r="Q94">
        <f>1.32*($C$94)</f>
        <v>1.595141745287062</v>
      </c>
      <c r="R94">
        <f>1.32*($C$94)</f>
        <v>1.595141745287062</v>
      </c>
      <c r="S94">
        <f>1.34*($C$94)</f>
        <v>1.6193105596095931</v>
      </c>
      <c r="T94">
        <f>1.34*($C$94)</f>
        <v>1.6193105596095931</v>
      </c>
      <c r="U94">
        <f>1.36*($C$94)</f>
        <v>1.6434793739321245</v>
      </c>
      <c r="V94">
        <f>1.36*($C$94)</f>
        <v>1.6434793739321245</v>
      </c>
      <c r="W94">
        <f>1.38*($C$94)</f>
        <v>1.6676481882546554</v>
      </c>
      <c r="X94">
        <f>1.4*($C$94)</f>
        <v>1.6918170025771868</v>
      </c>
      <c r="Y94">
        <f>1.46*($C$94)</f>
        <v>1.7643234455447805</v>
      </c>
      <c r="Z94">
        <f>1.48*($C$94)</f>
        <v>1.7884922598673119</v>
      </c>
      <c r="AA94">
        <f>1.48*($C$94)</f>
        <v>1.7884922598673119</v>
      </c>
      <c r="AB94">
        <f>1.51*($C$94)</f>
        <v>1.8247454813511086</v>
      </c>
      <c r="AC94">
        <f>1.52*($C$94)</f>
        <v>1.8368298885123742</v>
      </c>
      <c r="AD94">
        <f>1.62*($C$94)</f>
        <v>1.9576739601250306</v>
      </c>
      <c r="AE94">
        <f>1.72*($C$94)</f>
        <v>2.0785180317376866</v>
      </c>
      <c r="AF94">
        <f>1.82*($C$94)</f>
        <v>2.1993621033503428</v>
      </c>
      <c r="AG94">
        <f>1.91*($C$94)</f>
        <v>2.3081217678017332</v>
      </c>
      <c r="AH94">
        <f>2.01*($C$94)</f>
        <v>2.4289658394143894</v>
      </c>
      <c r="AI94">
        <f>2.11*($C$94)</f>
        <v>2.5498099110270456</v>
      </c>
      <c r="AJ94">
        <f>2.2*($C$94)</f>
        <v>2.6585695754784364</v>
      </c>
      <c r="AK94">
        <f>2.3*($C$94)</f>
        <v>2.7794136470910926</v>
      </c>
      <c r="AL94">
        <f>2.4*($C$94)</f>
        <v>2.9002577187037488</v>
      </c>
      <c r="AM94">
        <f>2.5*($C$94)</f>
        <v>3.021101790316405</v>
      </c>
      <c r="AN94">
        <f>2.57*($C$94)</f>
        <v>3.1056926404452643</v>
      </c>
      <c r="AO94">
        <f>2.64*($C$94)</f>
        <v>3.190283490574124</v>
      </c>
      <c r="AP94">
        <f>2.71*($C$94)</f>
        <v>3.2748743407029832</v>
      </c>
      <c r="AQ94">
        <f>2.78*($C$94)</f>
        <v>3.359465190831842</v>
      </c>
      <c r="AR94">
        <f>2.85*($C$94)</f>
        <v>3.4440560409607017</v>
      </c>
      <c r="AS94">
        <f>2.92*($C$94)</f>
        <v>3.528646891089561</v>
      </c>
      <c r="AT94">
        <f>2.99*($C$94)</f>
        <v>3.6132377412184207</v>
      </c>
      <c r="AU94">
        <f>3.07*($C$94)</f>
        <v>3.7099129985085453</v>
      </c>
      <c r="AV94">
        <f>3.14*($C$94)</f>
        <v>3.794503848637405</v>
      </c>
      <c r="AW94">
        <f>3.21*($C$94)</f>
        <v>3.8790946987662642</v>
      </c>
      <c r="AX94">
        <f>3.28*($C$94)</f>
        <v>3.963685548895123</v>
      </c>
      <c r="AY94">
        <f>3.35*($C$94)</f>
        <v>4.0482763990239832</v>
      </c>
      <c r="AZ94">
        <f>3.42*($C$94)</f>
        <v>4.1328672491528424</v>
      </c>
      <c r="BA94">
        <f>3.49*($C$94)</f>
        <v>4.2174580992817017</v>
      </c>
      <c r="BB94">
        <f>3.56*($C$94)</f>
        <v>4.3020489494105609</v>
      </c>
      <c r="BC94">
        <f>3.64*($C$94)</f>
        <v>4.3987242067006855</v>
      </c>
      <c r="BD94">
        <f>3.71*($C$94)</f>
        <v>4.4833150568295448</v>
      </c>
      <c r="BE94">
        <f>3.78*($C$94)</f>
        <v>4.567905906958404</v>
      </c>
      <c r="BF94">
        <f>3.85*($C$94)</f>
        <v>4.6524967570872642</v>
      </c>
      <c r="BG94">
        <f>3.92*($C$94)</f>
        <v>4.7370876072161234</v>
      </c>
      <c r="BH94">
        <f>3.99*($C$94)</f>
        <v>4.8216784573449827</v>
      </c>
      <c r="BI94">
        <f>4.06*($C$94)</f>
        <v>4.906269307473841</v>
      </c>
      <c r="BJ94">
        <f>4.14*($C$94)</f>
        <v>5.0029445647639665</v>
      </c>
      <c r="BK94">
        <f>4.21*($C$94)</f>
        <v>5.0875354148928258</v>
      </c>
      <c r="BL94">
        <f>4.28*($C$94)</f>
        <v>5.1721262650216859</v>
      </c>
      <c r="BM94">
        <f>4.35*($C$94)</f>
        <v>5.2567171151505443</v>
      </c>
      <c r="BN94">
        <f>4.42*($C$94)</f>
        <v>5.3413079652794044</v>
      </c>
      <c r="BO94">
        <f>4.49*($C$94)</f>
        <v>5.4258988154082637</v>
      </c>
      <c r="BP94">
        <f>4.56*($C$94)</f>
        <v>5.5104896655371221</v>
      </c>
      <c r="BQ94">
        <f>4.63*($C$94)</f>
        <v>5.5950805156659822</v>
      </c>
      <c r="BR94">
        <f>4.71*($C$94)</f>
        <v>5.6917557729561068</v>
      </c>
      <c r="BS94">
        <f>4.78*($C$94)</f>
        <v>5.7763466230849669</v>
      </c>
      <c r="BT94">
        <f>4.85*($C$94)</f>
        <v>5.8609374732138253</v>
      </c>
      <c r="BU94">
        <f>4.92*($C$94)</f>
        <v>5.9455283233426854</v>
      </c>
      <c r="BV94" s="609">
        <f>4.99*($C$94)</f>
        <v>6.0301191734715447</v>
      </c>
      <c r="BW94" s="1148">
        <f>+BV94*BW$137/BV$137</f>
        <v>6.0446132076616896</v>
      </c>
      <c r="BX94" s="1148">
        <f t="shared" ref="BX94:CZ94" si="123">+BW94*BX$137/BW$137</f>
        <v>6.0591420798079438</v>
      </c>
      <c r="BY94" s="1148">
        <f t="shared" si="123"/>
        <v>6.0737058736470511</v>
      </c>
      <c r="BZ94" s="1148">
        <f t="shared" si="123"/>
        <v>6.0883046731170198</v>
      </c>
      <c r="CA94" s="1148">
        <f t="shared" si="123"/>
        <v>6.1029385623576156</v>
      </c>
      <c r="CB94" s="1148">
        <f t="shared" si="123"/>
        <v>6.1157485681116217</v>
      </c>
      <c r="CC94" s="1148">
        <f t="shared" si="123"/>
        <v>6.1285854619369617</v>
      </c>
      <c r="CD94" s="1148">
        <f t="shared" si="123"/>
        <v>6.1414493002714252</v>
      </c>
      <c r="CE94" s="1148">
        <f t="shared" si="123"/>
        <v>6.1543401396712598</v>
      </c>
      <c r="CF94" s="1148">
        <f t="shared" si="123"/>
        <v>6.167258036811428</v>
      </c>
      <c r="CG94" s="1148">
        <f t="shared" si="123"/>
        <v>6.183149548139812</v>
      </c>
      <c r="CH94" s="1148">
        <f t="shared" si="123"/>
        <v>6.1990820079952069</v>
      </c>
      <c r="CI94" s="1148">
        <f t="shared" si="123"/>
        <v>6.215055521891923</v>
      </c>
      <c r="CJ94" s="1148">
        <f t="shared" si="123"/>
        <v>6.2310701956161552</v>
      </c>
      <c r="CK94" s="1148">
        <f t="shared" si="123"/>
        <v>6.2471261352266838</v>
      </c>
      <c r="CL94" s="1148">
        <f t="shared" si="123"/>
        <v>6.2604975997429575</v>
      </c>
      <c r="CM94" s="1148">
        <f t="shared" si="123"/>
        <v>6.2738976847896071</v>
      </c>
      <c r="CN94" s="1148">
        <f t="shared" si="123"/>
        <v>6.2873264516265444</v>
      </c>
      <c r="CO94" s="1148">
        <f t="shared" si="123"/>
        <v>6.3007839616448056</v>
      </c>
      <c r="CP94" s="1148">
        <f t="shared" si="123"/>
        <v>6.3142702763668277</v>
      </c>
      <c r="CQ94" s="1148">
        <f t="shared" si="123"/>
        <v>6.326614172551615</v>
      </c>
      <c r="CR94" s="1148">
        <f t="shared" si="123"/>
        <v>6.3389822000716718</v>
      </c>
      <c r="CS94" s="1148">
        <f t="shared" si="123"/>
        <v>6.3513744061018391</v>
      </c>
      <c r="CT94" s="1148">
        <f t="shared" si="123"/>
        <v>6.3637908379091801</v>
      </c>
      <c r="CU94" s="1148">
        <f t="shared" si="123"/>
        <v>6.376231542853164</v>
      </c>
      <c r="CV94" s="1148">
        <f t="shared" si="123"/>
        <v>6.3909193633613004</v>
      </c>
      <c r="CW94" s="1148">
        <f t="shared" si="123"/>
        <v>6.4056410176582252</v>
      </c>
      <c r="CX94" s="1148">
        <f t="shared" si="123"/>
        <v>6.4203965836809767</v>
      </c>
      <c r="CY94" s="1148">
        <f t="shared" si="123"/>
        <v>6.4351861395461265</v>
      </c>
      <c r="CZ94" s="1148">
        <f t="shared" si="123"/>
        <v>6.450009763550189</v>
      </c>
    </row>
    <row r="95" spans="1:104">
      <c r="A95" s="763" t="str">
        <f>'HyARC Physical Property Data'!A80</f>
        <v>Metallurgical Coal</v>
      </c>
      <c r="B95">
        <v>2012</v>
      </c>
      <c r="C95" s="738">
        <f t="shared" si="105"/>
        <v>1.0573833607504113</v>
      </c>
      <c r="D95" s="1027" t="str">
        <f>+'HyARC Physical Property Data'!H80</f>
        <v>kg</v>
      </c>
      <c r="E95" s="756" t="s">
        <v>1049</v>
      </c>
      <c r="F95">
        <f>'HyARC Physical Property Data'!$E$44</f>
        <v>28.610197070281195</v>
      </c>
      <c r="G95">
        <f>'HyARC Physical Property Data'!$I$44</f>
        <v>29.865267156269461</v>
      </c>
      <c r="H95" s="853">
        <v>3.3844321322674711</v>
      </c>
      <c r="I95" s="853">
        <v>3.3844321322674711</v>
      </c>
      <c r="J95" s="853">
        <v>3.3844321322674711</v>
      </c>
      <c r="K95" s="853">
        <v>3.3844321322674711</v>
      </c>
      <c r="L95" s="853">
        <v>4.1181843560652975</v>
      </c>
      <c r="M95" s="853">
        <v>4.3291381204071717</v>
      </c>
      <c r="N95" s="853">
        <v>4.4025133427869543</v>
      </c>
      <c r="O95" s="813">
        <f t="shared" ref="O95:AR95" si="124">O111*($C95/mmBTU_to_GJ*$G95/$F95)</f>
        <v>7.4646268248681658</v>
      </c>
      <c r="P95" s="813">
        <f t="shared" si="124"/>
        <v>7.5851395215871422</v>
      </c>
      <c r="Q95" s="813">
        <f t="shared" si="124"/>
        <v>7.7775593409707655</v>
      </c>
      <c r="R95" s="813">
        <f t="shared" si="124"/>
        <v>7.8596002100362519</v>
      </c>
      <c r="S95" s="813">
        <f t="shared" si="124"/>
        <v>8.1180797941829823</v>
      </c>
      <c r="T95" s="813">
        <f t="shared" si="124"/>
        <v>8.3154796499973287</v>
      </c>
      <c r="U95" s="813">
        <f t="shared" si="124"/>
        <v>8.4204203168350222</v>
      </c>
      <c r="V95" s="813">
        <f t="shared" si="124"/>
        <v>8.5695650843522451</v>
      </c>
      <c r="W95" s="813">
        <f t="shared" si="124"/>
        <v>8.6847148258729252</v>
      </c>
      <c r="X95" s="813">
        <f t="shared" si="124"/>
        <v>8.8178648881479358</v>
      </c>
      <c r="Y95" s="813">
        <f t="shared" si="124"/>
        <v>8.9203207679009697</v>
      </c>
      <c r="Z95" s="813">
        <f t="shared" si="124"/>
        <v>9.032455285683552</v>
      </c>
      <c r="AA95" s="813">
        <f t="shared" si="124"/>
        <v>9.1423770351781108</v>
      </c>
      <c r="AB95" s="813">
        <f t="shared" si="124"/>
        <v>9.254374497336233</v>
      </c>
      <c r="AC95" s="813">
        <f t="shared" si="124"/>
        <v>9.3655611342351488</v>
      </c>
      <c r="AD95" s="813">
        <f t="shared" si="124"/>
        <v>9.4622292909766781</v>
      </c>
      <c r="AE95" s="813">
        <f t="shared" si="124"/>
        <v>9.5719166858156743</v>
      </c>
      <c r="AF95" s="813">
        <f t="shared" si="124"/>
        <v>9.6949560186649464</v>
      </c>
      <c r="AG95" s="813">
        <f t="shared" si="124"/>
        <v>9.8138135856290027</v>
      </c>
      <c r="AH95" s="813">
        <f t="shared" si="124"/>
        <v>9.952872733147867</v>
      </c>
      <c r="AI95" s="813">
        <f t="shared" si="124"/>
        <v>10.036208830175799</v>
      </c>
      <c r="AJ95" s="813">
        <f t="shared" si="124"/>
        <v>10.120782612728425</v>
      </c>
      <c r="AK95" s="813">
        <f t="shared" si="124"/>
        <v>10.210359448686875</v>
      </c>
      <c r="AL95" s="813">
        <f t="shared" si="124"/>
        <v>10.292143992347839</v>
      </c>
      <c r="AM95" s="813">
        <f t="shared" si="124"/>
        <v>10.394155225990989</v>
      </c>
      <c r="AN95">
        <f t="shared" si="124"/>
        <v>10.475670889533738</v>
      </c>
      <c r="AO95">
        <f t="shared" si="124"/>
        <v>10.567574532429569</v>
      </c>
      <c r="AP95">
        <f t="shared" si="124"/>
        <v>10.574325829716853</v>
      </c>
      <c r="AQ95">
        <f t="shared" si="124"/>
        <v>10.604382860519015</v>
      </c>
      <c r="AR95">
        <f t="shared" si="124"/>
        <v>10.668415039021042</v>
      </c>
      <c r="AS95">
        <f>($BB95-$AR95)/10+AR95</f>
        <v>10.691118846164347</v>
      </c>
      <c r="AT95">
        <f t="shared" ref="AT95:BA95" si="125">($BB95-$AR95)/10+AS95</f>
        <v>10.713822653307652</v>
      </c>
      <c r="AU95">
        <f t="shared" si="125"/>
        <v>10.736526460450957</v>
      </c>
      <c r="AV95">
        <f t="shared" si="125"/>
        <v>10.759230267594262</v>
      </c>
      <c r="AW95">
        <f t="shared" si="125"/>
        <v>10.781934074737567</v>
      </c>
      <c r="AX95">
        <f t="shared" si="125"/>
        <v>10.804637881880872</v>
      </c>
      <c r="AY95">
        <f t="shared" si="125"/>
        <v>10.827341689024177</v>
      </c>
      <c r="AZ95">
        <f t="shared" si="125"/>
        <v>10.850045496167482</v>
      </c>
      <c r="BA95">
        <f t="shared" si="125"/>
        <v>10.872749303310787</v>
      </c>
      <c r="BB95" s="790">
        <f>('AEO Data'!$B$28*AM95)</f>
        <v>10.895453110454083</v>
      </c>
      <c r="BC95">
        <f t="shared" ref="BC95:BP95" si="126">($BQ95-$BB95)/15+BB95</f>
        <v>10.933690011458628</v>
      </c>
      <c r="BD95">
        <f t="shared" si="126"/>
        <v>10.971926912463173</v>
      </c>
      <c r="BE95">
        <f t="shared" si="126"/>
        <v>11.010163813467718</v>
      </c>
      <c r="BF95">
        <f t="shared" si="126"/>
        <v>11.048400714472264</v>
      </c>
      <c r="BG95">
        <f t="shared" si="126"/>
        <v>11.086637615476809</v>
      </c>
      <c r="BH95">
        <f t="shared" si="126"/>
        <v>11.124874516481354</v>
      </c>
      <c r="BI95">
        <f t="shared" si="126"/>
        <v>11.163111417485899</v>
      </c>
      <c r="BJ95">
        <f t="shared" si="126"/>
        <v>11.201348318490444</v>
      </c>
      <c r="BK95">
        <f t="shared" si="126"/>
        <v>11.239585219494989</v>
      </c>
      <c r="BL95">
        <f t="shared" si="126"/>
        <v>11.277822120499534</v>
      </c>
      <c r="BM95">
        <f t="shared" si="126"/>
        <v>11.316059021504079</v>
      </c>
      <c r="BN95">
        <f t="shared" si="126"/>
        <v>11.354295922508625</v>
      </c>
      <c r="BO95">
        <f t="shared" si="126"/>
        <v>11.39253282351317</v>
      </c>
      <c r="BP95">
        <f t="shared" si="126"/>
        <v>11.430769724517715</v>
      </c>
      <c r="BQ95" s="790">
        <f>('AEO Data'!$C$28*BB95)</f>
        <v>11.469006625522269</v>
      </c>
      <c r="BR95">
        <f t="shared" ref="BR95:BU100" si="127">($BV95-$BQ95)/5+BQ95</f>
        <v>11.505775124501078</v>
      </c>
      <c r="BS95">
        <f t="shared" si="127"/>
        <v>11.542543623479887</v>
      </c>
      <c r="BT95">
        <f t="shared" si="127"/>
        <v>11.579312122458695</v>
      </c>
      <c r="BU95">
        <f t="shared" si="127"/>
        <v>11.616080621437504</v>
      </c>
      <c r="BV95" s="811">
        <f>('AEO Data'!$D$28*BQ95)</f>
        <v>11.65284912041631</v>
      </c>
      <c r="BW95" s="1148">
        <f t="shared" ref="BW95:CZ95" si="128">+BV95*BW$138/BV$138</f>
        <v>11.692246881776873</v>
      </c>
      <c r="BX95" s="1148">
        <f t="shared" si="128"/>
        <v>11.731777845205377</v>
      </c>
      <c r="BY95" s="1148">
        <f t="shared" si="128"/>
        <v>11.771442461052049</v>
      </c>
      <c r="BZ95" s="1148">
        <f t="shared" si="128"/>
        <v>11.811241181189736</v>
      </c>
      <c r="CA95" s="1148">
        <f t="shared" si="128"/>
        <v>11.851174459019044</v>
      </c>
      <c r="CB95" s="1148">
        <f t="shared" si="128"/>
        <v>11.88510623212686</v>
      </c>
      <c r="CC95" s="1148">
        <f t="shared" si="128"/>
        <v>11.919135157228366</v>
      </c>
      <c r="CD95" s="1148">
        <f t="shared" si="128"/>
        <v>11.953261512484969</v>
      </c>
      <c r="CE95" s="1148">
        <f t="shared" si="128"/>
        <v>11.987485576854503</v>
      </c>
      <c r="CF95" s="1148">
        <f t="shared" si="128"/>
        <v>12.021807630093496</v>
      </c>
      <c r="CG95" s="1148">
        <f t="shared" si="128"/>
        <v>12.048012553487283</v>
      </c>
      <c r="CH95" s="1148">
        <f t="shared" si="128"/>
        <v>12.074274597909055</v>
      </c>
      <c r="CI95" s="1148">
        <f t="shared" si="128"/>
        <v>12.100593887870218</v>
      </c>
      <c r="CJ95" s="1148">
        <f t="shared" si="128"/>
        <v>12.126970548153587</v>
      </c>
      <c r="CK95" s="1148">
        <f t="shared" si="128"/>
        <v>12.153404703813971</v>
      </c>
      <c r="CL95" s="1148">
        <f t="shared" si="128"/>
        <v>12.171324857241729</v>
      </c>
      <c r="CM95" s="1148">
        <f t="shared" si="128"/>
        <v>12.189271433874072</v>
      </c>
      <c r="CN95" s="1148">
        <f t="shared" si="128"/>
        <v>12.207244472671922</v>
      </c>
      <c r="CO95" s="1148">
        <f t="shared" si="128"/>
        <v>12.225244012653652</v>
      </c>
      <c r="CP95" s="1148">
        <f t="shared" si="128"/>
        <v>12.243270092895166</v>
      </c>
      <c r="CQ95" s="1148">
        <f t="shared" si="128"/>
        <v>12.249306745274442</v>
      </c>
      <c r="CR95" s="1148">
        <f t="shared" si="128"/>
        <v>12.255346374078453</v>
      </c>
      <c r="CS95" s="1148">
        <f t="shared" si="128"/>
        <v>12.261388980774752</v>
      </c>
      <c r="CT95" s="1148">
        <f t="shared" si="128"/>
        <v>12.267434566831614</v>
      </c>
      <c r="CU95" s="1148">
        <f t="shared" si="128"/>
        <v>12.273483133718042</v>
      </c>
      <c r="CV95" s="1148">
        <f t="shared" si="128"/>
        <v>12.264790038675994</v>
      </c>
      <c r="CW95" s="1148">
        <f t="shared" si="128"/>
        <v>12.256103100802259</v>
      </c>
      <c r="CX95" s="1148">
        <f t="shared" si="128"/>
        <v>12.247422315735818</v>
      </c>
      <c r="CY95" s="1148">
        <f t="shared" si="128"/>
        <v>12.238747679118744</v>
      </c>
      <c r="CZ95" s="1148">
        <f t="shared" si="128"/>
        <v>12.2300791865962</v>
      </c>
    </row>
    <row r="96" spans="1:104">
      <c r="A96" s="763" t="str">
        <f>'HyARC Physical Property Data'!A81</f>
        <v>Other Industrial Coal</v>
      </c>
      <c r="B96">
        <v>2012</v>
      </c>
      <c r="C96" s="738">
        <f t="shared" si="105"/>
        <v>1.0573833607504113</v>
      </c>
      <c r="D96" s="1027" t="str">
        <f>+'HyARC Physical Property Data'!H81</f>
        <v>kg</v>
      </c>
      <c r="E96" s="756" t="s">
        <v>1049</v>
      </c>
      <c r="F96">
        <f>'HyARC Physical Property Data'!$E$42</f>
        <v>22.7322030001394</v>
      </c>
      <c r="G96">
        <f>'HyARC Physical Property Data'!$I$42</f>
        <v>23.967615189707661</v>
      </c>
      <c r="H96" s="853">
        <v>1.7045706620386931</v>
      </c>
      <c r="I96" s="853">
        <v>1.7045706620386931</v>
      </c>
      <c r="J96" s="853">
        <v>1.7045706620386931</v>
      </c>
      <c r="K96" s="853">
        <v>1.7045706620386931</v>
      </c>
      <c r="L96" s="853">
        <v>1.9454339077615519</v>
      </c>
      <c r="M96" s="853">
        <v>2.0288096466656182</v>
      </c>
      <c r="N96" s="853">
        <v>1.8805861108361666</v>
      </c>
      <c r="O96" s="813">
        <f t="shared" ref="O96:AR96" si="129">O112*($C96/mmBTU_to_GJ*$G96/$F96)</f>
        <v>3.4949975895838294</v>
      </c>
      <c r="P96" s="813">
        <f t="shared" si="129"/>
        <v>3.4233926279260714</v>
      </c>
      <c r="Q96" s="813">
        <f t="shared" si="129"/>
        <v>3.5031491911574184</v>
      </c>
      <c r="R96" s="813">
        <f t="shared" si="129"/>
        <v>3.4679009642856751</v>
      </c>
      <c r="S96" s="813">
        <f t="shared" si="129"/>
        <v>3.5676645631136981</v>
      </c>
      <c r="T96" s="813">
        <f t="shared" si="129"/>
        <v>3.6321947292652106</v>
      </c>
      <c r="U96" s="813">
        <f t="shared" si="129"/>
        <v>3.657322669869095</v>
      </c>
      <c r="V96" s="813">
        <f t="shared" si="129"/>
        <v>3.7204040616159686</v>
      </c>
      <c r="W96" s="813">
        <f t="shared" si="129"/>
        <v>3.7630990523312531</v>
      </c>
      <c r="X96" s="813">
        <f t="shared" si="129"/>
        <v>3.7970908293363905</v>
      </c>
      <c r="Y96" s="813">
        <f t="shared" si="129"/>
        <v>3.8194247804976293</v>
      </c>
      <c r="Z96" s="813">
        <f t="shared" si="129"/>
        <v>3.8460511617330089</v>
      </c>
      <c r="AA96" s="813">
        <f t="shared" si="129"/>
        <v>3.8731023477172322</v>
      </c>
      <c r="AB96" s="813">
        <f t="shared" si="129"/>
        <v>3.9067337803956139</v>
      </c>
      <c r="AC96" s="813">
        <f t="shared" si="129"/>
        <v>3.938949197244515</v>
      </c>
      <c r="AD96" s="813">
        <f t="shared" si="129"/>
        <v>3.9691747948345282</v>
      </c>
      <c r="AE96" s="813">
        <f t="shared" si="129"/>
        <v>3.9994574557490128</v>
      </c>
      <c r="AF96" s="813">
        <f t="shared" si="129"/>
        <v>4.0328902235199751</v>
      </c>
      <c r="AG96" s="813">
        <f t="shared" si="129"/>
        <v>4.0631242749358352</v>
      </c>
      <c r="AH96" s="813">
        <f t="shared" si="129"/>
        <v>4.1048449622221792</v>
      </c>
      <c r="AI96" s="813">
        <f t="shared" si="129"/>
        <v>4.1376658843474177</v>
      </c>
      <c r="AJ96" s="813">
        <f t="shared" si="129"/>
        <v>4.1685794120157826</v>
      </c>
      <c r="AK96" s="813">
        <f t="shared" si="129"/>
        <v>4.201707842056229</v>
      </c>
      <c r="AL96" s="813">
        <f t="shared" si="129"/>
        <v>4.2273873947966729</v>
      </c>
      <c r="AM96" s="813">
        <f t="shared" si="129"/>
        <v>4.2580071520168321</v>
      </c>
      <c r="AN96">
        <f t="shared" si="129"/>
        <v>4.2903546598946027</v>
      </c>
      <c r="AO96">
        <f t="shared" si="129"/>
        <v>4.3224348155299417</v>
      </c>
      <c r="AP96">
        <f t="shared" si="129"/>
        <v>4.3507255437290757</v>
      </c>
      <c r="AQ96">
        <f t="shared" si="129"/>
        <v>4.3846898458002084</v>
      </c>
      <c r="AR96">
        <f t="shared" si="129"/>
        <v>4.4275856148793746</v>
      </c>
      <c r="AS96">
        <f t="shared" ref="AS96:BA96" si="130">($BB96-$AR96)/10+AR96</f>
        <v>4.4311636364046505</v>
      </c>
      <c r="AT96">
        <f t="shared" si="130"/>
        <v>4.4347416579299264</v>
      </c>
      <c r="AU96">
        <f t="shared" si="130"/>
        <v>4.4383196794552022</v>
      </c>
      <c r="AV96">
        <f t="shared" si="130"/>
        <v>4.4418977009804781</v>
      </c>
      <c r="AW96">
        <f t="shared" si="130"/>
        <v>4.445475722505754</v>
      </c>
      <c r="AX96">
        <f t="shared" si="130"/>
        <v>4.4490537440310298</v>
      </c>
      <c r="AY96">
        <f t="shared" si="130"/>
        <v>4.4526317655563057</v>
      </c>
      <c r="AZ96">
        <f t="shared" si="130"/>
        <v>4.4562097870815816</v>
      </c>
      <c r="BA96">
        <f t="shared" si="130"/>
        <v>4.4597878086068574</v>
      </c>
      <c r="BB96" s="790">
        <f>('AEO Data'!$B$28*AM96)</f>
        <v>4.4633658301321333</v>
      </c>
      <c r="BC96">
        <f t="shared" ref="BC96:BP96" si="131">($BQ96-$BB96)/15+BB96</f>
        <v>4.4790297291608097</v>
      </c>
      <c r="BD96">
        <f t="shared" si="131"/>
        <v>4.494693628189486</v>
      </c>
      <c r="BE96">
        <f t="shared" si="131"/>
        <v>4.5103575272181624</v>
      </c>
      <c r="BF96">
        <f t="shared" si="131"/>
        <v>4.5260214262468388</v>
      </c>
      <c r="BG96">
        <f t="shared" si="131"/>
        <v>4.5416853252755152</v>
      </c>
      <c r="BH96">
        <f t="shared" si="131"/>
        <v>4.5573492243041915</v>
      </c>
      <c r="BI96">
        <f t="shared" si="131"/>
        <v>4.5730131233328679</v>
      </c>
      <c r="BJ96">
        <f t="shared" si="131"/>
        <v>4.5886770223615443</v>
      </c>
      <c r="BK96">
        <f t="shared" si="131"/>
        <v>4.6043409213902207</v>
      </c>
      <c r="BL96">
        <f t="shared" si="131"/>
        <v>4.620004820418897</v>
      </c>
      <c r="BM96">
        <f t="shared" si="131"/>
        <v>4.6356687194475734</v>
      </c>
      <c r="BN96">
        <f t="shared" si="131"/>
        <v>4.6513326184762498</v>
      </c>
      <c r="BO96">
        <f t="shared" si="131"/>
        <v>4.6669965175049262</v>
      </c>
      <c r="BP96">
        <f t="shared" si="131"/>
        <v>4.6826604165336025</v>
      </c>
      <c r="BQ96" s="790">
        <f>('AEO Data'!$C$28*BB96)</f>
        <v>4.6983243155622842</v>
      </c>
      <c r="BR96">
        <f t="shared" si="127"/>
        <v>4.7133866778434639</v>
      </c>
      <c r="BS96">
        <f t="shared" si="127"/>
        <v>4.7284490401246435</v>
      </c>
      <c r="BT96">
        <f t="shared" si="127"/>
        <v>4.7435114024058231</v>
      </c>
      <c r="BU96">
        <f t="shared" si="127"/>
        <v>4.7585737646870028</v>
      </c>
      <c r="BV96" s="811">
        <f>('AEO Data'!$D$28*BQ96)</f>
        <v>4.7736361269681806</v>
      </c>
      <c r="BW96" s="1148">
        <f t="shared" ref="BW96:CZ96" si="132">+BV96*BW$138/BV$138</f>
        <v>4.789775577072529</v>
      </c>
      <c r="BX96" s="1148">
        <f t="shared" si="132"/>
        <v>4.8059695939353695</v>
      </c>
      <c r="BY96" s="1148">
        <f t="shared" si="132"/>
        <v>4.8222183620444703</v>
      </c>
      <c r="BZ96" s="1148">
        <f t="shared" si="132"/>
        <v>4.838522066511346</v>
      </c>
      <c r="CA96" s="1148">
        <f t="shared" si="132"/>
        <v>4.8548808930733625</v>
      </c>
      <c r="CB96" s="1148">
        <f t="shared" si="132"/>
        <v>4.8687811792854072</v>
      </c>
      <c r="CC96" s="1148">
        <f t="shared" si="132"/>
        <v>4.882721264199219</v>
      </c>
      <c r="CD96" s="1148">
        <f t="shared" si="132"/>
        <v>4.8967012617647283</v>
      </c>
      <c r="CE96" s="1148">
        <f t="shared" si="132"/>
        <v>4.9107212862581244</v>
      </c>
      <c r="CF96" s="1148">
        <f t="shared" si="132"/>
        <v>4.9247814522827849</v>
      </c>
      <c r="CG96" s="1148">
        <f t="shared" si="132"/>
        <v>4.9355164036860302</v>
      </c>
      <c r="CH96" s="1148">
        <f t="shared" si="132"/>
        <v>4.9462747549462529</v>
      </c>
      <c r="CI96" s="1148">
        <f t="shared" si="132"/>
        <v>4.9570565570700476</v>
      </c>
      <c r="CJ96" s="1148">
        <f t="shared" si="132"/>
        <v>4.9678618611751908</v>
      </c>
      <c r="CK96" s="1148">
        <f t="shared" si="132"/>
        <v>4.9786907184908857</v>
      </c>
      <c r="CL96" s="1148">
        <f t="shared" si="132"/>
        <v>4.9860317808284806</v>
      </c>
      <c r="CM96" s="1148">
        <f t="shared" si="132"/>
        <v>4.9933836675372394</v>
      </c>
      <c r="CN96" s="1148">
        <f t="shared" si="132"/>
        <v>5.0007463945776598</v>
      </c>
      <c r="CO96" s="1148">
        <f t="shared" si="132"/>
        <v>5.0081199779337728</v>
      </c>
      <c r="CP96" s="1148">
        <f t="shared" si="132"/>
        <v>5.0155044336131782</v>
      </c>
      <c r="CQ96" s="1148">
        <f t="shared" si="132"/>
        <v>5.0179773723413712</v>
      </c>
      <c r="CR96" s="1148">
        <f t="shared" si="132"/>
        <v>5.0204515303738297</v>
      </c>
      <c r="CS96" s="1148">
        <f t="shared" si="132"/>
        <v>5.0229269083117432</v>
      </c>
      <c r="CT96" s="1148">
        <f t="shared" si="132"/>
        <v>5.0254035067565965</v>
      </c>
      <c r="CU96" s="1148">
        <f t="shared" si="132"/>
        <v>5.0278813263101725</v>
      </c>
      <c r="CV96" s="1148">
        <f t="shared" si="132"/>
        <v>5.024320165248267</v>
      </c>
      <c r="CW96" s="1148">
        <f t="shared" si="132"/>
        <v>5.0207615264949217</v>
      </c>
      <c r="CX96" s="1148">
        <f t="shared" si="132"/>
        <v>5.0172054082636297</v>
      </c>
      <c r="CY96" s="1148">
        <f t="shared" si="132"/>
        <v>5.013651808769148</v>
      </c>
      <c r="CZ96" s="1148">
        <f t="shared" si="132"/>
        <v>5.010100726227499</v>
      </c>
    </row>
    <row r="97" spans="1:104">
      <c r="A97" s="763" t="str">
        <f>'HyARC Physical Property Data'!A79</f>
        <v>Electric Utility Steam Coal</v>
      </c>
      <c r="B97">
        <v>2012</v>
      </c>
      <c r="C97" s="738">
        <f t="shared" si="105"/>
        <v>1.0573833607504113</v>
      </c>
      <c r="D97" s="1028" t="str">
        <f>+'HyARC Physical Property Data'!$H$79</f>
        <v>kg</v>
      </c>
      <c r="E97" s="756" t="s">
        <v>1049</v>
      </c>
      <c r="F97">
        <f>'HyARC Physical Property Data'!$E$42</f>
        <v>22.7322030001394</v>
      </c>
      <c r="G97">
        <f>'HyARC Physical Property Data'!$I$42</f>
        <v>23.967615189707661</v>
      </c>
      <c r="H97" s="852">
        <v>1.6675147780813302</v>
      </c>
      <c r="I97" s="852">
        <v>1.6675147780813302</v>
      </c>
      <c r="J97" s="852">
        <v>1.6675147780813302</v>
      </c>
      <c r="K97" s="852">
        <v>1.6675147780813302</v>
      </c>
      <c r="L97" s="852">
        <v>1.899114052814848</v>
      </c>
      <c r="M97" s="852">
        <v>1.9917537627082553</v>
      </c>
      <c r="N97" s="852">
        <v>1.8435302268788039</v>
      </c>
      <c r="O97">
        <f t="shared" ref="O97:AR97" si="133">O113*($C97/mmBTU_to_GJ*$G97/$F97)</f>
        <v>2.5597920484602081</v>
      </c>
      <c r="P97">
        <f t="shared" si="133"/>
        <v>2.5255804719830319</v>
      </c>
      <c r="Q97">
        <f t="shared" si="133"/>
        <v>2.508514311053105</v>
      </c>
      <c r="R97">
        <f t="shared" si="133"/>
        <v>2.4620013612393787</v>
      </c>
      <c r="S97">
        <f t="shared" si="133"/>
        <v>2.5403070366096241</v>
      </c>
      <c r="T97">
        <f t="shared" si="133"/>
        <v>2.5596198017585623</v>
      </c>
      <c r="U97">
        <f t="shared" si="133"/>
        <v>2.6274226552413431</v>
      </c>
      <c r="V97">
        <f t="shared" si="133"/>
        <v>2.6949877448721598</v>
      </c>
      <c r="W97">
        <f t="shared" si="133"/>
        <v>2.7359771762226828</v>
      </c>
      <c r="X97">
        <f t="shared" si="133"/>
        <v>2.7594809255355894</v>
      </c>
      <c r="Y97">
        <f t="shared" si="133"/>
        <v>2.7929327144147083</v>
      </c>
      <c r="Z97">
        <f t="shared" si="133"/>
        <v>2.8274782170128665</v>
      </c>
      <c r="AA97">
        <f t="shared" si="133"/>
        <v>2.8557773990378479</v>
      </c>
      <c r="AB97">
        <f t="shared" si="133"/>
        <v>2.8944082129768782</v>
      </c>
      <c r="AC97">
        <f t="shared" si="133"/>
        <v>2.9312151139892806</v>
      </c>
      <c r="AD97">
        <f t="shared" si="133"/>
        <v>2.966511950359648</v>
      </c>
      <c r="AE97">
        <f t="shared" si="133"/>
        <v>2.9977467234102231</v>
      </c>
      <c r="AF97">
        <f t="shared" si="133"/>
        <v>3.0275126442197702</v>
      </c>
      <c r="AG97">
        <f t="shared" si="133"/>
        <v>3.0554092127887573</v>
      </c>
      <c r="AH97">
        <f t="shared" si="133"/>
        <v>3.0915672826673535</v>
      </c>
      <c r="AI97">
        <f t="shared" si="133"/>
        <v>3.1167332654875524</v>
      </c>
      <c r="AJ97">
        <f t="shared" si="133"/>
        <v>3.1431165992298116</v>
      </c>
      <c r="AK97">
        <f t="shared" si="133"/>
        <v>3.1708409210971538</v>
      </c>
      <c r="AL97">
        <f t="shared" si="133"/>
        <v>3.1960671374265175</v>
      </c>
      <c r="AM97">
        <f t="shared" si="133"/>
        <v>3.2230993023025833</v>
      </c>
      <c r="AN97">
        <f t="shared" si="133"/>
        <v>3.2506534909247415</v>
      </c>
      <c r="AO97">
        <f t="shared" si="133"/>
        <v>3.2748293193925355</v>
      </c>
      <c r="AP97">
        <f t="shared" si="133"/>
        <v>3.2978596544579739</v>
      </c>
      <c r="AQ97">
        <f t="shared" si="133"/>
        <v>3.3327063246019542</v>
      </c>
      <c r="AR97">
        <f t="shared" si="133"/>
        <v>3.3706196200721661</v>
      </c>
      <c r="AS97">
        <f t="shared" ref="AS97:BA97" si="134">($BB97-$AR97)/10+AR97</f>
        <v>3.3714122172383907</v>
      </c>
      <c r="AT97">
        <f t="shared" si="134"/>
        <v>3.3722048144046153</v>
      </c>
      <c r="AU97">
        <f t="shared" si="134"/>
        <v>3.3729974115708399</v>
      </c>
      <c r="AV97">
        <f t="shared" si="134"/>
        <v>3.3737900087370645</v>
      </c>
      <c r="AW97">
        <f t="shared" si="134"/>
        <v>3.3745826059032891</v>
      </c>
      <c r="AX97">
        <f t="shared" si="134"/>
        <v>3.3753752030695137</v>
      </c>
      <c r="AY97">
        <f t="shared" si="134"/>
        <v>3.3761678002357383</v>
      </c>
      <c r="AZ97">
        <f t="shared" si="134"/>
        <v>3.3769603974019629</v>
      </c>
      <c r="BA97">
        <f t="shared" si="134"/>
        <v>3.3777529945681875</v>
      </c>
      <c r="BB97" s="790">
        <f>('AEO Data'!$B$28*AM97)</f>
        <v>3.3785455917344129</v>
      </c>
      <c r="BC97">
        <f t="shared" ref="BC97:BP97" si="135">($BQ97-$BB97)/15+BB97</f>
        <v>3.3904023830051258</v>
      </c>
      <c r="BD97">
        <f t="shared" si="135"/>
        <v>3.4022591742758386</v>
      </c>
      <c r="BE97">
        <f t="shared" si="135"/>
        <v>3.4141159655465514</v>
      </c>
      <c r="BF97">
        <f t="shared" si="135"/>
        <v>3.4259727568172642</v>
      </c>
      <c r="BG97">
        <f t="shared" si="135"/>
        <v>3.437829548087977</v>
      </c>
      <c r="BH97">
        <f t="shared" si="135"/>
        <v>3.4496863393586898</v>
      </c>
      <c r="BI97">
        <f t="shared" si="135"/>
        <v>3.4615431306294027</v>
      </c>
      <c r="BJ97">
        <f t="shared" si="135"/>
        <v>3.4733999219001155</v>
      </c>
      <c r="BK97">
        <f t="shared" si="135"/>
        <v>3.4852567131708283</v>
      </c>
      <c r="BL97">
        <f t="shared" si="135"/>
        <v>3.4971135044415411</v>
      </c>
      <c r="BM97">
        <f t="shared" si="135"/>
        <v>3.5089702957122539</v>
      </c>
      <c r="BN97">
        <f t="shared" si="135"/>
        <v>3.5208270869829668</v>
      </c>
      <c r="BO97">
        <f t="shared" si="135"/>
        <v>3.5326838782536796</v>
      </c>
      <c r="BP97">
        <f t="shared" si="135"/>
        <v>3.5445406695243924</v>
      </c>
      <c r="BQ97" s="790">
        <f>('AEO Data'!$C$28*BB97)</f>
        <v>3.5563974607951057</v>
      </c>
      <c r="BR97">
        <f t="shared" si="127"/>
        <v>3.5677989187133954</v>
      </c>
      <c r="BS97">
        <f t="shared" si="127"/>
        <v>3.5792003766316851</v>
      </c>
      <c r="BT97">
        <f t="shared" si="127"/>
        <v>3.5906018345499748</v>
      </c>
      <c r="BU97">
        <f t="shared" si="127"/>
        <v>3.6020032924682646</v>
      </c>
      <c r="BV97" s="811">
        <f>('AEO Data'!$D$28*BQ97)</f>
        <v>3.6134047503865552</v>
      </c>
      <c r="BW97" s="1148">
        <f t="shared" ref="BW97:CZ97" si="136">+BV97*BW$138/BV$138</f>
        <v>3.6256215101320701</v>
      </c>
      <c r="BX97" s="1148">
        <f t="shared" si="136"/>
        <v>3.6378795741955314</v>
      </c>
      <c r="BY97" s="1148">
        <f t="shared" si="136"/>
        <v>3.6501790822249895</v>
      </c>
      <c r="BZ97" s="1148">
        <f t="shared" si="136"/>
        <v>3.6625201743406386</v>
      </c>
      <c r="CA97" s="1148">
        <f t="shared" si="136"/>
        <v>3.6749029911364137</v>
      </c>
      <c r="CB97" s="1148">
        <f t="shared" si="136"/>
        <v>3.6854248153589553</v>
      </c>
      <c r="CC97" s="1148">
        <f t="shared" si="136"/>
        <v>3.6959767652161704</v>
      </c>
      <c r="CD97" s="1148">
        <f t="shared" si="136"/>
        <v>3.7065589269624799</v>
      </c>
      <c r="CE97" s="1148">
        <f t="shared" si="136"/>
        <v>3.7171713870992669</v>
      </c>
      <c r="CF97" s="1148">
        <f t="shared" si="136"/>
        <v>3.7278142323755787</v>
      </c>
      <c r="CG97" s="1148">
        <f t="shared" si="136"/>
        <v>3.7359400558283795</v>
      </c>
      <c r="CH97" s="1148">
        <f t="shared" si="136"/>
        <v>3.7440835918072533</v>
      </c>
      <c r="CI97" s="1148">
        <f t="shared" si="136"/>
        <v>3.7522448789216503</v>
      </c>
      <c r="CJ97" s="1148">
        <f t="shared" si="136"/>
        <v>3.760423955865182</v>
      </c>
      <c r="CK97" s="1148">
        <f t="shared" si="136"/>
        <v>3.768620861415803</v>
      </c>
      <c r="CL97" s="1148">
        <f t="shared" si="136"/>
        <v>3.7741776799118107</v>
      </c>
      <c r="CM97" s="1148">
        <f t="shared" si="136"/>
        <v>3.7797426919175763</v>
      </c>
      <c r="CN97" s="1148">
        <f t="shared" si="136"/>
        <v>3.7853159095144004</v>
      </c>
      <c r="CO97" s="1148">
        <f t="shared" si="136"/>
        <v>3.7908973448013987</v>
      </c>
      <c r="CP97" s="1148">
        <f t="shared" si="136"/>
        <v>3.796487009895527</v>
      </c>
      <c r="CQ97" s="1148">
        <f t="shared" si="136"/>
        <v>3.7983589013238204</v>
      </c>
      <c r="CR97" s="1148">
        <f t="shared" si="136"/>
        <v>3.8002317157047045</v>
      </c>
      <c r="CS97" s="1148">
        <f t="shared" si="136"/>
        <v>3.8021054534932484</v>
      </c>
      <c r="CT97" s="1148">
        <f t="shared" si="136"/>
        <v>3.8039801151447463</v>
      </c>
      <c r="CU97" s="1148">
        <f t="shared" si="136"/>
        <v>3.805855701114718</v>
      </c>
      <c r="CV97" s="1148">
        <f t="shared" si="136"/>
        <v>3.803160079589381</v>
      </c>
      <c r="CW97" s="1148">
        <f t="shared" si="136"/>
        <v>3.8004663673259764</v>
      </c>
      <c r="CX97" s="1148">
        <f t="shared" si="136"/>
        <v>3.7977745629722066</v>
      </c>
      <c r="CY97" s="1148">
        <f t="shared" si="136"/>
        <v>3.7950846651767312</v>
      </c>
      <c r="CZ97" s="1148">
        <f t="shared" si="136"/>
        <v>3.7923966725891693</v>
      </c>
    </row>
    <row r="98" spans="1:104">
      <c r="A98" s="740" t="str">
        <f>'HyARC Physical Property Data'!A76</f>
        <v>Commercial Electricity</v>
      </c>
      <c r="B98">
        <v>2012</v>
      </c>
      <c r="C98" s="738">
        <f t="shared" si="105"/>
        <v>1.0573833607504113</v>
      </c>
      <c r="D98" s="1016" t="str">
        <f>'HyARC Physical Property Data'!$H$76</f>
        <v>kWh</v>
      </c>
      <c r="E98" s="738" t="s">
        <v>1068</v>
      </c>
      <c r="F98" s="741"/>
      <c r="G98" s="738"/>
      <c r="H98" s="852">
        <v>26.706046857142852</v>
      </c>
      <c r="I98" s="852">
        <v>26.706046857142852</v>
      </c>
      <c r="J98" s="852">
        <v>26.706046857142852</v>
      </c>
      <c r="K98" s="852">
        <v>26.706046857142852</v>
      </c>
      <c r="L98" s="852">
        <v>28.244819428571425</v>
      </c>
      <c r="M98" s="852">
        <v>26.82655314285714</v>
      </c>
      <c r="N98" s="852">
        <v>25.371207999999996</v>
      </c>
      <c r="O98">
        <f>O114*($C98)</f>
        <v>32.283135281491724</v>
      </c>
      <c r="P98">
        <f t="shared" ref="P98:AR98" si="137">P114*($C98)</f>
        <v>31.249217372283084</v>
      </c>
      <c r="Q98">
        <f t="shared" si="137"/>
        <v>31.153358168947534</v>
      </c>
      <c r="R98">
        <f t="shared" si="137"/>
        <v>31.319492127821917</v>
      </c>
      <c r="S98">
        <f t="shared" si="137"/>
        <v>31.713042813009693</v>
      </c>
      <c r="T98">
        <f t="shared" si="137"/>
        <v>31.867220938224076</v>
      </c>
      <c r="U98">
        <f t="shared" si="137"/>
        <v>32.111549454009307</v>
      </c>
      <c r="V98">
        <f t="shared" si="137"/>
        <v>32.486400314462216</v>
      </c>
      <c r="W98">
        <f t="shared" si="137"/>
        <v>32.794032257288862</v>
      </c>
      <c r="X98">
        <f t="shared" si="137"/>
        <v>32.56691477046656</v>
      </c>
      <c r="Y98">
        <f t="shared" si="137"/>
        <v>32.389706835655034</v>
      </c>
      <c r="Z98">
        <f t="shared" si="137"/>
        <v>32.033284052413286</v>
      </c>
      <c r="AA98">
        <f t="shared" si="137"/>
        <v>31.890145009485142</v>
      </c>
      <c r="AB98">
        <f t="shared" si="137"/>
        <v>32.24751415083476</v>
      </c>
      <c r="AC98">
        <f t="shared" si="137"/>
        <v>32.302516061110914</v>
      </c>
      <c r="AD98">
        <f t="shared" si="137"/>
        <v>32.38566340168353</v>
      </c>
      <c r="AE98">
        <f t="shared" si="137"/>
        <v>32.600838800829514</v>
      </c>
      <c r="AF98">
        <f t="shared" si="137"/>
        <v>32.680488317244759</v>
      </c>
      <c r="AG98">
        <f t="shared" si="137"/>
        <v>32.795928145654685</v>
      </c>
      <c r="AH98">
        <f t="shared" si="137"/>
        <v>33.053412625214378</v>
      </c>
      <c r="AI98">
        <f t="shared" si="137"/>
        <v>33.31428601844528</v>
      </c>
      <c r="AJ98">
        <f t="shared" si="137"/>
        <v>33.35913704845823</v>
      </c>
      <c r="AK98">
        <f t="shared" si="137"/>
        <v>33.34702472206083</v>
      </c>
      <c r="AL98">
        <f t="shared" si="137"/>
        <v>33.547734059448395</v>
      </c>
      <c r="AM98">
        <f t="shared" si="137"/>
        <v>33.819217237321062</v>
      </c>
      <c r="AN98">
        <f t="shared" si="137"/>
        <v>34.102738724755874</v>
      </c>
      <c r="AO98">
        <f t="shared" si="137"/>
        <v>34.318819244058659</v>
      </c>
      <c r="AP98">
        <f t="shared" si="137"/>
        <v>34.39246810990165</v>
      </c>
      <c r="AQ98">
        <f t="shared" si="137"/>
        <v>34.626804352927799</v>
      </c>
      <c r="AR98">
        <f t="shared" si="137"/>
        <v>34.901427959381891</v>
      </c>
      <c r="AS98">
        <f t="shared" ref="AS98:BA98" si="138">($BB98-$AR98)/10+AR98</f>
        <v>34.70890076364649</v>
      </c>
      <c r="AT98">
        <f t="shared" si="138"/>
        <v>34.516373567911089</v>
      </c>
      <c r="AU98">
        <f t="shared" si="138"/>
        <v>34.323846372175687</v>
      </c>
      <c r="AV98">
        <f t="shared" si="138"/>
        <v>34.131319176440286</v>
      </c>
      <c r="AW98">
        <f t="shared" si="138"/>
        <v>33.938791980704885</v>
      </c>
      <c r="AX98">
        <f t="shared" si="138"/>
        <v>33.746264784969483</v>
      </c>
      <c r="AY98">
        <f t="shared" si="138"/>
        <v>33.553737589234082</v>
      </c>
      <c r="AZ98">
        <f t="shared" si="138"/>
        <v>33.361210393498681</v>
      </c>
      <c r="BA98">
        <f t="shared" si="138"/>
        <v>33.168683197763279</v>
      </c>
      <c r="BB98" s="790">
        <f>'AEO Data'!$B$33*AM98</f>
        <v>32.976156002027878</v>
      </c>
      <c r="BC98">
        <f t="shared" ref="BC98:BP98" si="139">($BQ98-$BB98)/15+BB98</f>
        <v>32.995368695731926</v>
      </c>
      <c r="BD98">
        <f t="shared" si="139"/>
        <v>33.014581389435975</v>
      </c>
      <c r="BE98">
        <f t="shared" si="139"/>
        <v>33.033794083140023</v>
      </c>
      <c r="BF98">
        <f t="shared" si="139"/>
        <v>33.053006776844072</v>
      </c>
      <c r="BG98">
        <f t="shared" si="139"/>
        <v>33.07221947054812</v>
      </c>
      <c r="BH98">
        <f t="shared" si="139"/>
        <v>33.091432164252168</v>
      </c>
      <c r="BI98">
        <f t="shared" si="139"/>
        <v>33.110644857956217</v>
      </c>
      <c r="BJ98">
        <f t="shared" si="139"/>
        <v>33.129857551660265</v>
      </c>
      <c r="BK98">
        <f t="shared" si="139"/>
        <v>33.149070245364314</v>
      </c>
      <c r="BL98">
        <f t="shared" si="139"/>
        <v>33.168282939068362</v>
      </c>
      <c r="BM98">
        <f t="shared" si="139"/>
        <v>33.187495632772411</v>
      </c>
      <c r="BN98">
        <f t="shared" si="139"/>
        <v>33.206708326476459</v>
      </c>
      <c r="BO98">
        <f t="shared" si="139"/>
        <v>33.225921020180508</v>
      </c>
      <c r="BP98">
        <f t="shared" si="139"/>
        <v>33.245133713884556</v>
      </c>
      <c r="BQ98" s="790">
        <f>'AEO Data'!$C$33*BB98</f>
        <v>33.264346407588576</v>
      </c>
      <c r="BR98">
        <f t="shared" si="127"/>
        <v>33.241947852661184</v>
      </c>
      <c r="BS98">
        <f t="shared" si="127"/>
        <v>33.219549297733792</v>
      </c>
      <c r="BT98">
        <f t="shared" si="127"/>
        <v>33.1971507428064</v>
      </c>
      <c r="BU98">
        <f t="shared" si="127"/>
        <v>33.174752187879008</v>
      </c>
      <c r="BV98" s="811">
        <f>'AEO Data'!$D$33*BQ98</f>
        <v>33.152353632951616</v>
      </c>
      <c r="BW98" s="1148">
        <f>+BV98*BW$139/BV$139</f>
        <v>33.137756526643614</v>
      </c>
      <c r="BX98" s="1148">
        <f t="shared" ref="BX98:CZ98" si="140">+BW98*BX$139/BW$139</f>
        <v>33.123165847496566</v>
      </c>
      <c r="BY98" s="1148">
        <f t="shared" si="140"/>
        <v>33.108581592680558</v>
      </c>
      <c r="BZ98" s="1148">
        <f t="shared" si="140"/>
        <v>33.094003759366935</v>
      </c>
      <c r="CA98" s="1148">
        <f t="shared" si="140"/>
        <v>33.079432344728289</v>
      </c>
      <c r="CB98" s="1148">
        <f t="shared" si="140"/>
        <v>33.052936236007881</v>
      </c>
      <c r="CC98" s="1148">
        <f t="shared" si="140"/>
        <v>33.026461350256774</v>
      </c>
      <c r="CD98" s="1148">
        <f t="shared" si="140"/>
        <v>33.000007670475696</v>
      </c>
      <c r="CE98" s="1148">
        <f t="shared" si="140"/>
        <v>32.973575179679017</v>
      </c>
      <c r="CF98" s="1148">
        <f t="shared" si="140"/>
        <v>32.947163860894676</v>
      </c>
      <c r="CG98" s="1148">
        <f t="shared" si="140"/>
        <v>32.91078078916545</v>
      </c>
      <c r="CH98" s="1148">
        <f t="shared" si="140"/>
        <v>32.874437894730825</v>
      </c>
      <c r="CI98" s="1148">
        <f t="shared" si="140"/>
        <v>32.838135133223581</v>
      </c>
      <c r="CJ98" s="1148">
        <f t="shared" si="140"/>
        <v>32.801872460325534</v>
      </c>
      <c r="CK98" s="1148">
        <f t="shared" si="140"/>
        <v>32.765649831767405</v>
      </c>
      <c r="CL98" s="1148">
        <f t="shared" si="140"/>
        <v>32.726158314166163</v>
      </c>
      <c r="CM98" s="1148">
        <f t="shared" si="140"/>
        <v>32.686714394582069</v>
      </c>
      <c r="CN98" s="1148">
        <f t="shared" si="140"/>
        <v>32.647318015646562</v>
      </c>
      <c r="CO98" s="1148">
        <f t="shared" si="140"/>
        <v>32.60796912006024</v>
      </c>
      <c r="CP98" s="1148">
        <f t="shared" si="140"/>
        <v>32.568667650592751</v>
      </c>
      <c r="CQ98" s="1148">
        <f t="shared" si="140"/>
        <v>32.523146286411503</v>
      </c>
      <c r="CR98" s="1148">
        <f t="shared" si="140"/>
        <v>32.477688547633022</v>
      </c>
      <c r="CS98" s="1148">
        <f t="shared" si="140"/>
        <v>32.432294345327811</v>
      </c>
      <c r="CT98" s="1148">
        <f t="shared" si="140"/>
        <v>32.386963590690684</v>
      </c>
      <c r="CU98" s="1148">
        <f t="shared" si="140"/>
        <v>32.341696195040562</v>
      </c>
      <c r="CV98" s="1148">
        <f t="shared" si="140"/>
        <v>32.297507157866328</v>
      </c>
      <c r="CW98" s="1148">
        <f t="shared" si="140"/>
        <v>32.25337849696286</v>
      </c>
      <c r="CX98" s="1148">
        <f t="shared" si="140"/>
        <v>32.209310129836972</v>
      </c>
      <c r="CY98" s="1148">
        <f t="shared" si="140"/>
        <v>32.16530197410821</v>
      </c>
      <c r="CZ98" s="1148">
        <f t="shared" si="140"/>
        <v>32.121353947508659</v>
      </c>
    </row>
    <row r="99" spans="1:104">
      <c r="A99" s="740" t="str">
        <f>'HyARC Physical Property Data'!A77</f>
        <v>Industrial Electricity</v>
      </c>
      <c r="B99">
        <v>2012</v>
      </c>
      <c r="C99" s="738">
        <f t="shared" si="105"/>
        <v>1.0573833607504113</v>
      </c>
      <c r="D99" s="1016" t="str">
        <f>'HyARC Physical Property Data'!$H$77</f>
        <v>kWh</v>
      </c>
      <c r="E99" s="738" t="s">
        <v>1068</v>
      </c>
      <c r="F99" s="739"/>
      <c r="H99" s="852">
        <v>17.630996571428568</v>
      </c>
      <c r="I99" s="852">
        <v>17.630996571428568</v>
      </c>
      <c r="J99" s="852">
        <v>17.630996571428568</v>
      </c>
      <c r="K99" s="852">
        <v>17.630996571428568</v>
      </c>
      <c r="L99" s="852">
        <v>18.734092571428569</v>
      </c>
      <c r="M99" s="852">
        <v>18.576507428571425</v>
      </c>
      <c r="N99" s="852">
        <v>17.751502857142853</v>
      </c>
      <c r="O99">
        <f t="shared" ref="O99:AR99" si="141">O115*($C99)</f>
        <v>21.515674690350355</v>
      </c>
      <c r="P99">
        <f t="shared" si="141"/>
        <v>20.614325162612442</v>
      </c>
      <c r="Q99">
        <f t="shared" si="141"/>
        <v>21.234320838805083</v>
      </c>
      <c r="R99">
        <f t="shared" si="141"/>
        <v>21.012944943631656</v>
      </c>
      <c r="S99">
        <f t="shared" si="141"/>
        <v>21.260067066255996</v>
      </c>
      <c r="T99">
        <f t="shared" si="141"/>
        <v>21.264334665499984</v>
      </c>
      <c r="U99">
        <f t="shared" si="141"/>
        <v>21.45053776056141</v>
      </c>
      <c r="V99">
        <f t="shared" si="141"/>
        <v>21.773568377270657</v>
      </c>
      <c r="W99">
        <f t="shared" si="141"/>
        <v>22.056475524972875</v>
      </c>
      <c r="X99">
        <f t="shared" si="141"/>
        <v>21.961455884025764</v>
      </c>
      <c r="Y99">
        <f t="shared" si="141"/>
        <v>21.942053956739354</v>
      </c>
      <c r="Z99">
        <f t="shared" si="141"/>
        <v>21.839343966609501</v>
      </c>
      <c r="AA99">
        <f t="shared" si="141"/>
        <v>21.848738817769767</v>
      </c>
      <c r="AB99">
        <f t="shared" si="141"/>
        <v>22.148172867400511</v>
      </c>
      <c r="AC99">
        <f t="shared" si="141"/>
        <v>22.288834461114416</v>
      </c>
      <c r="AD99">
        <f t="shared" si="141"/>
        <v>22.455557382520738</v>
      </c>
      <c r="AE99">
        <f t="shared" si="141"/>
        <v>22.693200063315949</v>
      </c>
      <c r="AF99">
        <f t="shared" si="141"/>
        <v>22.825154105054075</v>
      </c>
      <c r="AG99">
        <f t="shared" si="141"/>
        <v>22.985164756886352</v>
      </c>
      <c r="AH99">
        <f t="shared" si="141"/>
        <v>23.25006678072171</v>
      </c>
      <c r="AI99">
        <f t="shared" si="141"/>
        <v>23.513378499982501</v>
      </c>
      <c r="AJ99">
        <f t="shared" si="141"/>
        <v>23.624497859980398</v>
      </c>
      <c r="AK99">
        <f t="shared" si="141"/>
        <v>23.72471031061216</v>
      </c>
      <c r="AL99">
        <f t="shared" si="141"/>
        <v>23.954574879405691</v>
      </c>
      <c r="AM99">
        <f t="shared" si="141"/>
        <v>24.226613183542757</v>
      </c>
      <c r="AN99">
        <f t="shared" si="141"/>
        <v>24.521924495449934</v>
      </c>
      <c r="AO99">
        <f t="shared" si="141"/>
        <v>24.752620167565013</v>
      </c>
      <c r="AP99">
        <f t="shared" si="141"/>
        <v>24.871397097861468</v>
      </c>
      <c r="AQ99">
        <f t="shared" si="141"/>
        <v>25.127647611039166</v>
      </c>
      <c r="AR99">
        <f t="shared" si="141"/>
        <v>25.43300195010675</v>
      </c>
      <c r="AS99">
        <f t="shared" ref="AS99:BA99" si="142">($BB99-$AR99)/10+AR99</f>
        <v>25.251969841122818</v>
      </c>
      <c r="AT99">
        <f t="shared" si="142"/>
        <v>25.070937732138887</v>
      </c>
      <c r="AU99">
        <f t="shared" si="142"/>
        <v>24.889905623154956</v>
      </c>
      <c r="AV99">
        <f t="shared" si="142"/>
        <v>24.708873514171025</v>
      </c>
      <c r="AW99">
        <f t="shared" si="142"/>
        <v>24.527841405187093</v>
      </c>
      <c r="AX99">
        <f t="shared" si="142"/>
        <v>24.346809296203162</v>
      </c>
      <c r="AY99">
        <f t="shared" si="142"/>
        <v>24.165777187219231</v>
      </c>
      <c r="AZ99">
        <f t="shared" si="142"/>
        <v>23.984745078235299</v>
      </c>
      <c r="BA99">
        <f t="shared" si="142"/>
        <v>23.803712969251368</v>
      </c>
      <c r="BB99" s="790">
        <f>'AEO Data'!$B$33*AM99</f>
        <v>23.622680860267447</v>
      </c>
      <c r="BC99">
        <f t="shared" ref="BC99:BP99" si="143">($BQ99-$BB99)/15+BB99</f>
        <v>23.636443996632064</v>
      </c>
      <c r="BD99">
        <f t="shared" si="143"/>
        <v>23.65020713299668</v>
      </c>
      <c r="BE99">
        <f t="shared" si="143"/>
        <v>23.663970269361297</v>
      </c>
      <c r="BF99">
        <f t="shared" si="143"/>
        <v>23.677733405725913</v>
      </c>
      <c r="BG99">
        <f t="shared" si="143"/>
        <v>23.69149654209053</v>
      </c>
      <c r="BH99">
        <f t="shared" si="143"/>
        <v>23.705259678455146</v>
      </c>
      <c r="BI99">
        <f t="shared" si="143"/>
        <v>23.719022814819763</v>
      </c>
      <c r="BJ99">
        <f t="shared" si="143"/>
        <v>23.732785951184379</v>
      </c>
      <c r="BK99">
        <f t="shared" si="143"/>
        <v>23.746549087548996</v>
      </c>
      <c r="BL99">
        <f t="shared" si="143"/>
        <v>23.760312223913612</v>
      </c>
      <c r="BM99">
        <f t="shared" si="143"/>
        <v>23.774075360278228</v>
      </c>
      <c r="BN99">
        <f t="shared" si="143"/>
        <v>23.787838496642845</v>
      </c>
      <c r="BO99">
        <f t="shared" si="143"/>
        <v>23.801601633007461</v>
      </c>
      <c r="BP99">
        <f t="shared" si="143"/>
        <v>23.815364769372078</v>
      </c>
      <c r="BQ99" s="790">
        <f>'AEO Data'!$C$33*BB99</f>
        <v>23.829127905736687</v>
      </c>
      <c r="BR99">
        <f t="shared" si="127"/>
        <v>23.813082557250695</v>
      </c>
      <c r="BS99">
        <f t="shared" si="127"/>
        <v>23.797037208764703</v>
      </c>
      <c r="BT99">
        <f t="shared" si="127"/>
        <v>23.780991860278711</v>
      </c>
      <c r="BU99">
        <f t="shared" si="127"/>
        <v>23.764946511792719</v>
      </c>
      <c r="BV99" s="811">
        <f>'AEO Data'!$D$33*BQ99</f>
        <v>23.748901163306734</v>
      </c>
      <c r="BW99" s="1148">
        <f>+BV99*BW$140/BV$140</f>
        <v>23.75607712303141</v>
      </c>
      <c r="BX99" s="1148">
        <f t="shared" ref="BX99:CZ99" si="144">+BW99*BX$140/BW$140</f>
        <v>23.763255251041588</v>
      </c>
      <c r="BY99" s="1148">
        <f t="shared" si="144"/>
        <v>23.770435547992431</v>
      </c>
      <c r="BZ99" s="1148">
        <f t="shared" si="144"/>
        <v>23.777618014539303</v>
      </c>
      <c r="CA99" s="1148">
        <f t="shared" si="144"/>
        <v>23.78480265133777</v>
      </c>
      <c r="CB99" s="1148">
        <f t="shared" si="144"/>
        <v>23.782112772933441</v>
      </c>
      <c r="CC99" s="1148">
        <f t="shared" si="144"/>
        <v>23.779423198733689</v>
      </c>
      <c r="CD99" s="1148">
        <f t="shared" si="144"/>
        <v>23.776733928704111</v>
      </c>
      <c r="CE99" s="1148">
        <f t="shared" si="144"/>
        <v>23.774044962810308</v>
      </c>
      <c r="CF99" s="1148">
        <f t="shared" si="144"/>
        <v>23.771356301017885</v>
      </c>
      <c r="CG99" s="1148">
        <f t="shared" si="144"/>
        <v>23.76057340337865</v>
      </c>
      <c r="CH99" s="1148">
        <f t="shared" si="144"/>
        <v>23.749795396957229</v>
      </c>
      <c r="CI99" s="1148">
        <f t="shared" si="144"/>
        <v>23.739022279534925</v>
      </c>
      <c r="CJ99" s="1148">
        <f t="shared" si="144"/>
        <v>23.728254048894051</v>
      </c>
      <c r="CK99" s="1148">
        <f t="shared" si="144"/>
        <v>23.717490702817912</v>
      </c>
      <c r="CL99" s="1148">
        <f t="shared" si="144"/>
        <v>23.704286288042756</v>
      </c>
      <c r="CM99" s="1148">
        <f t="shared" si="144"/>
        <v>23.691089224659521</v>
      </c>
      <c r="CN99" s="1148">
        <f t="shared" si="144"/>
        <v>23.677899508575415</v>
      </c>
      <c r="CO99" s="1148">
        <f t="shared" si="144"/>
        <v>23.664717135699917</v>
      </c>
      <c r="CP99" s="1148">
        <f t="shared" si="144"/>
        <v>23.651542101944788</v>
      </c>
      <c r="CQ99" s="1148">
        <f t="shared" si="144"/>
        <v>23.633491650128491</v>
      </c>
      <c r="CR99" s="1148">
        <f t="shared" si="144"/>
        <v>23.615454974107841</v>
      </c>
      <c r="CS99" s="1148">
        <f t="shared" si="144"/>
        <v>23.597432063369389</v>
      </c>
      <c r="CT99" s="1148">
        <f t="shared" si="144"/>
        <v>23.579422907407711</v>
      </c>
      <c r="CU99" s="1148">
        <f t="shared" si="144"/>
        <v>23.561427495725386</v>
      </c>
      <c r="CV99" s="1148">
        <f t="shared" si="144"/>
        <v>23.544508396580287</v>
      </c>
      <c r="CW99" s="1148">
        <f t="shared" si="144"/>
        <v>23.52760144678038</v>
      </c>
      <c r="CX99" s="1148">
        <f t="shared" si="144"/>
        <v>23.510706637601409</v>
      </c>
      <c r="CY99" s="1148">
        <f t="shared" si="144"/>
        <v>23.493823960325379</v>
      </c>
      <c r="CZ99" s="1148">
        <f t="shared" si="144"/>
        <v>23.476953406240558</v>
      </c>
    </row>
    <row r="100" spans="1:104" ht="14" thickBot="1">
      <c r="A100" s="742" t="str">
        <f>'HyARC Physical Property Data'!A78</f>
        <v>Residential Electricity</v>
      </c>
      <c r="B100" s="492">
        <v>2012</v>
      </c>
      <c r="C100" s="743">
        <f t="shared" si="105"/>
        <v>1.0573833607504113</v>
      </c>
      <c r="D100" s="1017" t="str">
        <f>'HyARC Physical Property Data'!$H$78</f>
        <v>kWh</v>
      </c>
      <c r="E100" s="743" t="s">
        <v>1068</v>
      </c>
      <c r="F100" s="747"/>
      <c r="G100" s="492"/>
      <c r="H100" s="854">
        <v>29.496230857142855</v>
      </c>
      <c r="I100" s="854">
        <v>29.496230857142855</v>
      </c>
      <c r="J100" s="854">
        <v>29.496230857142855</v>
      </c>
      <c r="K100" s="854">
        <v>29.496230857142855</v>
      </c>
      <c r="L100" s="854">
        <v>30.858878857142852</v>
      </c>
      <c r="M100" s="854">
        <v>29.96898628571428</v>
      </c>
      <c r="N100" s="854">
        <v>28.680495999999998</v>
      </c>
      <c r="O100" s="492">
        <f t="shared" ref="O100:AR100" si="145">O116*($C100)</f>
        <v>36.958599009222638</v>
      </c>
      <c r="P100" s="492">
        <f t="shared" si="145"/>
        <v>36.829914396835953</v>
      </c>
      <c r="Q100" s="492">
        <f t="shared" si="145"/>
        <v>35.967931251618772</v>
      </c>
      <c r="R100" s="492">
        <f t="shared" si="145"/>
        <v>36.384210392145889</v>
      </c>
      <c r="S100" s="492">
        <f t="shared" si="145"/>
        <v>36.946828217650761</v>
      </c>
      <c r="T100" s="492">
        <f t="shared" si="145"/>
        <v>37.180918090353856</v>
      </c>
      <c r="U100" s="492">
        <f t="shared" si="145"/>
        <v>37.557365599681496</v>
      </c>
      <c r="V100" s="492">
        <f t="shared" si="145"/>
        <v>37.974121620104306</v>
      </c>
      <c r="W100" s="492">
        <f t="shared" si="145"/>
        <v>38.254262652934798</v>
      </c>
      <c r="X100" s="492">
        <f t="shared" si="145"/>
        <v>38.221123201025513</v>
      </c>
      <c r="Y100" s="492">
        <f t="shared" si="145"/>
        <v>38.131149393475901</v>
      </c>
      <c r="Z100" s="492">
        <f t="shared" si="145"/>
        <v>37.858692365527979</v>
      </c>
      <c r="AA100" s="492">
        <f t="shared" si="145"/>
        <v>37.743955697052961</v>
      </c>
      <c r="AB100" s="492">
        <f t="shared" si="145"/>
        <v>38.1089157935494</v>
      </c>
      <c r="AC100" s="492">
        <f t="shared" si="145"/>
        <v>38.215330854975328</v>
      </c>
      <c r="AD100" s="492">
        <f t="shared" si="145"/>
        <v>38.326908061968432</v>
      </c>
      <c r="AE100" s="492">
        <f t="shared" si="145"/>
        <v>38.563554687637811</v>
      </c>
      <c r="AF100" s="492">
        <f t="shared" si="145"/>
        <v>38.678694219173288</v>
      </c>
      <c r="AG100" s="492">
        <f t="shared" si="145"/>
        <v>38.832728540250606</v>
      </c>
      <c r="AH100" s="492">
        <f t="shared" si="145"/>
        <v>39.103972749483745</v>
      </c>
      <c r="AI100" s="492">
        <f t="shared" si="145"/>
        <v>39.394125087973819</v>
      </c>
      <c r="AJ100" s="492">
        <f t="shared" si="145"/>
        <v>39.478120450001747</v>
      </c>
      <c r="AK100" s="492">
        <f t="shared" si="145"/>
        <v>39.513366209565646</v>
      </c>
      <c r="AL100" s="492">
        <f t="shared" si="145"/>
        <v>39.723129920671305</v>
      </c>
      <c r="AM100" s="492">
        <f t="shared" si="145"/>
        <v>39.988020313289695</v>
      </c>
      <c r="AN100" s="492">
        <f t="shared" si="145"/>
        <v>40.267543834237514</v>
      </c>
      <c r="AO100" s="492">
        <f t="shared" si="145"/>
        <v>40.49663228364426</v>
      </c>
      <c r="AP100" s="492">
        <f t="shared" si="145"/>
        <v>40.571116482342241</v>
      </c>
      <c r="AQ100" s="492">
        <f t="shared" si="145"/>
        <v>40.796195334045009</v>
      </c>
      <c r="AR100" s="492">
        <f t="shared" si="145"/>
        <v>41.063070435231531</v>
      </c>
      <c r="AS100" s="492">
        <f t="shared" ref="AS100:BA100" si="146">($BB100-$AR100)/10+AR100</f>
        <v>40.855881419218811</v>
      </c>
      <c r="AT100" s="492">
        <f t="shared" si="146"/>
        <v>40.648692403206091</v>
      </c>
      <c r="AU100" s="492">
        <f t="shared" si="146"/>
        <v>40.441503387193372</v>
      </c>
      <c r="AV100" s="492">
        <f t="shared" si="146"/>
        <v>40.234314371180652</v>
      </c>
      <c r="AW100" s="492">
        <f t="shared" si="146"/>
        <v>40.027125355167932</v>
      </c>
      <c r="AX100" s="492">
        <f t="shared" si="146"/>
        <v>39.819936339155213</v>
      </c>
      <c r="AY100" s="492">
        <f t="shared" si="146"/>
        <v>39.612747323142493</v>
      </c>
      <c r="AZ100" s="492">
        <f t="shared" si="146"/>
        <v>39.405558307129773</v>
      </c>
      <c r="BA100" s="492">
        <f t="shared" si="146"/>
        <v>39.198369291117054</v>
      </c>
      <c r="BB100" s="816">
        <f>'AEO Data'!$B$33*AM100</f>
        <v>38.991180275104313</v>
      </c>
      <c r="BC100" s="492">
        <f t="shared" ref="BC100:BP100" si="147">($BQ100-$BB100)/15+BB100</f>
        <v>39.013897465177614</v>
      </c>
      <c r="BD100" s="492">
        <f t="shared" si="147"/>
        <v>39.036614655250915</v>
      </c>
      <c r="BE100" s="492">
        <f t="shared" si="147"/>
        <v>39.059331845324216</v>
      </c>
      <c r="BF100" s="492">
        <f t="shared" si="147"/>
        <v>39.082049035397517</v>
      </c>
      <c r="BG100" s="492">
        <f t="shared" si="147"/>
        <v>39.104766225470819</v>
      </c>
      <c r="BH100" s="492">
        <f t="shared" si="147"/>
        <v>39.12748341554412</v>
      </c>
      <c r="BI100" s="492">
        <f t="shared" si="147"/>
        <v>39.150200605617421</v>
      </c>
      <c r="BJ100" s="492">
        <f t="shared" si="147"/>
        <v>39.172917795690722</v>
      </c>
      <c r="BK100" s="492">
        <f t="shared" si="147"/>
        <v>39.195634985764023</v>
      </c>
      <c r="BL100" s="492">
        <f t="shared" si="147"/>
        <v>39.218352175837325</v>
      </c>
      <c r="BM100" s="492">
        <f t="shared" si="147"/>
        <v>39.241069365910626</v>
      </c>
      <c r="BN100" s="492">
        <f t="shared" si="147"/>
        <v>39.263786555983927</v>
      </c>
      <c r="BO100" s="492">
        <f t="shared" si="147"/>
        <v>39.286503746057228</v>
      </c>
      <c r="BP100" s="492">
        <f t="shared" si="147"/>
        <v>39.309220936130529</v>
      </c>
      <c r="BQ100" s="816">
        <f>'AEO Data'!$C$33*BB100</f>
        <v>39.331938126203802</v>
      </c>
      <c r="BR100" s="492">
        <f t="shared" si="127"/>
        <v>39.305453957065893</v>
      </c>
      <c r="BS100" s="492">
        <f t="shared" si="127"/>
        <v>39.278969787927984</v>
      </c>
      <c r="BT100" s="492">
        <f t="shared" si="127"/>
        <v>39.252485618790075</v>
      </c>
      <c r="BU100" s="492">
        <f t="shared" si="127"/>
        <v>39.226001449652166</v>
      </c>
      <c r="BV100" s="817">
        <f>'AEO Data'!$D$33*BQ100</f>
        <v>39.199517280514264</v>
      </c>
      <c r="BW100" s="1148">
        <f>+BV100*BW$141/BV$141</f>
        <v>39.182257585250959</v>
      </c>
      <c r="BX100" s="1148">
        <f t="shared" ref="BX100:CZ100" si="148">+BW100*BX$141/BW$141</f>
        <v>39.165005489496558</v>
      </c>
      <c r="BY100" s="1148">
        <f t="shared" si="148"/>
        <v>39.147760989904967</v>
      </c>
      <c r="BZ100" s="1148">
        <f t="shared" si="148"/>
        <v>39.130524083131569</v>
      </c>
      <c r="CA100" s="1148">
        <f t="shared" si="148"/>
        <v>39.113294765833224</v>
      </c>
      <c r="CB100" s="1148">
        <f t="shared" si="148"/>
        <v>39.08196562754182</v>
      </c>
      <c r="CC100" s="1148">
        <f t="shared" si="148"/>
        <v>39.050661583400931</v>
      </c>
      <c r="CD100" s="1148">
        <f t="shared" si="148"/>
        <v>39.01938261331054</v>
      </c>
      <c r="CE100" s="1148">
        <f t="shared" si="148"/>
        <v>38.988128697186724</v>
      </c>
      <c r="CF100" s="1148">
        <f t="shared" si="148"/>
        <v>38.956899814961638</v>
      </c>
      <c r="CG100" s="1148">
        <f t="shared" si="148"/>
        <v>38.913880279614062</v>
      </c>
      <c r="CH100" s="1148">
        <f t="shared" si="148"/>
        <v>38.870908250110908</v>
      </c>
      <c r="CI100" s="1148">
        <f t="shared" si="148"/>
        <v>38.827983673992158</v>
      </c>
      <c r="CJ100" s="1148">
        <f t="shared" si="148"/>
        <v>38.785106498855733</v>
      </c>
      <c r="CK100" s="1148">
        <f t="shared" si="148"/>
        <v>38.74227667235742</v>
      </c>
      <c r="CL100" s="1148">
        <f t="shared" si="148"/>
        <v>38.695581694263772</v>
      </c>
      <c r="CM100" s="1148">
        <f t="shared" si="148"/>
        <v>38.64894299631591</v>
      </c>
      <c r="CN100" s="1148">
        <f t="shared" si="148"/>
        <v>38.60236051068096</v>
      </c>
      <c r="CO100" s="1148">
        <f t="shared" si="148"/>
        <v>38.555834169607792</v>
      </c>
      <c r="CP100" s="1148">
        <f t="shared" si="148"/>
        <v>38.509363905426945</v>
      </c>
      <c r="CQ100" s="1148">
        <f t="shared" si="148"/>
        <v>38.455539205026732</v>
      </c>
      <c r="CR100" s="1148">
        <f t="shared" si="148"/>
        <v>38.401789735637358</v>
      </c>
      <c r="CS100" s="1148">
        <f t="shared" si="148"/>
        <v>38.348115392108113</v>
      </c>
      <c r="CT100" s="1148">
        <f t="shared" si="148"/>
        <v>38.294516069435261</v>
      </c>
      <c r="CU100" s="1148">
        <f t="shared" si="148"/>
        <v>38.24099166276185</v>
      </c>
      <c r="CV100" s="1148">
        <f t="shared" si="148"/>
        <v>38.188742312821311</v>
      </c>
      <c r="CW100" s="1148">
        <f t="shared" si="148"/>
        <v>38.136564352100841</v>
      </c>
      <c r="CX100" s="1148">
        <f t="shared" si="148"/>
        <v>38.084457683060059</v>
      </c>
      <c r="CY100" s="1148">
        <f t="shared" si="148"/>
        <v>38.032422208291884</v>
      </c>
      <c r="CZ100" s="1148">
        <f t="shared" si="148"/>
        <v>37.980457830522298</v>
      </c>
    </row>
    <row r="101" spans="1:104" ht="14" thickTop="1">
      <c r="D101" s="876"/>
    </row>
    <row r="102" spans="1:104" ht="14" thickBot="1">
      <c r="D102" s="876"/>
    </row>
    <row r="103" spans="1:104" s="838" customFormat="1">
      <c r="A103" s="834" t="s">
        <v>1155</v>
      </c>
      <c r="B103" s="835"/>
      <c r="C103" s="836"/>
      <c r="D103" s="1020"/>
      <c r="E103" s="836"/>
      <c r="F103" s="835"/>
      <c r="G103" s="835"/>
      <c r="H103" s="835"/>
      <c r="I103" s="835"/>
      <c r="J103" s="835"/>
      <c r="K103" s="835"/>
      <c r="L103" s="835"/>
      <c r="M103" s="835"/>
      <c r="N103" s="835"/>
      <c r="O103" s="835"/>
      <c r="P103" s="835"/>
      <c r="Q103" s="835"/>
      <c r="R103" s="835"/>
      <c r="S103" s="835"/>
      <c r="T103" s="835"/>
      <c r="U103" s="835"/>
      <c r="V103" s="835"/>
      <c r="W103" s="835"/>
      <c r="X103" s="835"/>
      <c r="Y103" s="835"/>
      <c r="Z103" s="835"/>
      <c r="AA103" s="835"/>
      <c r="AB103" s="835"/>
      <c r="AC103" s="835"/>
      <c r="AD103" s="835"/>
      <c r="AE103" s="835"/>
      <c r="AF103" s="835"/>
      <c r="AG103" s="835"/>
      <c r="AH103" s="835"/>
      <c r="AI103" s="835"/>
      <c r="AJ103" s="835"/>
      <c r="AK103" s="835"/>
      <c r="AL103" s="835"/>
      <c r="AM103" s="835"/>
      <c r="AN103" s="835"/>
      <c r="AO103" s="835"/>
      <c r="AP103" s="835"/>
      <c r="AQ103" s="835"/>
      <c r="AR103" s="835"/>
      <c r="AS103" s="835"/>
      <c r="AT103" s="835"/>
      <c r="AU103" s="835"/>
      <c r="AV103" s="835"/>
      <c r="AW103" s="835"/>
      <c r="AX103" s="835"/>
      <c r="AY103" s="835"/>
      <c r="AZ103" s="835"/>
      <c r="BA103" s="835"/>
      <c r="BB103" s="835"/>
      <c r="BC103" s="835"/>
      <c r="BD103" s="835"/>
      <c r="BE103" s="835"/>
      <c r="BF103" s="835"/>
      <c r="BG103" s="835"/>
      <c r="BH103" s="835"/>
      <c r="BI103" s="835"/>
      <c r="BJ103" s="835"/>
      <c r="BK103" s="835"/>
      <c r="BL103" s="835"/>
      <c r="BM103" s="835"/>
      <c r="BN103" s="835"/>
      <c r="BO103" s="835"/>
      <c r="BP103" s="835"/>
      <c r="BQ103" s="835"/>
      <c r="BR103" s="835"/>
      <c r="BS103" s="835"/>
      <c r="BT103" s="835"/>
      <c r="BU103" s="835"/>
      <c r="BV103" s="837"/>
    </row>
    <row r="104" spans="1:104" s="838" customFormat="1">
      <c r="A104" s="839" t="s">
        <v>1109</v>
      </c>
      <c r="C104" s="840"/>
      <c r="D104" s="1021"/>
      <c r="E104" s="840"/>
      <c r="BV104" s="841"/>
    </row>
    <row r="105" spans="1:104" s="838" customFormat="1">
      <c r="A105" s="842"/>
      <c r="C105" s="840"/>
      <c r="D105" s="1021"/>
      <c r="E105" s="840"/>
      <c r="BV105" s="841"/>
    </row>
    <row r="106" spans="1:104" s="838" customFormat="1">
      <c r="A106" s="842" t="s">
        <v>679</v>
      </c>
      <c r="C106" s="840"/>
      <c r="D106" s="1021"/>
      <c r="E106" s="840"/>
      <c r="O106" s="843">
        <v>10.979644</v>
      </c>
      <c r="P106" s="843">
        <v>10.458463</v>
      </c>
      <c r="Q106" s="843">
        <v>10.386789</v>
      </c>
      <c r="R106" s="843">
        <v>11.197535999999999</v>
      </c>
      <c r="S106" s="843">
        <v>10.997512</v>
      </c>
      <c r="T106" s="843">
        <v>10.684602</v>
      </c>
      <c r="U106" s="843">
        <v>11.01057</v>
      </c>
      <c r="V106" s="843">
        <v>11.455973999999999</v>
      </c>
      <c r="W106" s="843">
        <v>11.627091999999999</v>
      </c>
      <c r="X106" s="843">
        <v>11.591965</v>
      </c>
      <c r="Y106" s="843">
        <v>11.804651</v>
      </c>
      <c r="Z106" s="843">
        <v>11.896172</v>
      </c>
      <c r="AA106" s="843">
        <v>12.056948999999999</v>
      </c>
      <c r="AB106" s="843">
        <v>12.305148000000001</v>
      </c>
      <c r="AC106" s="843">
        <v>12.475469</v>
      </c>
      <c r="AD106" s="843">
        <v>12.579926</v>
      </c>
      <c r="AE106" s="843">
        <v>12.716393999999999</v>
      </c>
      <c r="AF106" s="843">
        <v>12.897914999999999</v>
      </c>
      <c r="AG106" s="843">
        <v>13.184208999999999</v>
      </c>
      <c r="AH106" s="843">
        <v>13.502886999999999</v>
      </c>
      <c r="AI106" s="843">
        <v>13.64997</v>
      </c>
      <c r="AJ106" s="843">
        <v>13.712135</v>
      </c>
      <c r="AK106" s="843">
        <v>13.943460999999999</v>
      </c>
      <c r="AL106" s="843">
        <v>14.339456999999999</v>
      </c>
      <c r="AM106" s="843">
        <v>14.605688000000001</v>
      </c>
      <c r="AN106" s="843">
        <v>14.994783</v>
      </c>
      <c r="AO106" s="843">
        <v>15.152347000000001</v>
      </c>
      <c r="AP106" s="843">
        <v>15.279963</v>
      </c>
      <c r="AQ106" s="843">
        <v>15.618371</v>
      </c>
      <c r="AR106" s="843">
        <v>15.977807</v>
      </c>
      <c r="BV106" s="841"/>
    </row>
    <row r="107" spans="1:104" s="838" customFormat="1">
      <c r="A107" s="842" t="s">
        <v>1082</v>
      </c>
      <c r="C107" s="840"/>
      <c r="D107" s="1021"/>
      <c r="E107" s="840"/>
      <c r="O107" s="843">
        <v>8.9608349999999994</v>
      </c>
      <c r="P107" s="843">
        <v>8.1128640000000001</v>
      </c>
      <c r="Q107" s="843">
        <v>8.3120530000000006</v>
      </c>
      <c r="R107" s="843">
        <v>9.0860579999999995</v>
      </c>
      <c r="S107" s="843">
        <v>8.9185510000000008</v>
      </c>
      <c r="T107" s="843">
        <v>8.7230709999999991</v>
      </c>
      <c r="U107" s="843">
        <v>9.0072580000000002</v>
      </c>
      <c r="V107" s="843">
        <v>9.4091780000000007</v>
      </c>
      <c r="W107" s="843">
        <v>9.5464699999999993</v>
      </c>
      <c r="X107" s="843">
        <v>9.490774</v>
      </c>
      <c r="Y107" s="843">
        <v>9.6849690000000006</v>
      </c>
      <c r="Z107" s="843">
        <v>9.7584820000000008</v>
      </c>
      <c r="AA107" s="843">
        <v>9.8987529999999992</v>
      </c>
      <c r="AB107" s="843">
        <v>10.127039999999999</v>
      </c>
      <c r="AC107" s="843">
        <v>10.286922000000001</v>
      </c>
      <c r="AD107" s="843">
        <v>10.380953999999999</v>
      </c>
      <c r="AE107" s="843">
        <v>10.496881999999999</v>
      </c>
      <c r="AF107" s="843">
        <v>10.657225</v>
      </c>
      <c r="AG107" s="843">
        <v>10.911016</v>
      </c>
      <c r="AH107" s="843">
        <v>11.192325</v>
      </c>
      <c r="AI107" s="843">
        <v>11.294316</v>
      </c>
      <c r="AJ107" s="843">
        <v>11.292712999999999</v>
      </c>
      <c r="AK107" s="843">
        <v>11.478382999999999</v>
      </c>
      <c r="AL107" s="843">
        <v>11.747921</v>
      </c>
      <c r="AM107" s="843">
        <v>11.953430000000001</v>
      </c>
      <c r="AN107" s="843">
        <v>12.263629999999999</v>
      </c>
      <c r="AO107" s="843">
        <v>12.368285999999999</v>
      </c>
      <c r="AP107" s="843">
        <v>12.459205000000001</v>
      </c>
      <c r="AQ107" s="843">
        <v>12.755896</v>
      </c>
      <c r="AR107" s="843">
        <v>13.077387</v>
      </c>
      <c r="BV107" s="841"/>
    </row>
    <row r="108" spans="1:104" s="838" customFormat="1">
      <c r="A108" s="842" t="s">
        <v>283</v>
      </c>
      <c r="C108" s="840"/>
      <c r="D108" s="1021"/>
      <c r="E108" s="840"/>
      <c r="O108" s="843">
        <v>5.093718</v>
      </c>
      <c r="P108" s="843">
        <v>3.77142</v>
      </c>
      <c r="Q108" s="843">
        <v>4.594805</v>
      </c>
      <c r="R108" s="843">
        <v>4.7995720000000004</v>
      </c>
      <c r="S108" s="843">
        <v>4.9392990000000001</v>
      </c>
      <c r="T108" s="843">
        <v>5.148549</v>
      </c>
      <c r="U108" s="843">
        <v>5.425808</v>
      </c>
      <c r="V108" s="843">
        <v>5.8458810000000003</v>
      </c>
      <c r="W108" s="843">
        <v>5.9476060000000004</v>
      </c>
      <c r="X108" s="843">
        <v>5.7923239999999998</v>
      </c>
      <c r="Y108" s="843">
        <v>5.9347989999999999</v>
      </c>
      <c r="Z108" s="843">
        <v>5.9545320000000004</v>
      </c>
      <c r="AA108" s="843">
        <v>6.0522600000000004</v>
      </c>
      <c r="AB108" s="843">
        <v>6.2273719999999999</v>
      </c>
      <c r="AC108" s="843">
        <v>6.3209530000000003</v>
      </c>
      <c r="AD108" s="843">
        <v>6.356109</v>
      </c>
      <c r="AE108" s="843">
        <v>6.4293370000000003</v>
      </c>
      <c r="AF108" s="843">
        <v>6.531498</v>
      </c>
      <c r="AG108" s="843">
        <v>6.7357209999999998</v>
      </c>
      <c r="AH108" s="843">
        <v>6.9891050000000003</v>
      </c>
      <c r="AI108" s="843">
        <v>7.1038509999999997</v>
      </c>
      <c r="AJ108" s="843">
        <v>7.224164</v>
      </c>
      <c r="AK108" s="843">
        <v>7.420331</v>
      </c>
      <c r="AL108" s="843">
        <v>7.5726420000000001</v>
      </c>
      <c r="AM108" s="843">
        <v>7.7575940000000001</v>
      </c>
      <c r="AN108" s="843">
        <v>8.0432100000000002</v>
      </c>
      <c r="AO108" s="843">
        <v>8.0942129999999999</v>
      </c>
      <c r="AP108" s="843">
        <v>8.1302479999999999</v>
      </c>
      <c r="AQ108" s="843">
        <v>8.3372609999999998</v>
      </c>
      <c r="AR108" s="843">
        <v>8.5934050000000006</v>
      </c>
      <c r="BV108" s="841"/>
    </row>
    <row r="109" spans="1:104" s="838" customFormat="1">
      <c r="A109" s="842" t="str">
        <f>'HyARC Physical Property Data'!$A$74</f>
        <v>Electric Utility Natural Gas</v>
      </c>
      <c r="C109" s="840"/>
      <c r="D109" s="1021"/>
      <c r="E109" s="840"/>
      <c r="O109" s="843">
        <v>4.881901</v>
      </c>
      <c r="P109" s="843">
        <v>3.4378730000000002</v>
      </c>
      <c r="Q109" s="843">
        <v>4.3206319999999998</v>
      </c>
      <c r="R109" s="843">
        <v>4.4694140000000004</v>
      </c>
      <c r="S109" s="843">
        <v>4.4284980000000003</v>
      </c>
      <c r="T109" s="843">
        <v>4.4748020000000004</v>
      </c>
      <c r="U109" s="843">
        <v>4.6905669999999997</v>
      </c>
      <c r="V109" s="843">
        <v>5.0621029999999996</v>
      </c>
      <c r="W109" s="843">
        <v>5.1794200000000004</v>
      </c>
      <c r="X109" s="843">
        <v>5.0744109999999996</v>
      </c>
      <c r="Y109" s="843">
        <v>5.242337</v>
      </c>
      <c r="Z109" s="843">
        <v>5.2943420000000003</v>
      </c>
      <c r="AA109" s="843">
        <v>5.4200609999999996</v>
      </c>
      <c r="AB109" s="843">
        <v>5.622217</v>
      </c>
      <c r="AC109" s="843">
        <v>5.7577170000000004</v>
      </c>
      <c r="AD109" s="843">
        <v>5.8140010000000002</v>
      </c>
      <c r="AE109" s="843">
        <v>5.9051999999999998</v>
      </c>
      <c r="AF109" s="843">
        <v>6.0276690000000004</v>
      </c>
      <c r="AG109" s="843">
        <v>6.2437040000000001</v>
      </c>
      <c r="AH109" s="843">
        <v>6.4934279999999998</v>
      </c>
      <c r="AI109" s="843">
        <v>6.6170710000000001</v>
      </c>
      <c r="AJ109" s="843">
        <v>6.726566</v>
      </c>
      <c r="AK109" s="843">
        <v>6.9305599999999998</v>
      </c>
      <c r="AL109" s="843">
        <v>7.0909170000000001</v>
      </c>
      <c r="AM109" s="843">
        <v>7.286816</v>
      </c>
      <c r="AN109" s="843">
        <v>7.5708000000000002</v>
      </c>
      <c r="AO109" s="843">
        <v>7.630439</v>
      </c>
      <c r="AP109" s="843">
        <v>7.6782940000000002</v>
      </c>
      <c r="AQ109" s="843">
        <v>7.8974500000000001</v>
      </c>
      <c r="AR109" s="843">
        <v>8.1587669999999992</v>
      </c>
      <c r="BV109" s="841"/>
    </row>
    <row r="110" spans="1:104" s="838" customFormat="1">
      <c r="A110" s="838" t="s">
        <v>1078</v>
      </c>
      <c r="C110" s="840"/>
      <c r="D110" s="1021"/>
      <c r="E110" s="840"/>
      <c r="O110" s="843"/>
      <c r="P110" s="843"/>
      <c r="Q110" s="843"/>
      <c r="R110" s="843"/>
      <c r="S110" s="843"/>
      <c r="T110" s="843"/>
      <c r="U110" s="843"/>
      <c r="V110" s="843"/>
      <c r="W110" s="843"/>
      <c r="X110" s="843"/>
      <c r="Y110" s="843"/>
      <c r="Z110" s="843"/>
      <c r="AA110" s="843"/>
      <c r="AB110" s="843"/>
      <c r="AC110" s="843"/>
      <c r="AD110" s="843"/>
      <c r="AE110" s="843"/>
      <c r="AF110" s="843"/>
      <c r="AG110" s="843"/>
      <c r="AH110" s="843"/>
      <c r="AI110" s="843"/>
      <c r="AJ110" s="843"/>
      <c r="AK110" s="843"/>
      <c r="AL110" s="843"/>
      <c r="AM110" s="843"/>
      <c r="AN110" s="843"/>
      <c r="AO110" s="843"/>
      <c r="AP110" s="843"/>
      <c r="AQ110" s="843"/>
      <c r="AR110" s="843"/>
      <c r="BV110" s="841"/>
    </row>
    <row r="111" spans="1:104" s="838" customFormat="1">
      <c r="A111" s="856" t="s">
        <v>714</v>
      </c>
      <c r="C111" s="840"/>
      <c r="D111" s="1021"/>
      <c r="E111" s="840"/>
      <c r="O111" s="843">
        <v>7.1348120000000002</v>
      </c>
      <c r="P111" s="843">
        <v>7.25</v>
      </c>
      <c r="Q111" s="843">
        <v>7.4339180000000002</v>
      </c>
      <c r="R111" s="843">
        <v>7.5123340000000001</v>
      </c>
      <c r="S111" s="843">
        <v>7.7593930000000002</v>
      </c>
      <c r="T111" s="843">
        <v>7.9480709999999997</v>
      </c>
      <c r="U111" s="843">
        <v>8.0483750000000001</v>
      </c>
      <c r="V111" s="843">
        <v>8.1909299999999998</v>
      </c>
      <c r="W111" s="843">
        <v>8.3009920000000008</v>
      </c>
      <c r="X111" s="843">
        <v>8.4282590000000006</v>
      </c>
      <c r="Y111" s="843">
        <v>8.5261879999999994</v>
      </c>
      <c r="Z111" s="843">
        <v>8.6333680000000008</v>
      </c>
      <c r="AA111" s="843">
        <v>8.7384330000000006</v>
      </c>
      <c r="AB111" s="843">
        <v>8.8454820000000005</v>
      </c>
      <c r="AC111" s="843">
        <v>8.9517559999999996</v>
      </c>
      <c r="AD111" s="843">
        <v>9.0441529999999997</v>
      </c>
      <c r="AE111" s="843">
        <v>9.1489940000000001</v>
      </c>
      <c r="AF111" s="843">
        <v>9.2665970000000009</v>
      </c>
      <c r="AG111" s="843">
        <v>9.3802029999999998</v>
      </c>
      <c r="AH111" s="843">
        <v>9.5131180000000004</v>
      </c>
      <c r="AI111" s="843">
        <v>9.5927720000000001</v>
      </c>
      <c r="AJ111" s="843">
        <v>9.6736090000000008</v>
      </c>
      <c r="AK111" s="843">
        <v>9.7592280000000002</v>
      </c>
      <c r="AL111" s="843">
        <v>9.8373989999999996</v>
      </c>
      <c r="AM111" s="843">
        <v>9.9349030000000003</v>
      </c>
      <c r="AN111" s="843">
        <v>10.012817</v>
      </c>
      <c r="AO111" s="843">
        <v>10.10066</v>
      </c>
      <c r="AP111" s="843">
        <v>10.107113</v>
      </c>
      <c r="AQ111" s="843">
        <v>10.135842</v>
      </c>
      <c r="AR111" s="843">
        <v>10.197044999999999</v>
      </c>
      <c r="BV111" s="841"/>
    </row>
    <row r="112" spans="1:104" s="838" customFormat="1">
      <c r="A112" s="856" t="s">
        <v>715</v>
      </c>
      <c r="C112" s="840"/>
      <c r="D112" s="1021"/>
      <c r="E112" s="840"/>
      <c r="O112" s="843">
        <v>3.3073760000000001</v>
      </c>
      <c r="P112" s="843">
        <v>3.2396150000000001</v>
      </c>
      <c r="Q112" s="843">
        <v>3.3150900000000001</v>
      </c>
      <c r="R112" s="843">
        <v>3.2817340000000002</v>
      </c>
      <c r="S112" s="843">
        <v>3.3761420000000002</v>
      </c>
      <c r="T112" s="843">
        <v>3.437208</v>
      </c>
      <c r="U112" s="843">
        <v>3.4609869999999998</v>
      </c>
      <c r="V112" s="843">
        <v>3.5206819999999999</v>
      </c>
      <c r="W112" s="843">
        <v>3.5610849999999998</v>
      </c>
      <c r="X112" s="843">
        <v>3.5932520000000001</v>
      </c>
      <c r="Y112" s="843">
        <v>3.6143869999999998</v>
      </c>
      <c r="Z112" s="843">
        <v>3.6395840000000002</v>
      </c>
      <c r="AA112" s="843">
        <v>3.6651829999999999</v>
      </c>
      <c r="AB112" s="843">
        <v>3.697009</v>
      </c>
      <c r="AC112" s="843">
        <v>3.7274949999999998</v>
      </c>
      <c r="AD112" s="843">
        <v>3.7560980000000002</v>
      </c>
      <c r="AE112" s="843">
        <v>3.7847550000000001</v>
      </c>
      <c r="AF112" s="843">
        <v>3.8163930000000001</v>
      </c>
      <c r="AG112" s="843">
        <v>3.8450039999999999</v>
      </c>
      <c r="AH112" s="843">
        <v>3.8844850000000002</v>
      </c>
      <c r="AI112" s="843">
        <v>3.9155440000000001</v>
      </c>
      <c r="AJ112" s="843">
        <v>3.944798</v>
      </c>
      <c r="AK112" s="843">
        <v>3.9761479999999998</v>
      </c>
      <c r="AL112" s="843">
        <v>4.0004489999999997</v>
      </c>
      <c r="AM112" s="843">
        <v>4.0294249999999998</v>
      </c>
      <c r="AN112" s="843">
        <v>4.0600360000000002</v>
      </c>
      <c r="AO112" s="843">
        <v>4.0903939999999999</v>
      </c>
      <c r="AP112" s="843">
        <v>4.1171660000000001</v>
      </c>
      <c r="AQ112" s="843">
        <v>4.1493070000000003</v>
      </c>
      <c r="AR112" s="843">
        <v>4.1898999999999997</v>
      </c>
      <c r="BV112" s="841"/>
    </row>
    <row r="113" spans="1:74" s="838" customFormat="1">
      <c r="A113" s="842" t="s">
        <v>1084</v>
      </c>
      <c r="C113" s="840"/>
      <c r="D113" s="1021"/>
      <c r="E113" s="840"/>
      <c r="O113" s="843">
        <v>2.4223750000000002</v>
      </c>
      <c r="P113" s="843">
        <v>2.39</v>
      </c>
      <c r="Q113" s="843">
        <v>2.37385</v>
      </c>
      <c r="R113" s="843">
        <v>2.329834</v>
      </c>
      <c r="S113" s="843">
        <v>2.4039359999999999</v>
      </c>
      <c r="T113" s="843">
        <v>2.422212</v>
      </c>
      <c r="U113" s="843">
        <v>2.4863749999999998</v>
      </c>
      <c r="V113" s="843">
        <v>2.5503130000000001</v>
      </c>
      <c r="W113" s="843">
        <v>2.589102</v>
      </c>
      <c r="X113" s="843">
        <v>2.6113439999999999</v>
      </c>
      <c r="Y113" s="843">
        <v>2.6429999999999998</v>
      </c>
      <c r="Z113" s="843">
        <v>2.675691</v>
      </c>
      <c r="AA113" s="843">
        <v>2.7024710000000001</v>
      </c>
      <c r="AB113" s="843">
        <v>2.7390279999999998</v>
      </c>
      <c r="AC113" s="843">
        <v>2.7738589999999999</v>
      </c>
      <c r="AD113" s="843">
        <v>2.807261</v>
      </c>
      <c r="AE113" s="843">
        <v>2.8368190000000002</v>
      </c>
      <c r="AF113" s="843">
        <v>2.8649870000000002</v>
      </c>
      <c r="AG113" s="843">
        <v>2.8913859999999998</v>
      </c>
      <c r="AH113" s="843">
        <v>2.9256030000000002</v>
      </c>
      <c r="AI113" s="843">
        <v>2.9494180000000001</v>
      </c>
      <c r="AJ113" s="843">
        <v>2.9743849999999998</v>
      </c>
      <c r="AK113" s="843">
        <v>3.0006210000000002</v>
      </c>
      <c r="AL113" s="843">
        <v>3.0244930000000001</v>
      </c>
      <c r="AM113" s="843">
        <v>3.050074</v>
      </c>
      <c r="AN113" s="843">
        <v>3.076149</v>
      </c>
      <c r="AO113" s="843">
        <v>3.099027</v>
      </c>
      <c r="AP113" s="843">
        <v>3.1208209999999998</v>
      </c>
      <c r="AQ113" s="843">
        <v>3.153797</v>
      </c>
      <c r="AR113" s="843">
        <v>3.1896749999999998</v>
      </c>
      <c r="BV113" s="841"/>
    </row>
    <row r="114" spans="1:74" s="838" customFormat="1">
      <c r="A114" s="842" t="s">
        <v>681</v>
      </c>
      <c r="C114" s="840"/>
      <c r="D114" s="1021"/>
      <c r="E114" s="840"/>
      <c r="O114" s="843">
        <v>30.531154999999998</v>
      </c>
      <c r="P114" s="843">
        <v>29.553346999999999</v>
      </c>
      <c r="Q114" s="843">
        <v>29.462689999999998</v>
      </c>
      <c r="R114" s="843">
        <v>29.619807999999999</v>
      </c>
      <c r="S114" s="843">
        <v>29.992000999999998</v>
      </c>
      <c r="T114" s="843">
        <v>30.137812</v>
      </c>
      <c r="U114" s="843">
        <v>30.368880999999998</v>
      </c>
      <c r="V114" s="843">
        <v>30.723389000000001</v>
      </c>
      <c r="W114" s="843">
        <v>31.014326000000001</v>
      </c>
      <c r="X114" s="843">
        <v>30.799534000000001</v>
      </c>
      <c r="Y114" s="843">
        <v>30.631943</v>
      </c>
      <c r="Z114" s="843">
        <v>30.294862999999999</v>
      </c>
      <c r="AA114" s="843">
        <v>30.159492</v>
      </c>
      <c r="AB114" s="843">
        <v>30.497467</v>
      </c>
      <c r="AC114" s="843">
        <v>30.549484</v>
      </c>
      <c r="AD114" s="843">
        <v>30.628119000000002</v>
      </c>
      <c r="AE114" s="843">
        <v>30.831617000000001</v>
      </c>
      <c r="AF114" s="843">
        <v>30.906943999999999</v>
      </c>
      <c r="AG114" s="843">
        <v>31.016119</v>
      </c>
      <c r="AH114" s="843">
        <v>31.259630000000001</v>
      </c>
      <c r="AI114" s="843">
        <v>31.506346000000001</v>
      </c>
      <c r="AJ114" s="843">
        <v>31.548763000000001</v>
      </c>
      <c r="AK114" s="843">
        <v>31.537307999999999</v>
      </c>
      <c r="AL114" s="843">
        <v>31.727125000000001</v>
      </c>
      <c r="AM114" s="843">
        <v>31.983875000000001</v>
      </c>
      <c r="AN114" s="843">
        <v>32.252009999999999</v>
      </c>
      <c r="AO114" s="843">
        <v>32.456364000000001</v>
      </c>
      <c r="AP114" s="843">
        <v>32.526015999999998</v>
      </c>
      <c r="AQ114" s="843">
        <v>32.747635000000002</v>
      </c>
      <c r="AR114" s="843">
        <v>33.007354999999997</v>
      </c>
      <c r="BV114" s="841"/>
    </row>
    <row r="115" spans="1:74" s="838" customFormat="1">
      <c r="A115" s="842" t="s">
        <v>696</v>
      </c>
      <c r="C115" s="840"/>
      <c r="D115" s="1021"/>
      <c r="E115" s="840"/>
      <c r="O115" s="843">
        <v>20.348036</v>
      </c>
      <c r="P115" s="843">
        <v>19.495602000000002</v>
      </c>
      <c r="Q115" s="843">
        <v>20.081951</v>
      </c>
      <c r="R115" s="843">
        <v>19.872589000000001</v>
      </c>
      <c r="S115" s="843">
        <v>20.106300000000001</v>
      </c>
      <c r="T115" s="843">
        <v>20.110336</v>
      </c>
      <c r="U115" s="843">
        <v>20.286434</v>
      </c>
      <c r="V115" s="843">
        <v>20.591933999999998</v>
      </c>
      <c r="W115" s="843">
        <v>20.859487999999999</v>
      </c>
      <c r="X115" s="843">
        <v>20.769625000000001</v>
      </c>
      <c r="Y115" s="843">
        <v>20.751276000000001</v>
      </c>
      <c r="Z115" s="843">
        <v>20.654140000000002</v>
      </c>
      <c r="AA115" s="843">
        <v>20.663025000000001</v>
      </c>
      <c r="AB115" s="843">
        <v>20.946209</v>
      </c>
      <c r="AC115" s="843">
        <v>21.079236999999999</v>
      </c>
      <c r="AD115" s="843">
        <v>21.236912</v>
      </c>
      <c r="AE115" s="843">
        <v>21.461658</v>
      </c>
      <c r="AF115" s="843">
        <v>21.586451</v>
      </c>
      <c r="AG115" s="843">
        <v>21.737777999999999</v>
      </c>
      <c r="AH115" s="843">
        <v>21.988303999999999</v>
      </c>
      <c r="AI115" s="843">
        <v>22.237325999999999</v>
      </c>
      <c r="AJ115" s="843">
        <v>22.342414999999999</v>
      </c>
      <c r="AK115" s="843">
        <v>22.437189</v>
      </c>
      <c r="AL115" s="843">
        <v>22.654578999999998</v>
      </c>
      <c r="AM115" s="843">
        <v>22.911854000000002</v>
      </c>
      <c r="AN115" s="843">
        <v>23.191139</v>
      </c>
      <c r="AO115" s="843">
        <v>23.409314999999999</v>
      </c>
      <c r="AP115" s="843">
        <v>23.521646</v>
      </c>
      <c r="AQ115" s="843">
        <v>23.76399</v>
      </c>
      <c r="AR115" s="843">
        <v>24.052772999999998</v>
      </c>
      <c r="BV115" s="841"/>
    </row>
    <row r="116" spans="1:74" s="838" customFormat="1" ht="14" thickBot="1">
      <c r="A116" s="845" t="s">
        <v>682</v>
      </c>
      <c r="B116" s="846"/>
      <c r="C116" s="847"/>
      <c r="D116" s="847"/>
      <c r="E116" s="847"/>
      <c r="F116" s="846"/>
      <c r="G116" s="846"/>
      <c r="H116" s="846"/>
      <c r="I116" s="846"/>
      <c r="J116" s="846"/>
      <c r="K116" s="846"/>
      <c r="L116" s="846"/>
      <c r="M116" s="846"/>
      <c r="N116" s="846"/>
      <c r="O116" s="848">
        <v>34.952885000000002</v>
      </c>
      <c r="P116" s="848">
        <v>34.831184</v>
      </c>
      <c r="Q116" s="848">
        <v>34.015979999999999</v>
      </c>
      <c r="R116" s="848">
        <v>34.409668000000003</v>
      </c>
      <c r="S116" s="848">
        <v>34.941752999999999</v>
      </c>
      <c r="T116" s="848">
        <v>35.163139000000001</v>
      </c>
      <c r="U116" s="848">
        <v>35.519157</v>
      </c>
      <c r="V116" s="848">
        <v>35.913296000000003</v>
      </c>
      <c r="W116" s="848">
        <v>36.178234000000003</v>
      </c>
      <c r="X116" s="848">
        <v>36.146892999999999</v>
      </c>
      <c r="Y116" s="848">
        <v>36.061802</v>
      </c>
      <c r="Z116" s="848">
        <v>35.804130999999998</v>
      </c>
      <c r="AA116" s="848">
        <v>35.695621000000003</v>
      </c>
      <c r="AB116" s="848">
        <v>36.040774999999996</v>
      </c>
      <c r="AC116" s="848">
        <v>36.141415000000002</v>
      </c>
      <c r="AD116" s="848">
        <v>36.246937000000003</v>
      </c>
      <c r="AE116" s="848">
        <v>36.470740999999997</v>
      </c>
      <c r="AF116" s="848">
        <v>36.579631999999997</v>
      </c>
      <c r="AG116" s="848">
        <v>36.725307000000001</v>
      </c>
      <c r="AH116" s="848">
        <v>36.981831</v>
      </c>
      <c r="AI116" s="848">
        <v>37.256236999999999</v>
      </c>
      <c r="AJ116" s="848">
        <v>37.335673999999997</v>
      </c>
      <c r="AK116" s="848">
        <v>37.369007000000003</v>
      </c>
      <c r="AL116" s="848">
        <v>37.567386999999997</v>
      </c>
      <c r="AM116" s="848">
        <v>37.817901999999997</v>
      </c>
      <c r="AN116" s="848">
        <v>38.082256000000001</v>
      </c>
      <c r="AO116" s="848">
        <v>38.298912000000001</v>
      </c>
      <c r="AP116" s="848">
        <v>38.369354000000001</v>
      </c>
      <c r="AQ116" s="848">
        <v>38.582217999999997</v>
      </c>
      <c r="AR116" s="848">
        <v>38.834609999999998</v>
      </c>
      <c r="AS116" s="846"/>
      <c r="AT116" s="846"/>
      <c r="AU116" s="846"/>
      <c r="AV116" s="846"/>
      <c r="AW116" s="846"/>
      <c r="AX116" s="846"/>
      <c r="AY116" s="846"/>
      <c r="AZ116" s="846"/>
      <c r="BA116" s="846"/>
      <c r="BB116" s="846"/>
      <c r="BC116" s="846"/>
      <c r="BD116" s="846"/>
      <c r="BE116" s="846"/>
      <c r="BF116" s="846"/>
      <c r="BG116" s="846"/>
      <c r="BH116" s="846"/>
      <c r="BI116" s="846"/>
      <c r="BJ116" s="846"/>
      <c r="BK116" s="846"/>
      <c r="BL116" s="846"/>
      <c r="BM116" s="846"/>
      <c r="BN116" s="846"/>
      <c r="BO116" s="846"/>
      <c r="BP116" s="846"/>
      <c r="BQ116" s="846"/>
      <c r="BR116" s="846"/>
      <c r="BS116" s="846"/>
      <c r="BT116" s="846"/>
      <c r="BU116" s="846"/>
      <c r="BV116" s="849"/>
    </row>
    <row r="129" spans="1:104" ht="14" thickBot="1"/>
    <row r="130" spans="1:104">
      <c r="A130" s="1131" t="s">
        <v>1286</v>
      </c>
      <c r="B130" s="1132" t="s">
        <v>1285</v>
      </c>
      <c r="C130" s="1132"/>
      <c r="D130" s="1133"/>
      <c r="E130" s="1132"/>
      <c r="F130" s="807"/>
      <c r="G130" s="807"/>
      <c r="H130" s="807"/>
      <c r="I130" s="807"/>
      <c r="J130" s="807"/>
      <c r="K130" s="807"/>
      <c r="L130" s="807"/>
      <c r="M130" s="807"/>
      <c r="N130" s="807"/>
      <c r="O130" s="807"/>
      <c r="P130" s="807"/>
      <c r="Q130" s="807"/>
      <c r="R130" s="807"/>
      <c r="S130" s="807"/>
      <c r="T130" s="807"/>
      <c r="U130" s="807"/>
      <c r="V130" s="807"/>
      <c r="W130" s="807"/>
      <c r="X130" s="807"/>
      <c r="Y130" s="807"/>
      <c r="Z130" s="807"/>
      <c r="AA130" s="807"/>
      <c r="AB130" s="807"/>
      <c r="AC130" s="807"/>
      <c r="AD130" s="807"/>
      <c r="AE130" s="807"/>
      <c r="AF130" s="807"/>
      <c r="AG130" s="807"/>
      <c r="AH130" s="807"/>
      <c r="AI130" s="807"/>
      <c r="AJ130" s="807"/>
      <c r="AK130" s="807"/>
      <c r="AL130" s="807"/>
      <c r="AM130" s="807"/>
      <c r="AN130" s="807"/>
      <c r="AO130" s="807"/>
      <c r="AP130" s="807"/>
      <c r="AQ130" s="807"/>
      <c r="AR130" s="807"/>
      <c r="AS130" s="807"/>
      <c r="AT130" s="807"/>
      <c r="AU130" s="807"/>
      <c r="AV130" s="807"/>
      <c r="AW130" s="807"/>
      <c r="AX130" s="807"/>
      <c r="AY130" s="807"/>
      <c r="AZ130" s="807"/>
      <c r="BA130" s="807"/>
      <c r="BB130" s="1134" t="s">
        <v>1287</v>
      </c>
      <c r="BC130" s="1135"/>
      <c r="BD130" s="1135"/>
      <c r="BE130" s="1135"/>
      <c r="BF130" s="1135"/>
      <c r="BG130" s="1135"/>
      <c r="BH130" s="1135"/>
      <c r="BI130" s="1135"/>
      <c r="BJ130" s="1135"/>
      <c r="BK130" s="1135"/>
      <c r="BL130" s="1135"/>
      <c r="BM130" s="1135"/>
      <c r="BN130" s="1135"/>
      <c r="BO130" s="1135"/>
      <c r="BP130" s="1135"/>
      <c r="BQ130" s="1135"/>
      <c r="BR130" s="1135"/>
      <c r="BS130" s="1135"/>
      <c r="BT130" s="1135"/>
      <c r="BU130" s="1135"/>
      <c r="BV130" s="1135"/>
      <c r="BW130" s="1135"/>
      <c r="BX130" s="1135"/>
      <c r="BY130" s="1135"/>
      <c r="BZ130" s="1135"/>
      <c r="CA130" s="1135"/>
      <c r="CB130" s="1135"/>
      <c r="CC130" s="1135"/>
      <c r="CD130" s="1135"/>
      <c r="CE130" s="1135"/>
      <c r="CF130" s="1135"/>
      <c r="CG130" s="1135"/>
      <c r="CH130" s="1135"/>
      <c r="CI130" s="1135"/>
      <c r="CJ130" s="1135"/>
      <c r="CK130" s="1135"/>
      <c r="CL130" s="1135"/>
      <c r="CM130" s="1135"/>
      <c r="CN130" s="1135"/>
      <c r="CO130" s="1135"/>
      <c r="CP130" s="1135"/>
      <c r="CQ130" s="1135"/>
      <c r="CR130" s="1135"/>
      <c r="CS130" s="1135"/>
      <c r="CT130" s="1135"/>
      <c r="CU130" s="1135"/>
      <c r="CV130" s="1135"/>
      <c r="CW130" s="1135"/>
      <c r="CX130" s="1135"/>
      <c r="CY130" s="1135"/>
      <c r="CZ130" s="1136"/>
    </row>
    <row r="131" spans="1:104" ht="43" thickBot="1">
      <c r="A131" s="504" t="s">
        <v>1081</v>
      </c>
      <c r="B131" s="902" t="s">
        <v>676</v>
      </c>
      <c r="C131" s="902" t="s">
        <v>677</v>
      </c>
      <c r="D131" s="1024" t="s">
        <v>688</v>
      </c>
      <c r="E131" s="902" t="s">
        <v>689</v>
      </c>
      <c r="F131" s="505" t="s">
        <v>678</v>
      </c>
      <c r="G131" s="505" t="s">
        <v>690</v>
      </c>
      <c r="H131" s="1">
        <v>2004</v>
      </c>
      <c r="I131" s="1">
        <f>+H131+1</f>
        <v>2005</v>
      </c>
      <c r="J131" s="1">
        <f t="shared" ref="J131:BU131" si="149">+I131+1</f>
        <v>2006</v>
      </c>
      <c r="K131" s="1">
        <f t="shared" si="149"/>
        <v>2007</v>
      </c>
      <c r="L131" s="1">
        <f t="shared" si="149"/>
        <v>2008</v>
      </c>
      <c r="M131" s="1">
        <f t="shared" si="149"/>
        <v>2009</v>
      </c>
      <c r="N131" s="1">
        <f t="shared" si="149"/>
        <v>2010</v>
      </c>
      <c r="O131" s="1">
        <f t="shared" si="149"/>
        <v>2011</v>
      </c>
      <c r="P131" s="1">
        <f t="shared" si="149"/>
        <v>2012</v>
      </c>
      <c r="Q131" s="1">
        <f t="shared" si="149"/>
        <v>2013</v>
      </c>
      <c r="R131" s="1">
        <f t="shared" si="149"/>
        <v>2014</v>
      </c>
      <c r="S131" s="1">
        <f t="shared" si="149"/>
        <v>2015</v>
      </c>
      <c r="T131" s="1">
        <f t="shared" si="149"/>
        <v>2016</v>
      </c>
      <c r="U131" s="1">
        <f t="shared" si="149"/>
        <v>2017</v>
      </c>
      <c r="V131" s="1">
        <f t="shared" si="149"/>
        <v>2018</v>
      </c>
      <c r="W131" s="1">
        <f t="shared" si="149"/>
        <v>2019</v>
      </c>
      <c r="X131" s="1">
        <f t="shared" si="149"/>
        <v>2020</v>
      </c>
      <c r="Y131" s="1">
        <f t="shared" si="149"/>
        <v>2021</v>
      </c>
      <c r="Z131" s="1">
        <f t="shared" si="149"/>
        <v>2022</v>
      </c>
      <c r="AA131" s="1">
        <f t="shared" si="149"/>
        <v>2023</v>
      </c>
      <c r="AB131" s="1">
        <f t="shared" si="149"/>
        <v>2024</v>
      </c>
      <c r="AC131" s="1">
        <f t="shared" si="149"/>
        <v>2025</v>
      </c>
      <c r="AD131" s="1">
        <f t="shared" si="149"/>
        <v>2026</v>
      </c>
      <c r="AE131" s="1">
        <f t="shared" si="149"/>
        <v>2027</v>
      </c>
      <c r="AF131" s="1">
        <f t="shared" si="149"/>
        <v>2028</v>
      </c>
      <c r="AG131" s="1">
        <f t="shared" si="149"/>
        <v>2029</v>
      </c>
      <c r="AH131" s="1">
        <f t="shared" si="149"/>
        <v>2030</v>
      </c>
      <c r="AI131" s="1">
        <f t="shared" si="149"/>
        <v>2031</v>
      </c>
      <c r="AJ131" s="1">
        <f t="shared" si="149"/>
        <v>2032</v>
      </c>
      <c r="AK131" s="1">
        <f t="shared" si="149"/>
        <v>2033</v>
      </c>
      <c r="AL131" s="1">
        <f t="shared" si="149"/>
        <v>2034</v>
      </c>
      <c r="AM131" s="1">
        <f t="shared" si="149"/>
        <v>2035</v>
      </c>
      <c r="AN131" s="1">
        <f t="shared" si="149"/>
        <v>2036</v>
      </c>
      <c r="AO131" s="1">
        <f t="shared" si="149"/>
        <v>2037</v>
      </c>
      <c r="AP131" s="1">
        <f t="shared" si="149"/>
        <v>2038</v>
      </c>
      <c r="AQ131" s="1">
        <f t="shared" si="149"/>
        <v>2039</v>
      </c>
      <c r="AR131" s="1">
        <f t="shared" si="149"/>
        <v>2040</v>
      </c>
      <c r="AS131" s="1">
        <f t="shared" si="149"/>
        <v>2041</v>
      </c>
      <c r="AT131" s="1">
        <f t="shared" si="149"/>
        <v>2042</v>
      </c>
      <c r="AU131" s="1">
        <f t="shared" si="149"/>
        <v>2043</v>
      </c>
      <c r="AV131" s="1">
        <f t="shared" si="149"/>
        <v>2044</v>
      </c>
      <c r="AW131" s="1">
        <f t="shared" si="149"/>
        <v>2045</v>
      </c>
      <c r="AX131" s="1">
        <f t="shared" si="149"/>
        <v>2046</v>
      </c>
      <c r="AY131" s="1">
        <f t="shared" si="149"/>
        <v>2047</v>
      </c>
      <c r="AZ131" s="1">
        <f t="shared" si="149"/>
        <v>2048</v>
      </c>
      <c r="BA131" s="1">
        <f t="shared" si="149"/>
        <v>2049</v>
      </c>
      <c r="BB131" s="1">
        <f t="shared" si="149"/>
        <v>2050</v>
      </c>
      <c r="BC131" s="1">
        <f t="shared" si="149"/>
        <v>2051</v>
      </c>
      <c r="BD131" s="1">
        <f t="shared" si="149"/>
        <v>2052</v>
      </c>
      <c r="BE131" s="1">
        <f t="shared" si="149"/>
        <v>2053</v>
      </c>
      <c r="BF131" s="1">
        <f t="shared" si="149"/>
        <v>2054</v>
      </c>
      <c r="BG131" s="1">
        <f t="shared" si="149"/>
        <v>2055</v>
      </c>
      <c r="BH131" s="1">
        <f t="shared" si="149"/>
        <v>2056</v>
      </c>
      <c r="BI131" s="1">
        <f t="shared" si="149"/>
        <v>2057</v>
      </c>
      <c r="BJ131" s="1">
        <f t="shared" si="149"/>
        <v>2058</v>
      </c>
      <c r="BK131" s="1">
        <f t="shared" si="149"/>
        <v>2059</v>
      </c>
      <c r="BL131" s="1">
        <f t="shared" si="149"/>
        <v>2060</v>
      </c>
      <c r="BM131" s="1">
        <f t="shared" si="149"/>
        <v>2061</v>
      </c>
      <c r="BN131" s="1">
        <f t="shared" si="149"/>
        <v>2062</v>
      </c>
      <c r="BO131" s="1">
        <f t="shared" si="149"/>
        <v>2063</v>
      </c>
      <c r="BP131" s="1">
        <f t="shared" si="149"/>
        <v>2064</v>
      </c>
      <c r="BQ131" s="1">
        <f t="shared" si="149"/>
        <v>2065</v>
      </c>
      <c r="BR131" s="1">
        <f t="shared" si="149"/>
        <v>2066</v>
      </c>
      <c r="BS131" s="1">
        <f t="shared" si="149"/>
        <v>2067</v>
      </c>
      <c r="BT131" s="1">
        <f t="shared" si="149"/>
        <v>2068</v>
      </c>
      <c r="BU131" s="1">
        <f t="shared" si="149"/>
        <v>2069</v>
      </c>
      <c r="BV131" s="1">
        <f t="shared" ref="BV131:CZ131" si="150">+BU131+1</f>
        <v>2070</v>
      </c>
      <c r="BW131" s="1">
        <f t="shared" si="150"/>
        <v>2071</v>
      </c>
      <c r="BX131" s="1">
        <f t="shared" si="150"/>
        <v>2072</v>
      </c>
      <c r="BY131" s="1">
        <f t="shared" si="150"/>
        <v>2073</v>
      </c>
      <c r="BZ131" s="1">
        <f t="shared" si="150"/>
        <v>2074</v>
      </c>
      <c r="CA131" s="1">
        <f t="shared" si="150"/>
        <v>2075</v>
      </c>
      <c r="CB131" s="1">
        <f t="shared" si="150"/>
        <v>2076</v>
      </c>
      <c r="CC131" s="1">
        <f t="shared" si="150"/>
        <v>2077</v>
      </c>
      <c r="CD131" s="1">
        <f t="shared" si="150"/>
        <v>2078</v>
      </c>
      <c r="CE131" s="1">
        <f t="shared" si="150"/>
        <v>2079</v>
      </c>
      <c r="CF131" s="1">
        <f t="shared" si="150"/>
        <v>2080</v>
      </c>
      <c r="CG131" s="1">
        <f t="shared" si="150"/>
        <v>2081</v>
      </c>
      <c r="CH131" s="1">
        <f t="shared" si="150"/>
        <v>2082</v>
      </c>
      <c r="CI131" s="1">
        <f t="shared" si="150"/>
        <v>2083</v>
      </c>
      <c r="CJ131" s="1">
        <f t="shared" si="150"/>
        <v>2084</v>
      </c>
      <c r="CK131" s="1">
        <f t="shared" si="150"/>
        <v>2085</v>
      </c>
      <c r="CL131" s="1">
        <f t="shared" si="150"/>
        <v>2086</v>
      </c>
      <c r="CM131" s="1">
        <f t="shared" si="150"/>
        <v>2087</v>
      </c>
      <c r="CN131" s="1">
        <f t="shared" si="150"/>
        <v>2088</v>
      </c>
      <c r="CO131" s="1">
        <f t="shared" si="150"/>
        <v>2089</v>
      </c>
      <c r="CP131" s="1">
        <f t="shared" si="150"/>
        <v>2090</v>
      </c>
      <c r="CQ131" s="1">
        <f t="shared" si="150"/>
        <v>2091</v>
      </c>
      <c r="CR131" s="1">
        <f t="shared" si="150"/>
        <v>2092</v>
      </c>
      <c r="CS131" s="1">
        <f t="shared" si="150"/>
        <v>2093</v>
      </c>
      <c r="CT131" s="1">
        <f t="shared" si="150"/>
        <v>2094</v>
      </c>
      <c r="CU131" s="1">
        <f t="shared" si="150"/>
        <v>2095</v>
      </c>
      <c r="CV131" s="1">
        <f t="shared" si="150"/>
        <v>2096</v>
      </c>
      <c r="CW131" s="1">
        <f t="shared" si="150"/>
        <v>2097</v>
      </c>
      <c r="CX131" s="1">
        <f t="shared" si="150"/>
        <v>2098</v>
      </c>
      <c r="CY131" s="1">
        <f t="shared" si="150"/>
        <v>2099</v>
      </c>
      <c r="CZ131" s="1137">
        <f t="shared" si="150"/>
        <v>2100</v>
      </c>
    </row>
    <row r="132" spans="1:104" ht="14" thickBot="1">
      <c r="A132" s="1138" t="s">
        <v>1087</v>
      </c>
      <c r="B132" s="735"/>
      <c r="C132" s="735"/>
      <c r="D132" s="1025"/>
      <c r="E132" s="735"/>
      <c r="F132" s="735"/>
      <c r="G132" s="735"/>
      <c r="H132" s="807"/>
      <c r="I132" s="807"/>
      <c r="J132" s="807"/>
      <c r="K132" s="807"/>
      <c r="L132" s="807"/>
      <c r="M132" s="807"/>
      <c r="N132" s="807"/>
      <c r="O132" s="807"/>
      <c r="P132" s="807"/>
      <c r="Q132" s="807"/>
      <c r="R132" s="807"/>
      <c r="S132" s="807"/>
      <c r="T132" s="807"/>
      <c r="U132" s="807"/>
      <c r="V132" s="807"/>
      <c r="W132" s="807"/>
      <c r="X132" s="807"/>
      <c r="Y132" s="807"/>
      <c r="Z132" s="807"/>
      <c r="AA132" s="807"/>
      <c r="AB132" s="807"/>
      <c r="AC132" s="807"/>
      <c r="AD132" s="807"/>
      <c r="AE132" s="807"/>
      <c r="AF132" s="807"/>
      <c r="AG132" s="807"/>
      <c r="AH132" s="807"/>
      <c r="AI132" s="807"/>
      <c r="AJ132" s="807"/>
      <c r="AK132" s="807"/>
      <c r="AL132" s="807"/>
      <c r="AM132" s="807"/>
      <c r="AN132" s="807"/>
      <c r="AO132" s="807"/>
      <c r="AP132" s="807"/>
      <c r="AQ132" s="807"/>
      <c r="AR132" s="807"/>
      <c r="AS132" s="807"/>
      <c r="AT132" s="807"/>
      <c r="AU132" s="807"/>
      <c r="AV132" s="807"/>
      <c r="AW132" s="807"/>
      <c r="AX132" s="807"/>
      <c r="AY132" s="807"/>
      <c r="AZ132" s="807"/>
      <c r="BA132" s="807"/>
      <c r="BB132" s="807"/>
      <c r="BC132" s="807"/>
      <c r="BD132" s="807"/>
      <c r="BE132" s="807"/>
      <c r="BF132" s="807"/>
      <c r="BG132" s="807"/>
      <c r="BH132" s="807"/>
      <c r="BI132" s="807"/>
      <c r="BJ132" s="807"/>
      <c r="BK132" s="807"/>
      <c r="BL132" s="807"/>
      <c r="BM132" s="807"/>
      <c r="BN132" s="807"/>
      <c r="BO132" s="807"/>
      <c r="BP132" s="807"/>
      <c r="BQ132" s="807"/>
      <c r="BR132" s="807"/>
      <c r="BS132" s="807"/>
      <c r="BT132" s="807"/>
      <c r="BU132" s="807"/>
      <c r="BV132" s="807"/>
      <c r="BW132" s="807"/>
      <c r="BX132" s="807"/>
      <c r="BY132" s="807"/>
      <c r="BZ132" s="807"/>
      <c r="CA132" s="807"/>
      <c r="CB132" s="807"/>
      <c r="CC132" s="807"/>
      <c r="CD132" s="807"/>
      <c r="CE132" s="807"/>
      <c r="CF132" s="807"/>
      <c r="CG132" s="807"/>
      <c r="CH132" s="807"/>
      <c r="CI132" s="807"/>
      <c r="CJ132" s="807"/>
      <c r="CK132" s="807"/>
      <c r="CL132" s="807"/>
      <c r="CM132" s="807"/>
      <c r="CN132" s="807"/>
      <c r="CO132" s="807"/>
      <c r="CP132" s="807"/>
      <c r="CQ132" s="807"/>
      <c r="CR132" s="807"/>
      <c r="CS132" s="807"/>
      <c r="CT132" s="807"/>
      <c r="CU132" s="807"/>
      <c r="CV132" s="807"/>
      <c r="CW132" s="807"/>
      <c r="CX132" s="807"/>
      <c r="CY132" s="807"/>
      <c r="CZ132" s="1139"/>
    </row>
    <row r="133" spans="1:104">
      <c r="A133" s="1140" t="s">
        <v>679</v>
      </c>
      <c r="B133">
        <v>2016</v>
      </c>
      <c r="C133" s="738">
        <f t="shared" ref="C133:C141" si="151">VLOOKUP(ref_year,DeflatorTable,2,FALSE)/VLOOKUP(B133,DeflatorTable,2,FALSE)</f>
        <v>1</v>
      </c>
      <c r="D133" s="1026" t="s">
        <v>861</v>
      </c>
      <c r="E133" s="738" t="s">
        <v>1055</v>
      </c>
      <c r="F133">
        <v>47.141269049911173</v>
      </c>
      <c r="G133">
        <v>52.224661236371581</v>
      </c>
      <c r="H133" s="851">
        <v>13.604875014867702</v>
      </c>
      <c r="I133" s="851">
        <v>15.571757228276402</v>
      </c>
      <c r="J133" s="851">
        <v>16.331995797204218</v>
      </c>
      <c r="K133" s="851">
        <v>15.155672177020728</v>
      </c>
      <c r="L133" s="851">
        <v>15.783516201764996</v>
      </c>
      <c r="M133" s="851">
        <v>13.69149010361817</v>
      </c>
      <c r="N133" s="851">
        <v>12.691188457250465</v>
      </c>
      <c r="O133" s="807">
        <v>12.04142243701838</v>
      </c>
      <c r="P133" s="807">
        <v>11.415954621928984</v>
      </c>
      <c r="Q133" s="807">
        <v>10.886628367710442</v>
      </c>
      <c r="R133" s="807">
        <v>11.368469484946878</v>
      </c>
      <c r="S133" s="807">
        <v>9.7183315387998359</v>
      </c>
      <c r="T133" s="807">
        <v>9.390001099467705</v>
      </c>
      <c r="U133" s="807">
        <v>10.023002570479671</v>
      </c>
      <c r="V133" s="807">
        <v>10.033707215541167</v>
      </c>
      <c r="W133" s="807">
        <v>10.158951752324048</v>
      </c>
      <c r="X133" s="807">
        <v>10.289627280447673</v>
      </c>
      <c r="Y133" s="807">
        <v>10.38663350570965</v>
      </c>
      <c r="Z133" s="807">
        <v>10.458822090960101</v>
      </c>
      <c r="AA133" s="807">
        <v>10.541361785535555</v>
      </c>
      <c r="AB133" s="807">
        <v>10.671303703310535</v>
      </c>
      <c r="AC133" s="807">
        <v>10.821196220864106</v>
      </c>
      <c r="AD133" s="807">
        <v>10.961130973142659</v>
      </c>
      <c r="AE133" s="807">
        <v>11.387951919139837</v>
      </c>
      <c r="AF133" s="807">
        <v>11.524366479125279</v>
      </c>
      <c r="AG133" s="807">
        <v>11.653679994237272</v>
      </c>
      <c r="AH133" s="807">
        <v>11.727599293307653</v>
      </c>
      <c r="AI133" s="807">
        <v>11.827238554162054</v>
      </c>
      <c r="AJ133" s="807">
        <v>11.877874728924342</v>
      </c>
      <c r="AK133" s="807">
        <v>11.891573527850655</v>
      </c>
      <c r="AL133" s="807">
        <v>11.9827791131466</v>
      </c>
      <c r="AM133" s="807">
        <v>12.163475682807357</v>
      </c>
      <c r="AN133" s="807">
        <v>12.259449735369497</v>
      </c>
      <c r="AO133" s="807">
        <v>12.356256919064013</v>
      </c>
      <c r="AP133" s="807">
        <v>12.41256198723101</v>
      </c>
      <c r="AQ133" s="807">
        <v>12.490714236969412</v>
      </c>
      <c r="AR133" s="807">
        <v>12.496378391289182</v>
      </c>
      <c r="AS133" s="807">
        <v>12.55376491863939</v>
      </c>
      <c r="AT133" s="807">
        <v>12.651412816002184</v>
      </c>
      <c r="AU133" s="807">
        <v>12.770777096192051</v>
      </c>
      <c r="AV133" s="807">
        <v>12.886454368298935</v>
      </c>
      <c r="AW133" s="807">
        <v>13.010888521557151</v>
      </c>
      <c r="AX133" s="807">
        <v>13.118997475015544</v>
      </c>
      <c r="AY133" s="807">
        <v>13.217679440712152</v>
      </c>
      <c r="AZ133" s="807">
        <v>13.363983523149482</v>
      </c>
      <c r="BA133" s="807">
        <v>13.453606254075613</v>
      </c>
      <c r="BB133" s="807">
        <v>13.593337225701765</v>
      </c>
      <c r="BC133" s="807">
        <v>13.668907227280409</v>
      </c>
      <c r="BD133" s="807">
        <v>13.744897348292845</v>
      </c>
      <c r="BE133" s="807">
        <v>13.821309924326409</v>
      </c>
      <c r="BF133" s="807">
        <v>13.898147303952761</v>
      </c>
      <c r="BG133" s="807">
        <v>13.975411848800078</v>
      </c>
      <c r="BH133" s="807">
        <v>14.050424531225174</v>
      </c>
      <c r="BI133" s="807">
        <v>14.12583984239463</v>
      </c>
      <c r="BJ133" s="807">
        <v>14.201659943408417</v>
      </c>
      <c r="BK133" s="807">
        <v>14.277887006966159</v>
      </c>
      <c r="BL133" s="807">
        <v>14.354523217429389</v>
      </c>
      <c r="BM133" s="807">
        <v>14.422221698840277</v>
      </c>
      <c r="BN133" s="807">
        <v>14.490239458315362</v>
      </c>
      <c r="BO133" s="807">
        <v>14.558578001626712</v>
      </c>
      <c r="BP133" s="807">
        <v>14.627238841647882</v>
      </c>
      <c r="BQ133" s="807">
        <v>14.696223498387408</v>
      </c>
      <c r="BR133" s="807">
        <v>14.75529333521281</v>
      </c>
      <c r="BS133" s="807">
        <v>14.814600596681556</v>
      </c>
      <c r="BT133" s="807">
        <v>14.874146237095607</v>
      </c>
      <c r="BU133" s="807">
        <v>14.933931214592636</v>
      </c>
      <c r="BV133" s="807">
        <v>14.993956491161448</v>
      </c>
      <c r="BW133" s="807">
        <v>15.043740835540882</v>
      </c>
      <c r="BX133" s="807">
        <v>15.093690478582264</v>
      </c>
      <c r="BY133" s="807">
        <v>15.143805969125756</v>
      </c>
      <c r="BZ133" s="807">
        <v>15.19408785783383</v>
      </c>
      <c r="CA133" s="807">
        <v>15.244536697197322</v>
      </c>
      <c r="CB133" s="807">
        <v>15.277067444573643</v>
      </c>
      <c r="CC133" s="807">
        <v>15.309667610230484</v>
      </c>
      <c r="CD133" s="807">
        <v>15.342337342301477</v>
      </c>
      <c r="CE133" s="807">
        <v>15.375076789236356</v>
      </c>
      <c r="CF133" s="807">
        <v>15.407886099801638</v>
      </c>
      <c r="CG133" s="807">
        <v>15.41853907481957</v>
      </c>
      <c r="CH133" s="807">
        <v>15.42919941527855</v>
      </c>
      <c r="CI133" s="807">
        <v>15.439867126271025</v>
      </c>
      <c r="CJ133" s="807">
        <v>15.450542212892964</v>
      </c>
      <c r="CK133" s="807">
        <v>15.461224680243861</v>
      </c>
      <c r="CL133" s="807">
        <v>15.464845562477739</v>
      </c>
      <c r="CM133" s="807">
        <v>15.468467292690251</v>
      </c>
      <c r="CN133" s="807">
        <v>15.472089871079984</v>
      </c>
      <c r="CO133" s="807">
        <v>15.475713297845573</v>
      </c>
      <c r="CP133" s="807">
        <v>15.479337573185701</v>
      </c>
      <c r="CQ133" s="807">
        <v>15.484830510437597</v>
      </c>
      <c r="CR133" s="807">
        <v>15.490325396891745</v>
      </c>
      <c r="CS133" s="807">
        <v>15.49582223323983</v>
      </c>
      <c r="CT133" s="807">
        <v>15.501321020173785</v>
      </c>
      <c r="CU133" s="807">
        <v>15.506821758385787</v>
      </c>
      <c r="CV133" s="807">
        <v>15.515287417782641</v>
      </c>
      <c r="CW133" s="807">
        <v>15.523757698847955</v>
      </c>
      <c r="CX133" s="807">
        <v>15.532232604104841</v>
      </c>
      <c r="CY133" s="807">
        <v>15.540712136077792</v>
      </c>
      <c r="CZ133" s="1139">
        <v>15.549196297292674</v>
      </c>
    </row>
    <row r="134" spans="1:104">
      <c r="A134" s="1140" t="s">
        <v>1082</v>
      </c>
      <c r="B134">
        <v>2016</v>
      </c>
      <c r="C134" s="738">
        <f t="shared" si="151"/>
        <v>1</v>
      </c>
      <c r="D134" s="1026" t="s">
        <v>861</v>
      </c>
      <c r="E134" s="738" t="s">
        <v>1055</v>
      </c>
      <c r="F134">
        <v>47.141269049911173</v>
      </c>
      <c r="G134">
        <v>52.224661236371581</v>
      </c>
      <c r="H134" s="852">
        <v>11.934322920018829</v>
      </c>
      <c r="I134" s="852">
        <v>13.90423046997279</v>
      </c>
      <c r="J134" s="852">
        <v>14.274140536522257</v>
      </c>
      <c r="K134" s="852">
        <v>13.139550648884942</v>
      </c>
      <c r="L134" s="852">
        <v>13.897221248926272</v>
      </c>
      <c r="M134" s="852">
        <v>11.345666428533674</v>
      </c>
      <c r="N134" s="852">
        <v>10.551848524158197</v>
      </c>
      <c r="O134">
        <v>9.7270239269114924</v>
      </c>
      <c r="P134">
        <v>8.6825570363966911</v>
      </c>
      <c r="Q134">
        <v>8.5236392646415098</v>
      </c>
      <c r="R134">
        <v>9.2232797097563566</v>
      </c>
      <c r="S134">
        <v>7.6085885488542795</v>
      </c>
      <c r="T134">
        <v>6.813801352724405</v>
      </c>
      <c r="U134">
        <v>7.4731047451509687</v>
      </c>
      <c r="V134">
        <v>7.9843107853990691</v>
      </c>
      <c r="W134">
        <v>8.5650780622071245</v>
      </c>
      <c r="X134">
        <v>9.1477570858798014</v>
      </c>
      <c r="Y134">
        <v>9.2514909161219876</v>
      </c>
      <c r="Z134">
        <v>9.3094669856386769</v>
      </c>
      <c r="AA134">
        <v>9.3761326413005577</v>
      </c>
      <c r="AB134">
        <v>9.4891655040111615</v>
      </c>
      <c r="AC134">
        <v>9.6143446414218783</v>
      </c>
      <c r="AD134">
        <v>9.7258827967425425</v>
      </c>
      <c r="AE134">
        <v>10.087086372666475</v>
      </c>
      <c r="AF134">
        <v>10.198695614261233</v>
      </c>
      <c r="AG134">
        <v>10.304737378868989</v>
      </c>
      <c r="AH134">
        <v>10.357640731866367</v>
      </c>
      <c r="AI134">
        <v>10.427655972763532</v>
      </c>
      <c r="AJ134">
        <v>10.453569289213085</v>
      </c>
      <c r="AK134">
        <v>10.441948105124277</v>
      </c>
      <c r="AL134">
        <v>10.506270757192036</v>
      </c>
      <c r="AM134">
        <v>10.658282593530579</v>
      </c>
      <c r="AN134">
        <v>10.722901912315555</v>
      </c>
      <c r="AO134">
        <v>10.786351624937444</v>
      </c>
      <c r="AP134">
        <v>10.817805879498341</v>
      </c>
      <c r="AQ134">
        <v>10.86596540847121</v>
      </c>
      <c r="AR134">
        <v>10.838793391061706</v>
      </c>
      <c r="AS134">
        <v>10.868085675073171</v>
      </c>
      <c r="AT134">
        <v>10.937640276914211</v>
      </c>
      <c r="AU134">
        <v>11.027299024885883</v>
      </c>
      <c r="AV134">
        <v>11.114692490256441</v>
      </c>
      <c r="AW134">
        <v>11.212257927541287</v>
      </c>
      <c r="AX134">
        <v>11.293368314098968</v>
      </c>
      <c r="AY134">
        <v>11.35816487466068</v>
      </c>
      <c r="AZ134">
        <v>11.46581792814789</v>
      </c>
      <c r="BA134">
        <v>11.521194135666732</v>
      </c>
      <c r="BB134">
        <v>11.628119265707223</v>
      </c>
      <c r="BC134">
        <v>11.692763949840026</v>
      </c>
      <c r="BD134">
        <v>11.757768015837698</v>
      </c>
      <c r="BE134">
        <v>11.823133461626696</v>
      </c>
      <c r="BF134">
        <v>11.888862296240635</v>
      </c>
      <c r="BG134">
        <v>11.954956539882032</v>
      </c>
      <c r="BH134">
        <v>12.019124477688386</v>
      </c>
      <c r="BI134">
        <v>12.083636835336717</v>
      </c>
      <c r="BJ134">
        <v>12.148495461492134</v>
      </c>
      <c r="BK134">
        <v>12.213702214742405</v>
      </c>
      <c r="BL134">
        <v>12.279258963651227</v>
      </c>
      <c r="BM134">
        <v>12.337170130194249</v>
      </c>
      <c r="BN134">
        <v>12.395354416085945</v>
      </c>
      <c r="BO134">
        <v>12.453813109405683</v>
      </c>
      <c r="BP134">
        <v>12.512547504307637</v>
      </c>
      <c r="BQ134">
        <v>12.571558901049444</v>
      </c>
      <c r="BR134">
        <v>12.622088884688262</v>
      </c>
      <c r="BS134">
        <v>12.672821967979766</v>
      </c>
      <c r="BT134">
        <v>12.723758967260437</v>
      </c>
      <c r="BU134">
        <v>12.774900702147928</v>
      </c>
      <c r="BV134">
        <v>12.826247995554251</v>
      </c>
      <c r="BW134">
        <v>12.868834910334423</v>
      </c>
      <c r="BX134">
        <v>12.911563226193937</v>
      </c>
      <c r="BY134">
        <v>12.954433412625956</v>
      </c>
      <c r="BZ134">
        <v>12.997445940682496</v>
      </c>
      <c r="CA134">
        <v>13.040601282979605</v>
      </c>
      <c r="CB134">
        <v>13.06842899033459</v>
      </c>
      <c r="CC134">
        <v>13.096316080020177</v>
      </c>
      <c r="CD134">
        <v>13.124262678753999</v>
      </c>
      <c r="CE134">
        <v>13.152268913524093</v>
      </c>
      <c r="CF134">
        <v>13.180334911589481</v>
      </c>
      <c r="CG134">
        <v>13.189447763127433</v>
      </c>
      <c r="CH134">
        <v>13.198566915268799</v>
      </c>
      <c r="CI134">
        <v>13.207692372369801</v>
      </c>
      <c r="CJ134">
        <v>13.216824138789674</v>
      </c>
      <c r="CK134">
        <v>13.225962218890665</v>
      </c>
      <c r="CL134">
        <v>13.22905962240266</v>
      </c>
      <c r="CM134">
        <v>13.232157751299196</v>
      </c>
      <c r="CN134">
        <v>13.23525660575015</v>
      </c>
      <c r="CO134">
        <v>13.23835618592544</v>
      </c>
      <c r="CP134">
        <v>13.241456491995026</v>
      </c>
      <c r="CQ134">
        <v>13.246155303510076</v>
      </c>
      <c r="CR134">
        <v>13.250855782427021</v>
      </c>
      <c r="CS134">
        <v>13.255557929337549</v>
      </c>
      <c r="CT134">
        <v>13.260261744833558</v>
      </c>
      <c r="CU134">
        <v>13.264967229507157</v>
      </c>
      <c r="CV134">
        <v>13.272208990341527</v>
      </c>
      <c r="CW134">
        <v>13.279454704679821</v>
      </c>
      <c r="CX134">
        <v>13.286704374680379</v>
      </c>
      <c r="CY134">
        <v>13.293958002502723</v>
      </c>
      <c r="CZ134" s="411">
        <v>13.30121559030755</v>
      </c>
    </row>
    <row r="135" spans="1:104">
      <c r="A135" s="1140" t="s">
        <v>283</v>
      </c>
      <c r="B135">
        <v>2016</v>
      </c>
      <c r="C135" s="738">
        <f t="shared" si="151"/>
        <v>1</v>
      </c>
      <c r="D135" s="1026" t="s">
        <v>861</v>
      </c>
      <c r="E135" s="738" t="s">
        <v>1055</v>
      </c>
      <c r="F135">
        <v>47.141269049911173</v>
      </c>
      <c r="G135">
        <v>52.224661236371581</v>
      </c>
      <c r="H135" s="852">
        <v>8.2641705904266125</v>
      </c>
      <c r="I135" s="852">
        <v>10.495609596381577</v>
      </c>
      <c r="J135" s="852">
        <v>9.3614571685358463</v>
      </c>
      <c r="K135" s="852">
        <v>8.8987432965993278</v>
      </c>
      <c r="L135" s="852">
        <v>10.965509816201024</v>
      </c>
      <c r="M135" s="852">
        <v>6.0111731674040234</v>
      </c>
      <c r="N135" s="852">
        <v>6.1171751211856922</v>
      </c>
      <c r="O135">
        <v>5.6004077154944953</v>
      </c>
      <c r="P135">
        <v>4.1590520124961925</v>
      </c>
      <c r="Q135">
        <v>4.894763142071362</v>
      </c>
      <c r="R135">
        <v>5.8241384234641265</v>
      </c>
      <c r="S135">
        <v>3.5390282601113117</v>
      </c>
      <c r="T135">
        <v>3.3168400539876552</v>
      </c>
      <c r="U135">
        <v>3.8686572087168831</v>
      </c>
      <c r="V135">
        <v>4.230424735748624</v>
      </c>
      <c r="W135">
        <v>4.6374903322667231</v>
      </c>
      <c r="X135">
        <v>5.0398775041324821</v>
      </c>
      <c r="Y135">
        <v>5.0452222441273262</v>
      </c>
      <c r="Z135">
        <v>4.9894479534735598</v>
      </c>
      <c r="AA135">
        <v>5.0008757828968315</v>
      </c>
      <c r="AB135">
        <v>5.0866427943161305</v>
      </c>
      <c r="AC135">
        <v>5.1985543895300337</v>
      </c>
      <c r="AD135">
        <v>5.3142743134013735</v>
      </c>
      <c r="AE135">
        <v>5.4069765017212355</v>
      </c>
      <c r="AF135">
        <v>5.498883471588238</v>
      </c>
      <c r="AG135">
        <v>5.5761078084954727</v>
      </c>
      <c r="AH135">
        <v>5.5953977798334869</v>
      </c>
      <c r="AI135">
        <v>5.6194116710392619</v>
      </c>
      <c r="AJ135">
        <v>5.6053299540498323</v>
      </c>
      <c r="AK135">
        <v>5.5496627667157004</v>
      </c>
      <c r="AL135">
        <v>5.5482476759527453</v>
      </c>
      <c r="AM135">
        <v>5.6344516310034729</v>
      </c>
      <c r="AN135">
        <v>5.6381945602887429</v>
      </c>
      <c r="AO135">
        <v>5.6485162872871211</v>
      </c>
      <c r="AP135">
        <v>5.6430123140383071</v>
      </c>
      <c r="AQ135">
        <v>5.6644386648670784</v>
      </c>
      <c r="AR135">
        <v>5.6215300420072483</v>
      </c>
      <c r="AS135">
        <v>5.6260767200982693</v>
      </c>
      <c r="AT135">
        <v>5.6802473044084865</v>
      </c>
      <c r="AU135">
        <v>5.7631623345111542</v>
      </c>
      <c r="AV135">
        <v>5.819991545472468</v>
      </c>
      <c r="AW135">
        <v>5.8947240715184783</v>
      </c>
      <c r="AX135">
        <v>5.9518546882819487</v>
      </c>
      <c r="AY135">
        <v>6.0145186606208574</v>
      </c>
      <c r="AZ135">
        <v>6.1247620979360331</v>
      </c>
      <c r="BA135">
        <v>6.1606322318436177</v>
      </c>
      <c r="BB135">
        <v>6.238633778680942</v>
      </c>
      <c r="BC135">
        <v>6.2733164733478626</v>
      </c>
      <c r="BD135">
        <v>6.3081919809530058</v>
      </c>
      <c r="BE135">
        <v>6.3432613734093088</v>
      </c>
      <c r="BF135">
        <v>6.3785257285888406</v>
      </c>
      <c r="BG135">
        <v>6.4139861303559274</v>
      </c>
      <c r="BH135">
        <v>6.4484130445592944</v>
      </c>
      <c r="BI135">
        <v>6.4830247443854354</v>
      </c>
      <c r="BJ135">
        <v>6.5178222216666768</v>
      </c>
      <c r="BK135">
        <v>6.5528064735589808</v>
      </c>
      <c r="BL135">
        <v>6.5879785025705191</v>
      </c>
      <c r="BM135">
        <v>6.6190485794679574</v>
      </c>
      <c r="BN135">
        <v>6.6502651883672899</v>
      </c>
      <c r="BO135">
        <v>6.6816290203394662</v>
      </c>
      <c r="BP135">
        <v>6.7131407697146503</v>
      </c>
      <c r="BQ135">
        <v>6.7448011340975915</v>
      </c>
      <c r="BR135">
        <v>6.7719111125525773</v>
      </c>
      <c r="BS135">
        <v>6.7991300565526132</v>
      </c>
      <c r="BT135">
        <v>6.8264584040725946</v>
      </c>
      <c r="BU135">
        <v>6.8538965948478108</v>
      </c>
      <c r="BV135">
        <v>6.8814450703810159</v>
      </c>
      <c r="BW135">
        <v>6.904293491437457</v>
      </c>
      <c r="BX135">
        <v>6.9272177759701634</v>
      </c>
      <c r="BY135">
        <v>6.9502181758681845</v>
      </c>
      <c r="BZ135">
        <v>6.9732949438569127</v>
      </c>
      <c r="CA135">
        <v>6.996448333500866</v>
      </c>
      <c r="CB135">
        <v>7.0113782521851409</v>
      </c>
      <c r="CC135">
        <v>7.0263400302445289</v>
      </c>
      <c r="CD135">
        <v>7.0413337356646508</v>
      </c>
      <c r="CE135">
        <v>7.0563594365762032</v>
      </c>
      <c r="CF135">
        <v>7.0714172012552687</v>
      </c>
      <c r="CG135">
        <v>7.0763063619291211</v>
      </c>
      <c r="CH135">
        <v>7.0811989029567863</v>
      </c>
      <c r="CI135">
        <v>7.0860948266754322</v>
      </c>
      <c r="CJ135">
        <v>7.090994135423843</v>
      </c>
      <c r="CK135">
        <v>7.0958968315424205</v>
      </c>
      <c r="CL135">
        <v>7.0975586278944007</v>
      </c>
      <c r="CM135">
        <v>7.0992208134244059</v>
      </c>
      <c r="CN135">
        <v>7.1008833882235782</v>
      </c>
      <c r="CO135">
        <v>7.1025463523830812</v>
      </c>
      <c r="CP135">
        <v>7.1042097059940996</v>
      </c>
      <c r="CQ135">
        <v>7.1067306780935082</v>
      </c>
      <c r="CR135">
        <v>7.1092525447752264</v>
      </c>
      <c r="CS135">
        <v>7.1117753063567024</v>
      </c>
      <c r="CT135">
        <v>7.1142989631554965</v>
      </c>
      <c r="CU135">
        <v>7.1168235154892816</v>
      </c>
      <c r="CV135">
        <v>7.1207088122192239</v>
      </c>
      <c r="CW135">
        <v>7.1245962300542702</v>
      </c>
      <c r="CX135">
        <v>7.1284857701523974</v>
      </c>
      <c r="CY135">
        <v>7.1323774336722154</v>
      </c>
      <c r="CZ135" s="411">
        <v>7.1362712217729669</v>
      </c>
    </row>
    <row r="136" spans="1:104">
      <c r="A136" s="1140" t="s">
        <v>1083</v>
      </c>
      <c r="B136">
        <v>2016</v>
      </c>
      <c r="C136" s="738">
        <f t="shared" si="151"/>
        <v>1</v>
      </c>
      <c r="D136" s="1026" t="s">
        <v>861</v>
      </c>
      <c r="E136" s="738" t="s">
        <v>1055</v>
      </c>
      <c r="F136">
        <v>47.141269049911173</v>
      </c>
      <c r="G136">
        <v>52.224661236371581</v>
      </c>
      <c r="H136" s="852">
        <v>8.4160389626855991</v>
      </c>
      <c r="I136" s="852">
        <v>10.630483084185546</v>
      </c>
      <c r="J136" s="852">
        <v>10.241695834954719</v>
      </c>
      <c r="K136" s="852">
        <v>9.4549147526367854</v>
      </c>
      <c r="L136" s="852">
        <v>10.431438353650302</v>
      </c>
      <c r="M136" s="852">
        <v>7.3081429877632402</v>
      </c>
      <c r="N136" s="852">
        <v>6.8860004096407268</v>
      </c>
      <c r="O136">
        <v>6.1462564207083838</v>
      </c>
      <c r="P136">
        <v>5.0701845410069568</v>
      </c>
      <c r="Q136">
        <v>5.147940545971605</v>
      </c>
      <c r="R136">
        <v>5.9174075441245835</v>
      </c>
      <c r="S136">
        <v>4.3672641892083037</v>
      </c>
      <c r="T136">
        <v>3.755553639162041</v>
      </c>
      <c r="U136">
        <v>3.3468214009493336</v>
      </c>
      <c r="V136">
        <v>3.6078009129373227</v>
      </c>
      <c r="W136">
        <v>3.9595869792693468</v>
      </c>
      <c r="X136">
        <v>4.2992239274502966</v>
      </c>
      <c r="Y136">
        <v>4.3362295461094007</v>
      </c>
      <c r="Z136">
        <v>4.2972619462853157</v>
      </c>
      <c r="AA136">
        <v>4.3209431537283329</v>
      </c>
      <c r="AB136">
        <v>4.4388231525151278</v>
      </c>
      <c r="AC136">
        <v>4.5598555906037213</v>
      </c>
      <c r="AD136">
        <v>4.6705511366221319</v>
      </c>
      <c r="AE136">
        <v>4.7905826799714895</v>
      </c>
      <c r="AF136">
        <v>4.8909868291351355</v>
      </c>
      <c r="AG136">
        <v>4.9795195705251665</v>
      </c>
      <c r="AH136">
        <v>5.0140428564929254</v>
      </c>
      <c r="AI136">
        <v>5.034241784322349</v>
      </c>
      <c r="AJ136">
        <v>5.0303794300966009</v>
      </c>
      <c r="AK136">
        <v>4.9817061843162831</v>
      </c>
      <c r="AL136">
        <v>5.005816752854825</v>
      </c>
      <c r="AM136">
        <v>5.1117353012541518</v>
      </c>
      <c r="AN136">
        <v>5.1218001698488047</v>
      </c>
      <c r="AO136">
        <v>5.1563490468752367</v>
      </c>
      <c r="AP136">
        <v>5.1654177598155924</v>
      </c>
      <c r="AQ136">
        <v>5.1952502995101684</v>
      </c>
      <c r="AR136">
        <v>5.1548078964528896</v>
      </c>
      <c r="AS136">
        <v>5.1691436283950809</v>
      </c>
      <c r="AT136">
        <v>5.2239208155775625</v>
      </c>
      <c r="AU136">
        <v>5.3036701369405987</v>
      </c>
      <c r="AV136">
        <v>5.3698761013633396</v>
      </c>
      <c r="AW136">
        <v>5.4477553798092231</v>
      </c>
      <c r="AX136">
        <v>5.5105548899774046</v>
      </c>
      <c r="AY136">
        <v>5.5735610242489493</v>
      </c>
      <c r="AZ136">
        <v>5.6745566112130543</v>
      </c>
      <c r="BA136">
        <v>5.7069198222653581</v>
      </c>
      <c r="BB136">
        <v>5.8107835034348891</v>
      </c>
      <c r="BC136">
        <v>5.8430876323795795</v>
      </c>
      <c r="BD136">
        <v>5.8755713510037442</v>
      </c>
      <c r="BE136">
        <v>5.9082356577077126</v>
      </c>
      <c r="BF136">
        <v>5.9410815564422617</v>
      </c>
      <c r="BG136">
        <v>5.974110056739474</v>
      </c>
      <c r="BH136">
        <v>6.006175946840397</v>
      </c>
      <c r="BI136">
        <v>6.0384139498247791</v>
      </c>
      <c r="BJ136">
        <v>6.0708249895043265</v>
      </c>
      <c r="BK136">
        <v>6.1034099946492821</v>
      </c>
      <c r="BL136">
        <v>6.1361698990150408</v>
      </c>
      <c r="BM136">
        <v>6.1651091662794615</v>
      </c>
      <c r="BN136">
        <v>6.1941849162690321</v>
      </c>
      <c r="BO136">
        <v>6.2233977926605295</v>
      </c>
      <c r="BP136">
        <v>6.2527484421664239</v>
      </c>
      <c r="BQ136">
        <v>6.2822375145491964</v>
      </c>
      <c r="BR136">
        <v>6.3074882699506478</v>
      </c>
      <c r="BS136">
        <v>6.3328405179567433</v>
      </c>
      <c r="BT136">
        <v>6.3582946665057261</v>
      </c>
      <c r="BU136">
        <v>6.3838511251755019</v>
      </c>
      <c r="BV136">
        <v>6.4095103051902287</v>
      </c>
      <c r="BW136">
        <v>6.4307917640583545</v>
      </c>
      <c r="BX136">
        <v>6.4521438836275307</v>
      </c>
      <c r="BY136">
        <v>6.473566898512062</v>
      </c>
      <c r="BZ136">
        <v>6.4950610441052419</v>
      </c>
      <c r="CA136">
        <v>6.5166265565819383</v>
      </c>
      <c r="CB136">
        <v>6.5305325700258869</v>
      </c>
      <c r="CC136">
        <v>6.5444682579046409</v>
      </c>
      <c r="CD136">
        <v>6.5584336835413142</v>
      </c>
      <c r="CE136">
        <v>6.5724289103941489</v>
      </c>
      <c r="CF136">
        <v>6.5864540020568016</v>
      </c>
      <c r="CG136">
        <v>6.5910078603528843</v>
      </c>
      <c r="CH136">
        <v>6.5955648671755291</v>
      </c>
      <c r="CI136">
        <v>6.6001250247016205</v>
      </c>
      <c r="CJ136">
        <v>6.6046883351095476</v>
      </c>
      <c r="CK136">
        <v>6.6092548005792047</v>
      </c>
      <c r="CL136">
        <v>6.6108026296665843</v>
      </c>
      <c r="CM136">
        <v>6.6123508212418631</v>
      </c>
      <c r="CN136">
        <v>6.6138993753899316</v>
      </c>
      <c r="CO136">
        <v>6.6154482921957012</v>
      </c>
      <c r="CP136">
        <v>6.6169975717441041</v>
      </c>
      <c r="CQ136">
        <v>6.6193456536491393</v>
      </c>
      <c r="CR136">
        <v>6.6216945687853457</v>
      </c>
      <c r="CS136">
        <v>6.6240443174483996</v>
      </c>
      <c r="CT136">
        <v>6.6263948999340831</v>
      </c>
      <c r="CU136">
        <v>6.6287463165382841</v>
      </c>
      <c r="CV136">
        <v>6.6323651566473876</v>
      </c>
      <c r="CW136">
        <v>6.6359859723945851</v>
      </c>
      <c r="CX136">
        <v>6.6396087648584388</v>
      </c>
      <c r="CY136">
        <v>6.6432335351180996</v>
      </c>
      <c r="CZ136" s="411">
        <v>6.6468602842533091</v>
      </c>
    </row>
    <row r="137" spans="1:104">
      <c r="A137" s="812" t="s">
        <v>1078</v>
      </c>
      <c r="B137">
        <v>2016</v>
      </c>
      <c r="C137" s="738">
        <f t="shared" si="151"/>
        <v>1</v>
      </c>
      <c r="D137" s="1028" t="s">
        <v>268</v>
      </c>
      <c r="E137" s="738" t="s">
        <v>1055</v>
      </c>
      <c r="F137">
        <v>19.551069237418005</v>
      </c>
      <c r="G137">
        <v>20.588656379262464</v>
      </c>
      <c r="H137" s="852">
        <v>5.0967849132778742</v>
      </c>
      <c r="I137" s="852">
        <v>5.0967849132778742</v>
      </c>
      <c r="J137" s="852">
        <v>5.0967849132778742</v>
      </c>
      <c r="K137" s="852">
        <v>5.0967849132778742</v>
      </c>
      <c r="L137" s="852">
        <v>5.0967849132778742</v>
      </c>
      <c r="M137" s="852">
        <v>5.0967849132778742</v>
      </c>
      <c r="N137" s="852">
        <v>5.0967849132778742</v>
      </c>
      <c r="O137">
        <v>5.0967849132778742</v>
      </c>
      <c r="P137">
        <v>5.0967849132778742</v>
      </c>
      <c r="Q137">
        <v>5.0967849132778742</v>
      </c>
      <c r="R137">
        <v>5.0967849132778742</v>
      </c>
      <c r="S137">
        <v>5.0967849132778742</v>
      </c>
      <c r="T137">
        <v>5.0967849132778742</v>
      </c>
      <c r="U137">
        <v>5.0967849132778742</v>
      </c>
      <c r="V137">
        <v>5.0967849132778742</v>
      </c>
      <c r="W137">
        <v>5.0967849132778742</v>
      </c>
      <c r="X137">
        <v>5.0967849132778742</v>
      </c>
      <c r="Y137">
        <v>5.0967849132778742</v>
      </c>
      <c r="Z137">
        <v>5.0967849132778742</v>
      </c>
      <c r="AA137">
        <v>5.0967849132778742</v>
      </c>
      <c r="AB137">
        <v>5.0967849132778742</v>
      </c>
      <c r="AC137">
        <v>5.0967849132778742</v>
      </c>
      <c r="AD137">
        <v>5.0967849132778742</v>
      </c>
      <c r="AE137">
        <v>5.0967849132778742</v>
      </c>
      <c r="AF137">
        <v>5.0967849132778742</v>
      </c>
      <c r="AG137">
        <v>5.0967849132778742</v>
      </c>
      <c r="AH137">
        <v>5.0967849132778742</v>
      </c>
      <c r="AI137">
        <v>5.0967849132778742</v>
      </c>
      <c r="AJ137">
        <v>5.0967849132778742</v>
      </c>
      <c r="AK137">
        <v>5.0967849132778742</v>
      </c>
      <c r="AL137">
        <v>5.0967849132778742</v>
      </c>
      <c r="AM137">
        <v>5.0967849132778742</v>
      </c>
      <c r="AN137">
        <v>5.0967849132778742</v>
      </c>
      <c r="AO137">
        <v>5.0967849132778742</v>
      </c>
      <c r="AP137">
        <v>5.0967849132778742</v>
      </c>
      <c r="AQ137">
        <v>5.0967849132778742</v>
      </c>
      <c r="AR137">
        <v>5.0967849132778742</v>
      </c>
      <c r="AS137">
        <v>5.0967849132778742</v>
      </c>
      <c r="AT137">
        <v>5.0967849132778742</v>
      </c>
      <c r="AU137">
        <v>5.0967849132778742</v>
      </c>
      <c r="AV137">
        <v>5.0967849132778742</v>
      </c>
      <c r="AW137">
        <v>5.0967849132778742</v>
      </c>
      <c r="AX137">
        <v>5.0967849132778742</v>
      </c>
      <c r="AY137">
        <v>5.0967849132778742</v>
      </c>
      <c r="AZ137">
        <v>5.0967849132778742</v>
      </c>
      <c r="BA137">
        <v>5.0967849132778742</v>
      </c>
      <c r="BB137">
        <v>5.0967849132778742</v>
      </c>
      <c r="BC137">
        <v>5.1179587571540939</v>
      </c>
      <c r="BD137">
        <v>5.1392205646528959</v>
      </c>
      <c r="BE137">
        <v>5.1605707012062227</v>
      </c>
      <c r="BF137">
        <v>5.1820095337641501</v>
      </c>
      <c r="BG137">
        <v>5.2035374308011946</v>
      </c>
      <c r="BH137">
        <v>5.2223240063357927</v>
      </c>
      <c r="BI137">
        <v>5.2411784079262249</v>
      </c>
      <c r="BJ137">
        <v>5.2601008804480855</v>
      </c>
      <c r="BK137">
        <v>5.2790916696610548</v>
      </c>
      <c r="BL137">
        <v>5.2981510222120916</v>
      </c>
      <c r="BM137">
        <v>5.3113630812048802</v>
      </c>
      <c r="BN137">
        <v>5.3246080872582748</v>
      </c>
      <c r="BO137">
        <v>5.3378861225327325</v>
      </c>
      <c r="BP137">
        <v>5.3511972693935945</v>
      </c>
      <c r="BQ137">
        <v>5.3645416104115968</v>
      </c>
      <c r="BR137">
        <v>5.3779717491778074</v>
      </c>
      <c r="BS137">
        <v>5.3914355103185612</v>
      </c>
      <c r="BT137">
        <v>5.4049329780075288</v>
      </c>
      <c r="BU137">
        <v>5.4184642366291094</v>
      </c>
      <c r="BV137">
        <v>5.4320293707789578</v>
      </c>
      <c r="BW137">
        <v>5.4450858323773135</v>
      </c>
      <c r="BX137">
        <v>5.458173676572823</v>
      </c>
      <c r="BY137">
        <v>5.471292978796904</v>
      </c>
      <c r="BZ137">
        <v>5.4844438146622805</v>
      </c>
      <c r="CA137">
        <v>5.4976262599634209</v>
      </c>
      <c r="CB137">
        <v>5.509165721372697</v>
      </c>
      <c r="CC137">
        <v>5.5207294039936956</v>
      </c>
      <c r="CD137">
        <v>5.5323173586664938</v>
      </c>
      <c r="CE137">
        <v>5.5439296363378796</v>
      </c>
      <c r="CF137">
        <v>5.5555662880615797</v>
      </c>
      <c r="CG137">
        <v>5.5698816197819898</v>
      </c>
      <c r="CH137">
        <v>5.5842338386011479</v>
      </c>
      <c r="CI137">
        <v>5.598623039568059</v>
      </c>
      <c r="CJ137">
        <v>5.6130493179766479</v>
      </c>
      <c r="CK137">
        <v>5.6275127693663878</v>
      </c>
      <c r="CL137">
        <v>5.6395580019552014</v>
      </c>
      <c r="CM137">
        <v>5.6516290163830023</v>
      </c>
      <c r="CN137">
        <v>5.6637258678337163</v>
      </c>
      <c r="CO137">
        <v>5.6758486116093856</v>
      </c>
      <c r="CP137">
        <v>5.6879973031304223</v>
      </c>
      <c r="CQ137">
        <v>5.6991168854631553</v>
      </c>
      <c r="CR137">
        <v>5.7102582056949531</v>
      </c>
      <c r="CS137">
        <v>5.7214213063216786</v>
      </c>
      <c r="CT137">
        <v>5.732606229922272</v>
      </c>
      <c r="CU137">
        <v>5.7438130191589121</v>
      </c>
      <c r="CV137">
        <v>5.7570440466225028</v>
      </c>
      <c r="CW137">
        <v>5.7703055521130002</v>
      </c>
      <c r="CX137">
        <v>5.7835976058373566</v>
      </c>
      <c r="CY137">
        <v>5.796920278164249</v>
      </c>
      <c r="CZ137" s="411">
        <v>5.8102736396244499</v>
      </c>
    </row>
    <row r="138" spans="1:104">
      <c r="A138" s="1141" t="s">
        <v>1084</v>
      </c>
      <c r="B138">
        <v>2016</v>
      </c>
      <c r="C138" s="738">
        <f t="shared" si="151"/>
        <v>1</v>
      </c>
      <c r="D138" s="1028" t="s">
        <v>268</v>
      </c>
      <c r="E138" s="756" t="s">
        <v>1049</v>
      </c>
      <c r="F138">
        <v>22.7322030001394</v>
      </c>
      <c r="G138">
        <v>23.967615189707661</v>
      </c>
      <c r="H138" s="852" t="e">
        <v>#N/A</v>
      </c>
      <c r="I138" s="852" t="e">
        <v>#N/A</v>
      </c>
      <c r="J138" s="852" t="e">
        <v>#N/A</v>
      </c>
      <c r="K138" s="852" t="e">
        <v>#N/A</v>
      </c>
      <c r="L138" s="852">
        <v>2.2148742453355847</v>
      </c>
      <c r="M138" s="852">
        <v>2.3408877437334223</v>
      </c>
      <c r="N138" s="852">
        <v>2.3629142410275352</v>
      </c>
      <c r="O138">
        <v>2.4181318326423913</v>
      </c>
      <c r="P138">
        <v>2.3501923436687169</v>
      </c>
      <c r="Q138">
        <v>2.2749877363600257</v>
      </c>
      <c r="R138">
        <v>2.2671813119268305</v>
      </c>
      <c r="S138">
        <v>2.0920368648072634</v>
      </c>
      <c r="T138">
        <v>1.9706687398025258</v>
      </c>
      <c r="U138">
        <v>2.067600203211962</v>
      </c>
      <c r="V138">
        <v>2.1142782942327232</v>
      </c>
      <c r="W138">
        <v>2.1573963846468813</v>
      </c>
      <c r="X138">
        <v>2.1900363582596567</v>
      </c>
      <c r="Y138">
        <v>2.1929897559939948</v>
      </c>
      <c r="Z138">
        <v>2.2028650611910647</v>
      </c>
      <c r="AA138">
        <v>2.2090827406317772</v>
      </c>
      <c r="AB138">
        <v>2.2092997907220093</v>
      </c>
      <c r="AC138">
        <v>2.2079918032786887</v>
      </c>
      <c r="AD138">
        <v>2.2065492258230841</v>
      </c>
      <c r="AE138">
        <v>2.1995552842692714</v>
      </c>
      <c r="AF138">
        <v>2.1903510334996437</v>
      </c>
      <c r="AG138">
        <v>2.1795345460335755</v>
      </c>
      <c r="AH138">
        <v>2.1771697426487315</v>
      </c>
      <c r="AI138">
        <v>2.177831318906295</v>
      </c>
      <c r="AJ138">
        <v>2.1809505846135182</v>
      </c>
      <c r="AK138">
        <v>2.1861806387528246</v>
      </c>
      <c r="AL138">
        <v>2.1973402359685172</v>
      </c>
      <c r="AM138">
        <v>2.2020565733003745</v>
      </c>
      <c r="AN138">
        <v>2.2177912831167257</v>
      </c>
      <c r="AO138">
        <v>2.2206593773221517</v>
      </c>
      <c r="AP138">
        <v>2.2289385587115755</v>
      </c>
      <c r="AQ138">
        <v>2.2351116907538557</v>
      </c>
      <c r="AR138">
        <v>2.2481536525075447</v>
      </c>
      <c r="AS138">
        <v>2.2492673374683427</v>
      </c>
      <c r="AT138">
        <v>2.2496910116619402</v>
      </c>
      <c r="AU138">
        <v>2.2544263053335558</v>
      </c>
      <c r="AV138">
        <v>2.2540196918457411</v>
      </c>
      <c r="AW138">
        <v>2.2546357728878843</v>
      </c>
      <c r="AX138">
        <v>2.2490256441364247</v>
      </c>
      <c r="AY138">
        <v>2.2531477002168603</v>
      </c>
      <c r="AZ138">
        <v>2.2540841434009193</v>
      </c>
      <c r="BA138">
        <v>2.2596705767276806</v>
      </c>
      <c r="BB138">
        <v>2.2620458060993922</v>
      </c>
      <c r="BC138">
        <v>2.2703711301923084</v>
      </c>
      <c r="BD138">
        <v>2.2787270951418623</v>
      </c>
      <c r="BE138">
        <v>2.2871138137198912</v>
      </c>
      <c r="BF138">
        <v>2.2955313991132824</v>
      </c>
      <c r="BG138">
        <v>2.3039799649255008</v>
      </c>
      <c r="BH138">
        <v>2.3125787529279784</v>
      </c>
      <c r="BI138">
        <v>2.3212096328567045</v>
      </c>
      <c r="BJ138">
        <v>2.3298727244834101</v>
      </c>
      <c r="BK138">
        <v>2.338568148026833</v>
      </c>
      <c r="BL138">
        <v>2.3472960241543843</v>
      </c>
      <c r="BM138">
        <v>2.3559838582312191</v>
      </c>
      <c r="BN138">
        <v>2.3647038478010849</v>
      </c>
      <c r="BO138">
        <v>2.3734561118781943</v>
      </c>
      <c r="BP138">
        <v>2.3822407699172565</v>
      </c>
      <c r="BQ138">
        <v>2.3910579418151077</v>
      </c>
      <c r="BR138">
        <v>2.3997099382358895</v>
      </c>
      <c r="BS138">
        <v>2.4083932417365861</v>
      </c>
      <c r="BT138">
        <v>2.4171079656012542</v>
      </c>
      <c r="BU138">
        <v>2.4258542235238663</v>
      </c>
      <c r="BV138">
        <v>2.434632129609795</v>
      </c>
      <c r="BW138">
        <v>2.4428635118796533</v>
      </c>
      <c r="BX138">
        <v>2.4511227240845761</v>
      </c>
      <c r="BY138">
        <v>2.4594098603163279</v>
      </c>
      <c r="BZ138">
        <v>2.467725014984794</v>
      </c>
      <c r="CA138">
        <v>2.476068282819055</v>
      </c>
      <c r="CB138">
        <v>2.4831576550549128</v>
      </c>
      <c r="CC138">
        <v>2.4902673252765117</v>
      </c>
      <c r="CD138">
        <v>2.4973973516001715</v>
      </c>
      <c r="CE138">
        <v>2.5045477923086086</v>
      </c>
      <c r="CF138">
        <v>2.5117187058514112</v>
      </c>
      <c r="CG138">
        <v>2.5171937058097216</v>
      </c>
      <c r="CH138">
        <v>2.5226806400759916</v>
      </c>
      <c r="CI138">
        <v>2.5281795346644143</v>
      </c>
      <c r="CJ138">
        <v>2.5336904156458884</v>
      </c>
      <c r="CK138">
        <v>2.539213309148141</v>
      </c>
      <c r="CL138">
        <v>2.5429573704375228</v>
      </c>
      <c r="CM138">
        <v>2.5467069523323964</v>
      </c>
      <c r="CN138">
        <v>2.5504620629728754</v>
      </c>
      <c r="CO138">
        <v>2.554222710511076</v>
      </c>
      <c r="CP138">
        <v>2.5579889031111347</v>
      </c>
      <c r="CQ138">
        <v>2.5592501421168059</v>
      </c>
      <c r="CR138">
        <v>2.5605120029875006</v>
      </c>
      <c r="CS138">
        <v>2.5617744860298348</v>
      </c>
      <c r="CT138">
        <v>2.5630375915505756</v>
      </c>
      <c r="CU138">
        <v>2.564301319856642</v>
      </c>
      <c r="CV138">
        <v>2.5624850697467836</v>
      </c>
      <c r="CW138">
        <v>2.5606701060553489</v>
      </c>
      <c r="CX138">
        <v>2.5588564278711901</v>
      </c>
      <c r="CY138">
        <v>2.5570440342838041</v>
      </c>
      <c r="CZ138" s="411">
        <v>2.555232924383334</v>
      </c>
    </row>
    <row r="139" spans="1:104">
      <c r="A139" s="812" t="s">
        <v>681</v>
      </c>
      <c r="B139">
        <v>2016</v>
      </c>
      <c r="C139" s="738">
        <f t="shared" si="151"/>
        <v>1</v>
      </c>
      <c r="D139" s="1016" t="s">
        <v>296</v>
      </c>
      <c r="E139" s="738" t="s">
        <v>1068</v>
      </c>
      <c r="F139" s="741"/>
      <c r="G139" s="738"/>
      <c r="H139" s="852">
        <v>28.373013628420669</v>
      </c>
      <c r="I139" s="852">
        <v>29.17093293229123</v>
      </c>
      <c r="J139" s="852">
        <v>30.878569780545078</v>
      </c>
      <c r="K139" s="852">
        <v>30.682595180991225</v>
      </c>
      <c r="L139" s="852">
        <v>31.992353762541459</v>
      </c>
      <c r="M139" s="852">
        <v>31.4429334181984</v>
      </c>
      <c r="N139" s="852">
        <v>31.156600892671783</v>
      </c>
      <c r="O139">
        <v>30.676058322376605</v>
      </c>
      <c r="P139">
        <v>29.679126186318804</v>
      </c>
      <c r="Q139">
        <v>29.700131988890092</v>
      </c>
      <c r="R139">
        <v>30.54196479432273</v>
      </c>
      <c r="S139">
        <v>29.932211922183079</v>
      </c>
      <c r="T139">
        <v>28.972214109999999</v>
      </c>
      <c r="U139">
        <v>29.128232055928784</v>
      </c>
      <c r="V139">
        <v>28.995688380521983</v>
      </c>
      <c r="W139">
        <v>29.39475155821113</v>
      </c>
      <c r="X139">
        <v>29.885964346916182</v>
      </c>
      <c r="Y139">
        <v>30.089071101439163</v>
      </c>
      <c r="Z139">
        <v>31.081689502737298</v>
      </c>
      <c r="AA139">
        <v>31.400245105473072</v>
      </c>
      <c r="AB139">
        <v>31.337976372818122</v>
      </c>
      <c r="AC139">
        <v>31.854564117923594</v>
      </c>
      <c r="AD139">
        <v>32.189964324168578</v>
      </c>
      <c r="AE139">
        <v>32.274661250208517</v>
      </c>
      <c r="AF139">
        <v>32.347049824843424</v>
      </c>
      <c r="AG139">
        <v>32.398275541772193</v>
      </c>
      <c r="AH139">
        <v>32.473329377777105</v>
      </c>
      <c r="AI139">
        <v>32.424485524938959</v>
      </c>
      <c r="AJ139">
        <v>32.33705604252286</v>
      </c>
      <c r="AK139">
        <v>32.213589610409308</v>
      </c>
      <c r="AL139">
        <v>32.123147965605618</v>
      </c>
      <c r="AM139">
        <v>32.189031672252469</v>
      </c>
      <c r="AN139">
        <v>32.20134665837643</v>
      </c>
      <c r="AO139">
        <v>32.137342472816606</v>
      </c>
      <c r="AP139">
        <v>32.106067355666433</v>
      </c>
      <c r="AQ139">
        <v>32.055398007309563</v>
      </c>
      <c r="AR139">
        <v>31.985796962436115</v>
      </c>
      <c r="AS139">
        <v>31.883579639374592</v>
      </c>
      <c r="AT139">
        <v>31.88043762605966</v>
      </c>
      <c r="AU139">
        <v>31.921825950470875</v>
      </c>
      <c r="AV139">
        <v>31.967798865652629</v>
      </c>
      <c r="AW139">
        <v>32.011030694105337</v>
      </c>
      <c r="AX139">
        <v>32.04019407500644</v>
      </c>
      <c r="AY139">
        <v>32.084258086774547</v>
      </c>
      <c r="AZ139">
        <v>32.12290532445671</v>
      </c>
      <c r="BA139">
        <v>32.1438833578502</v>
      </c>
      <c r="BB139">
        <v>32.210559439498944</v>
      </c>
      <c r="BC139">
        <v>32.212518425109167</v>
      </c>
      <c r="BD139">
        <v>32.214477529861206</v>
      </c>
      <c r="BE139">
        <v>32.216436753762309</v>
      </c>
      <c r="BF139">
        <v>32.218396096819724</v>
      </c>
      <c r="BG139">
        <v>32.220355559040698</v>
      </c>
      <c r="BH139">
        <v>32.225068562587758</v>
      </c>
      <c r="BI139">
        <v>32.229782255525173</v>
      </c>
      <c r="BJ139">
        <v>32.234496637953782</v>
      </c>
      <c r="BK139">
        <v>32.239211709974448</v>
      </c>
      <c r="BL139">
        <v>32.243927471688032</v>
      </c>
      <c r="BM139">
        <v>32.234738373564198</v>
      </c>
      <c r="BN139">
        <v>32.225551894213289</v>
      </c>
      <c r="BO139">
        <v>32.216368032888994</v>
      </c>
      <c r="BP139">
        <v>32.207186788845206</v>
      </c>
      <c r="BQ139">
        <v>32.198008161336034</v>
      </c>
      <c r="BR139">
        <v>32.188328675270981</v>
      </c>
      <c r="BS139">
        <v>32.178652099089362</v>
      </c>
      <c r="BT139">
        <v>32.168978431916393</v>
      </c>
      <c r="BU139">
        <v>32.15930767287756</v>
      </c>
      <c r="BV139">
        <v>32.14963982109861</v>
      </c>
      <c r="BW139">
        <v>32.135484213462775</v>
      </c>
      <c r="BX139">
        <v>32.121334838594358</v>
      </c>
      <c r="BY139">
        <v>32.107191693749044</v>
      </c>
      <c r="BZ139">
        <v>32.093054776183735</v>
      </c>
      <c r="CA139">
        <v>32.078924083156537</v>
      </c>
      <c r="CB139">
        <v>32.05322936592912</v>
      </c>
      <c r="CC139">
        <v>32.027555229768936</v>
      </c>
      <c r="CD139">
        <v>32.001901658190874</v>
      </c>
      <c r="CE139">
        <v>31.976268634723027</v>
      </c>
      <c r="CF139">
        <v>31.950656142906677</v>
      </c>
      <c r="CG139">
        <v>31.915373500092528</v>
      </c>
      <c r="CH139">
        <v>31.880129819385399</v>
      </c>
      <c r="CI139">
        <v>31.844925057760001</v>
      </c>
      <c r="CJ139">
        <v>31.809759172238564</v>
      </c>
      <c r="CK139">
        <v>31.774632119890772</v>
      </c>
      <c r="CL139">
        <v>31.736335048107414</v>
      </c>
      <c r="CM139">
        <v>31.698084134709202</v>
      </c>
      <c r="CN139">
        <v>31.659879324062725</v>
      </c>
      <c r="CO139">
        <v>31.621720560601634</v>
      </c>
      <c r="CP139">
        <v>31.583607788826551</v>
      </c>
      <c r="CQ139">
        <v>31.539463246970023</v>
      </c>
      <c r="CR139">
        <v>31.495380406125889</v>
      </c>
      <c r="CS139">
        <v>31.451359180054389</v>
      </c>
      <c r="CT139">
        <v>31.407399482636293</v>
      </c>
      <c r="CU139">
        <v>31.363501227872742</v>
      </c>
      <c r="CV139">
        <v>31.320648715953933</v>
      </c>
      <c r="CW139">
        <v>31.277854754187555</v>
      </c>
      <c r="CX139">
        <v>31.235119262575491</v>
      </c>
      <c r="CY139">
        <v>31.192442161228929</v>
      </c>
      <c r="CZ139" s="411">
        <v>31.1498233703682</v>
      </c>
    </row>
    <row r="140" spans="1:104">
      <c r="A140" s="812" t="s">
        <v>696</v>
      </c>
      <c r="B140">
        <v>2016</v>
      </c>
      <c r="C140" s="738">
        <f t="shared" si="151"/>
        <v>1</v>
      </c>
      <c r="D140" s="1016" t="s">
        <v>296</v>
      </c>
      <c r="E140" s="738" t="s">
        <v>1068</v>
      </c>
      <c r="F140" s="739"/>
      <c r="H140" s="852">
        <v>18.232352698801531</v>
      </c>
      <c r="I140" s="852">
        <v>19.279059481202857</v>
      </c>
      <c r="J140" s="852">
        <v>20.106975671052609</v>
      </c>
      <c r="K140" s="852">
        <v>20.31728323383771</v>
      </c>
      <c r="L140" s="852">
        <v>21.702415417864383</v>
      </c>
      <c r="M140" s="852">
        <v>21.137326303769196</v>
      </c>
      <c r="N140" s="852">
        <v>20.699724047437488</v>
      </c>
      <c r="O140">
        <v>20.430734156114106</v>
      </c>
      <c r="P140">
        <v>19.619402543384187</v>
      </c>
      <c r="Q140">
        <v>19.94482547791937</v>
      </c>
      <c r="R140">
        <v>20.190684361237558</v>
      </c>
      <c r="S140">
        <v>19.439058682545589</v>
      </c>
      <c r="T140">
        <v>18.777772519999996</v>
      </c>
      <c r="U140">
        <v>19.537493744407882</v>
      </c>
      <c r="V140">
        <v>19.094688812726531</v>
      </c>
      <c r="W140">
        <v>19.340880484069093</v>
      </c>
      <c r="X140">
        <v>19.700726786066333</v>
      </c>
      <c r="Y140">
        <v>19.809231927025674</v>
      </c>
      <c r="Z140">
        <v>20.448628319255093</v>
      </c>
      <c r="AA140">
        <v>20.513438149254636</v>
      </c>
      <c r="AB140">
        <v>20.459361398826221</v>
      </c>
      <c r="AC140">
        <v>20.950622526197662</v>
      </c>
      <c r="AD140">
        <v>21.163384692376518</v>
      </c>
      <c r="AE140">
        <v>21.285322295688569</v>
      </c>
      <c r="AF140">
        <v>21.423623959296947</v>
      </c>
      <c r="AG140">
        <v>21.53228264660833</v>
      </c>
      <c r="AH140">
        <v>21.607771530610695</v>
      </c>
      <c r="AI140">
        <v>21.635145433038627</v>
      </c>
      <c r="AJ140">
        <v>21.585785019942069</v>
      </c>
      <c r="AK140">
        <v>21.508628925857963</v>
      </c>
      <c r="AL140">
        <v>21.446118499871098</v>
      </c>
      <c r="AM140">
        <v>21.521952389257063</v>
      </c>
      <c r="AN140">
        <v>21.600204159779199</v>
      </c>
      <c r="AO140">
        <v>21.583872325260458</v>
      </c>
      <c r="AP140">
        <v>21.588666383585327</v>
      </c>
      <c r="AQ140">
        <v>21.605374501448264</v>
      </c>
      <c r="AR140">
        <v>21.554715579078266</v>
      </c>
      <c r="AS140">
        <v>21.491324631109631</v>
      </c>
      <c r="AT140">
        <v>21.516251270074765</v>
      </c>
      <c r="AU140">
        <v>21.58191413536343</v>
      </c>
      <c r="AV140">
        <v>21.663232093841465</v>
      </c>
      <c r="AW140">
        <v>21.742367229796333</v>
      </c>
      <c r="AX140">
        <v>21.822824570449338</v>
      </c>
      <c r="AY140">
        <v>21.895024529503647</v>
      </c>
      <c r="AZ140">
        <v>21.976239175929997</v>
      </c>
      <c r="BA140">
        <v>22.046603213478718</v>
      </c>
      <c r="BB140">
        <v>22.114819497732821</v>
      </c>
      <c r="BC140">
        <v>22.13487665280584</v>
      </c>
      <c r="BD140">
        <v>22.15495199882406</v>
      </c>
      <c r="BE140">
        <v>22.175045552285859</v>
      </c>
      <c r="BF140">
        <v>22.195157329704575</v>
      </c>
      <c r="BG140">
        <v>22.215287347608523</v>
      </c>
      <c r="BH140">
        <v>22.237407284551185</v>
      </c>
      <c r="BI140">
        <v>22.259549246489641</v>
      </c>
      <c r="BJ140">
        <v>22.281713255354351</v>
      </c>
      <c r="BK140">
        <v>22.303899333097611</v>
      </c>
      <c r="BL140">
        <v>22.326107501693581</v>
      </c>
      <c r="BM140">
        <v>22.336823207612067</v>
      </c>
      <c r="BN140">
        <v>22.347544056673097</v>
      </c>
      <c r="BO140">
        <v>22.358270051345187</v>
      </c>
      <c r="BP140">
        <v>22.369001194098043</v>
      </c>
      <c r="BQ140">
        <v>22.379737487402554</v>
      </c>
      <c r="BR140">
        <v>22.390100389733625</v>
      </c>
      <c r="BS140">
        <v>22.400468090590362</v>
      </c>
      <c r="BT140">
        <v>22.410840592194713</v>
      </c>
      <c r="BU140">
        <v>22.421217896769658</v>
      </c>
      <c r="BV140">
        <v>22.431600006539206</v>
      </c>
      <c r="BW140">
        <v>22.438377931004013</v>
      </c>
      <c r="BX140">
        <v>22.44515790348412</v>
      </c>
      <c r="BY140">
        <v>22.451939924598356</v>
      </c>
      <c r="BZ140">
        <v>22.458723994965737</v>
      </c>
      <c r="CA140">
        <v>22.465510115205461</v>
      </c>
      <c r="CB140">
        <v>22.462969438648798</v>
      </c>
      <c r="CC140">
        <v>22.46042904942313</v>
      </c>
      <c r="CD140">
        <v>22.45788894749596</v>
      </c>
      <c r="CE140">
        <v>22.455349132834797</v>
      </c>
      <c r="CF140">
        <v>22.452809605407158</v>
      </c>
      <c r="CG140">
        <v>22.442624812220661</v>
      </c>
      <c r="CH140">
        <v>22.432444638946507</v>
      </c>
      <c r="CI140">
        <v>22.422269083489063</v>
      </c>
      <c r="CJ140">
        <v>22.412098143753649</v>
      </c>
      <c r="CK140">
        <v>22.401931817646531</v>
      </c>
      <c r="CL140">
        <v>22.389459823741635</v>
      </c>
      <c r="CM140">
        <v>22.376994773462549</v>
      </c>
      <c r="CN140">
        <v>22.364536662943497</v>
      </c>
      <c r="CO140">
        <v>22.352085488320853</v>
      </c>
      <c r="CP140">
        <v>22.339641245733144</v>
      </c>
      <c r="CQ140">
        <v>22.322592014179389</v>
      </c>
      <c r="CR140">
        <v>22.305555794307125</v>
      </c>
      <c r="CS140">
        <v>22.288532576186064</v>
      </c>
      <c r="CT140">
        <v>22.271522349893491</v>
      </c>
      <c r="CU140">
        <v>22.254525105514261</v>
      </c>
      <c r="CV140">
        <v>22.238544472899552</v>
      </c>
      <c r="CW140">
        <v>22.222575315731635</v>
      </c>
      <c r="CX140">
        <v>22.206617625770171</v>
      </c>
      <c r="CY140">
        <v>22.190671394780733</v>
      </c>
      <c r="CZ140" s="411">
        <v>22.174736614534808</v>
      </c>
    </row>
    <row r="141" spans="1:104" ht="14" thickBot="1">
      <c r="A141" s="1142" t="s">
        <v>682</v>
      </c>
      <c r="B141" s="406">
        <v>2016</v>
      </c>
      <c r="C141" s="1143">
        <f t="shared" si="151"/>
        <v>1</v>
      </c>
      <c r="D141" s="1144" t="s">
        <v>296</v>
      </c>
      <c r="E141" s="1143" t="s">
        <v>1068</v>
      </c>
      <c r="F141" s="1145"/>
      <c r="G141" s="406"/>
      <c r="H141" s="1146">
        <v>31.081820315099751</v>
      </c>
      <c r="I141" s="1146">
        <v>31.795307521355493</v>
      </c>
      <c r="J141" s="1146">
        <v>33.946842042036877</v>
      </c>
      <c r="K141" s="1146">
        <v>33.862138723062856</v>
      </c>
      <c r="L141" s="1146">
        <v>35.110516897292094</v>
      </c>
      <c r="M141" s="1146">
        <v>35.620882248372396</v>
      </c>
      <c r="N141" s="1146">
        <v>35.284315436843215</v>
      </c>
      <c r="O141" s="406">
        <v>35.109707376782602</v>
      </c>
      <c r="P141" s="406">
        <v>34.944303180720262</v>
      </c>
      <c r="Q141" s="406">
        <v>35.113313940081568</v>
      </c>
      <c r="R141" s="406">
        <v>35.603854676435802</v>
      </c>
      <c r="S141" s="406">
        <v>35.586699324775935</v>
      </c>
      <c r="T141" s="406">
        <v>34.861101349999998</v>
      </c>
      <c r="U141" s="406">
        <v>34.664653819323334</v>
      </c>
      <c r="V141" s="406">
        <v>34.410290069910978</v>
      </c>
      <c r="W141" s="406">
        <v>34.908531869398402</v>
      </c>
      <c r="X141" s="406">
        <v>35.616671532127199</v>
      </c>
      <c r="Y141" s="406">
        <v>35.947520321196222</v>
      </c>
      <c r="Z141" s="406">
        <v>36.987705865849776</v>
      </c>
      <c r="AA141" s="406">
        <v>37.546039262370911</v>
      </c>
      <c r="AB141" s="406">
        <v>37.510823122184988</v>
      </c>
      <c r="AC141" s="406">
        <v>38.008797637281816</v>
      </c>
      <c r="AD141" s="406">
        <v>38.419808048103611</v>
      </c>
      <c r="AE141" s="406">
        <v>38.480927078752217</v>
      </c>
      <c r="AF141" s="406">
        <v>38.529894147798792</v>
      </c>
      <c r="AG141" s="406">
        <v>38.610432052895767</v>
      </c>
      <c r="AH141" s="406">
        <v>38.669048846696292</v>
      </c>
      <c r="AI141" s="406">
        <v>38.631731396248163</v>
      </c>
      <c r="AJ141" s="406">
        <v>38.567872226687491</v>
      </c>
      <c r="AK141" s="406">
        <v>38.465126969563705</v>
      </c>
      <c r="AL141" s="406">
        <v>38.413723063041203</v>
      </c>
      <c r="AM141" s="406">
        <v>38.515467425425761</v>
      </c>
      <c r="AN141" s="406">
        <v>38.527084818246614</v>
      </c>
      <c r="AO141" s="406">
        <v>38.521472793861179</v>
      </c>
      <c r="AP141" s="406">
        <v>38.546973809920992</v>
      </c>
      <c r="AQ141" s="406">
        <v>38.560691565187064</v>
      </c>
      <c r="AR141" s="406">
        <v>38.568356561168315</v>
      </c>
      <c r="AS141" s="406">
        <v>38.569368829711408</v>
      </c>
      <c r="AT141" s="406">
        <v>38.651143635977618</v>
      </c>
      <c r="AU141" s="406">
        <v>38.781520601750053</v>
      </c>
      <c r="AV141" s="406">
        <v>38.929117506558889</v>
      </c>
      <c r="AW141" s="406">
        <v>39.08758776785308</v>
      </c>
      <c r="AX141" s="406">
        <v>39.228047610742941</v>
      </c>
      <c r="AY141" s="406">
        <v>39.393119417357944</v>
      </c>
      <c r="AZ141" s="406">
        <v>39.595269824540118</v>
      </c>
      <c r="BA141" s="406">
        <v>39.769550621009692</v>
      </c>
      <c r="BB141" s="406">
        <v>39.980674011616443</v>
      </c>
      <c r="BC141" s="406">
        <v>39.983105560972888</v>
      </c>
      <c r="BD141" s="406">
        <v>39.985537258211586</v>
      </c>
      <c r="BE141" s="406">
        <v>39.987969103341534</v>
      </c>
      <c r="BF141" s="406">
        <v>39.990401096371727</v>
      </c>
      <c r="BG141" s="406">
        <v>39.99283323731116</v>
      </c>
      <c r="BH141" s="406">
        <v>39.998683153044055</v>
      </c>
      <c r="BI141" s="406">
        <v>40.00453392446812</v>
      </c>
      <c r="BJ141" s="406">
        <v>40.010385551708517</v>
      </c>
      <c r="BK141" s="406">
        <v>40.016238034890421</v>
      </c>
      <c r="BL141" s="406">
        <v>40.022091374139045</v>
      </c>
      <c r="BM141" s="406">
        <v>40.01068560090993</v>
      </c>
      <c r="BN141" s="406">
        <v>39.999283078177193</v>
      </c>
      <c r="BO141" s="406">
        <v>39.987883805014484</v>
      </c>
      <c r="BP141" s="406">
        <v>39.976487780495717</v>
      </c>
      <c r="BQ141" s="406">
        <v>39.965095003695069</v>
      </c>
      <c r="BR141" s="406">
        <v>39.953080546830584</v>
      </c>
      <c r="BS141" s="406">
        <v>39.941069701797218</v>
      </c>
      <c r="BT141" s="406">
        <v>39.929062467509169</v>
      </c>
      <c r="BU141" s="406">
        <v>39.917058842880955</v>
      </c>
      <c r="BV141" s="406">
        <v>39.905058826827435</v>
      </c>
      <c r="BW141" s="406">
        <v>39.887488478960996</v>
      </c>
      <c r="BX141" s="406">
        <v>39.869925867384971</v>
      </c>
      <c r="BY141" s="406">
        <v>39.852370988693046</v>
      </c>
      <c r="BZ141" s="406">
        <v>39.8348238394804</v>
      </c>
      <c r="CA141" s="406">
        <v>39.817284416343718</v>
      </c>
      <c r="CB141" s="406">
        <v>39.785391393336162</v>
      </c>
      <c r="CC141" s="406">
        <v>39.75352391614198</v>
      </c>
      <c r="CD141" s="406">
        <v>39.721681964299371</v>
      </c>
      <c r="CE141" s="406">
        <v>39.689865517362925</v>
      </c>
      <c r="CF141" s="406">
        <v>39.658074554903607</v>
      </c>
      <c r="CG141" s="406">
        <v>39.614280722534119</v>
      </c>
      <c r="CH141" s="406">
        <v>39.57053525105394</v>
      </c>
      <c r="CI141" s="406">
        <v>39.526838087058842</v>
      </c>
      <c r="CJ141" s="406">
        <v>39.48318917720357</v>
      </c>
      <c r="CK141" s="406">
        <v>39.439588468201791</v>
      </c>
      <c r="CL141" s="406">
        <v>39.392053039782866</v>
      </c>
      <c r="CM141" s="406">
        <v>39.344574904480901</v>
      </c>
      <c r="CN141" s="406">
        <v>39.297153993242112</v>
      </c>
      <c r="CO141" s="406">
        <v>39.249790237095944</v>
      </c>
      <c r="CP141" s="406">
        <v>39.202483567154964</v>
      </c>
      <c r="CQ141" s="406">
        <v>39.147690090479308</v>
      </c>
      <c r="CR141" s="406">
        <v>39.092973198877175</v>
      </c>
      <c r="CS141" s="406">
        <v>39.038332785305279</v>
      </c>
      <c r="CT141" s="406">
        <v>38.983768742869955</v>
      </c>
      <c r="CU141" s="406">
        <v>38.929280964826951</v>
      </c>
      <c r="CV141" s="406">
        <v>38.876091192919297</v>
      </c>
      <c r="CW141" s="406">
        <v>38.822974095147039</v>
      </c>
      <c r="CX141" s="406">
        <v>38.769929572214203</v>
      </c>
      <c r="CY141" s="406">
        <v>38.716957524960492</v>
      </c>
      <c r="CZ141" s="407">
        <v>38.66405785436109</v>
      </c>
    </row>
    <row r="202" spans="1:2" ht="14">
      <c r="A202" s="2"/>
      <c r="B202" s="2"/>
    </row>
    <row r="203" spans="1:2" ht="14">
      <c r="A203" s="2"/>
      <c r="B203" s="2"/>
    </row>
    <row r="251" spans="29:29">
      <c r="AC251" s="28"/>
    </row>
    <row r="252" spans="29:29">
      <c r="AC252" s="28"/>
    </row>
    <row r="253" spans="29:29">
      <c r="AC253" s="28"/>
    </row>
    <row r="254" spans="29:29">
      <c r="AC254" s="28"/>
    </row>
    <row r="257" spans="29:29">
      <c r="AC257" s="28"/>
    </row>
    <row r="258" spans="29:29">
      <c r="AC258" s="28"/>
    </row>
    <row r="259" spans="29:29">
      <c r="AC259" s="28"/>
    </row>
    <row r="260" spans="29:29">
      <c r="AC260" s="28"/>
    </row>
    <row r="263" spans="29:29">
      <c r="AC263" s="28"/>
    </row>
    <row r="264" spans="29:29">
      <c r="AC264" s="28"/>
    </row>
    <row r="265" spans="29:29">
      <c r="AC265" s="28"/>
    </row>
    <row r="266" spans="29:29">
      <c r="AC266" s="28"/>
    </row>
    <row r="267" spans="29:29">
      <c r="AC267" s="28"/>
    </row>
    <row r="268" spans="29:29">
      <c r="AC268" s="28"/>
    </row>
    <row r="270" spans="29:29">
      <c r="AC270" s="28"/>
    </row>
    <row r="273" spans="29:29">
      <c r="AC273" s="28"/>
    </row>
    <row r="274" spans="29:29">
      <c r="AC274" s="28"/>
    </row>
    <row r="275" spans="29:29">
      <c r="AC275" s="28"/>
    </row>
    <row r="276" spans="29:29">
      <c r="AC276" s="28"/>
    </row>
    <row r="277" spans="29:29">
      <c r="AC277" s="28"/>
    </row>
    <row r="278" spans="29:29">
      <c r="AC278" s="28"/>
    </row>
    <row r="279" spans="29:29">
      <c r="AC279" s="28"/>
    </row>
    <row r="280" spans="29:29">
      <c r="AC280" s="28"/>
    </row>
    <row r="283" spans="29:29">
      <c r="AC283" s="28"/>
    </row>
    <row r="284" spans="29:29">
      <c r="AC284" s="28"/>
    </row>
    <row r="285" spans="29:29">
      <c r="AC285" s="28"/>
    </row>
    <row r="286" spans="29:29">
      <c r="AC286" s="28"/>
    </row>
    <row r="289" spans="29:29">
      <c r="AC289" s="28"/>
    </row>
    <row r="290" spans="29:29">
      <c r="AC290" s="28"/>
    </row>
    <row r="291" spans="29:29">
      <c r="AC291" s="28"/>
    </row>
    <row r="292" spans="29:29">
      <c r="AC292" s="28"/>
    </row>
    <row r="293" spans="29:29">
      <c r="AC293" s="28"/>
    </row>
    <row r="294" spans="29:29">
      <c r="AC294" s="28"/>
    </row>
    <row r="295" spans="29:29">
      <c r="AC295" s="28"/>
    </row>
    <row r="296" spans="29:29">
      <c r="AC296" s="28"/>
    </row>
    <row r="297" spans="29:29">
      <c r="AC297" s="28"/>
    </row>
    <row r="299" spans="29:29">
      <c r="AC299" s="28"/>
    </row>
    <row r="303" spans="29:29">
      <c r="AC303" s="28"/>
    </row>
    <row r="304" spans="29:29">
      <c r="AC304" s="28"/>
    </row>
    <row r="305" spans="29:29">
      <c r="AC305" s="28"/>
    </row>
    <row r="306" spans="29:29">
      <c r="AC306" s="28"/>
    </row>
    <row r="307" spans="29:29">
      <c r="AC307" s="28"/>
    </row>
    <row r="308" spans="29:29">
      <c r="AC308" s="28"/>
    </row>
    <row r="309" spans="29:29">
      <c r="AC309" s="28"/>
    </row>
  </sheetData>
  <phoneticPr fontId="2"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workbookViewId="0"/>
  </sheetViews>
  <sheetFormatPr baseColWidth="10" defaultColWidth="8.83203125" defaultRowHeight="13"/>
  <cols>
    <col min="1" max="1" width="27.6640625" customWidth="1"/>
    <col min="2" max="2" width="12.6640625" customWidth="1"/>
    <col min="3" max="3" width="19.6640625" customWidth="1"/>
    <col min="4" max="4" width="28.33203125" customWidth="1"/>
    <col min="5" max="5" width="16.5" customWidth="1"/>
    <col min="6" max="6" width="11.5" customWidth="1"/>
    <col min="7" max="7" width="9.6640625" customWidth="1"/>
    <col min="8" max="8" width="10.33203125" customWidth="1"/>
    <col min="9" max="9" width="10.5" customWidth="1"/>
    <col min="10" max="10" width="9.5" customWidth="1"/>
    <col min="11" max="12" width="10" customWidth="1"/>
    <col min="13" max="13" width="10.6640625" customWidth="1"/>
    <col min="14" max="14" width="9.5" customWidth="1"/>
    <col min="15" max="15" width="10.6640625" customWidth="1"/>
    <col min="16" max="16" width="10.33203125" customWidth="1"/>
    <col min="17" max="17" width="9.5" customWidth="1"/>
    <col min="18" max="18" width="9.6640625" customWidth="1"/>
    <col min="19" max="19" width="10" customWidth="1"/>
    <col min="20" max="21" width="9.6640625" customWidth="1"/>
    <col min="22" max="22" width="10" customWidth="1"/>
    <col min="23" max="24" width="9.6640625" customWidth="1"/>
    <col min="25" max="25" width="10" customWidth="1"/>
    <col min="26" max="26" width="9.6640625" customWidth="1"/>
    <col min="27" max="27" width="10.6640625" customWidth="1"/>
    <col min="28" max="28" width="10.33203125" customWidth="1"/>
    <col min="29" max="29" width="10" customWidth="1"/>
    <col min="30" max="30" width="9.6640625" customWidth="1"/>
    <col min="31" max="31" width="10.33203125" customWidth="1"/>
    <col min="32" max="32" width="10.5" customWidth="1"/>
    <col min="33" max="33" width="9.5" customWidth="1"/>
    <col min="34" max="34" width="10" customWidth="1"/>
    <col min="35" max="35" width="9.33203125" customWidth="1"/>
    <col min="36" max="36" width="10" customWidth="1"/>
    <col min="37" max="37" width="10.33203125" customWidth="1"/>
    <col min="38" max="38" width="9.6640625" customWidth="1"/>
    <col min="39" max="39" width="9.5" customWidth="1"/>
    <col min="40" max="40" width="9.6640625" customWidth="1"/>
    <col min="41" max="41" width="10.33203125" customWidth="1"/>
    <col min="42" max="44" width="9.6640625" customWidth="1"/>
    <col min="45" max="45" width="9.33203125" customWidth="1"/>
    <col min="46" max="46" width="9.5" customWidth="1"/>
    <col min="47" max="47" width="9.6640625" customWidth="1"/>
    <col min="48" max="48" width="10.33203125" customWidth="1"/>
    <col min="49" max="49" width="10.5" customWidth="1"/>
    <col min="50" max="50" width="9.5" customWidth="1"/>
    <col min="51" max="52" width="9.6640625" customWidth="1"/>
    <col min="53" max="54" width="9.5" customWidth="1"/>
    <col min="55" max="55" width="9.6640625" customWidth="1"/>
    <col min="56" max="56" width="9.5" customWidth="1"/>
    <col min="57" max="59" width="9.6640625" customWidth="1"/>
    <col min="60" max="60" width="9.5" customWidth="1"/>
    <col min="61" max="61" width="9.6640625" customWidth="1"/>
    <col min="62" max="62" width="9.5" customWidth="1"/>
    <col min="63" max="63" width="9.6640625" customWidth="1"/>
    <col min="64" max="64" width="10.33203125" customWidth="1"/>
    <col min="65" max="65" width="9.6640625" customWidth="1"/>
    <col min="66" max="66" width="10.33203125" customWidth="1"/>
    <col min="67" max="67" width="9.5" customWidth="1"/>
    <col min="68" max="68" width="9.6640625" customWidth="1"/>
    <col min="69" max="69" width="9.5" customWidth="1"/>
    <col min="70" max="70" width="9.6640625" customWidth="1"/>
    <col min="71" max="71" width="10.33203125" customWidth="1"/>
    <col min="72" max="72" width="9.6640625" customWidth="1"/>
    <col min="73" max="74" width="9.5" customWidth="1"/>
  </cols>
  <sheetData>
    <row r="1" spans="1:104" ht="58" thickTop="1" thickBot="1">
      <c r="A1" s="209" t="s">
        <v>1047</v>
      </c>
      <c r="B1" s="210" t="s">
        <v>1046</v>
      </c>
      <c r="C1" s="757" t="s">
        <v>676</v>
      </c>
      <c r="D1" s="757" t="s">
        <v>821</v>
      </c>
      <c r="E1" s="211">
        <v>2001</v>
      </c>
      <c r="F1" s="212">
        <v>2002</v>
      </c>
      <c r="G1" s="212">
        <v>2003</v>
      </c>
      <c r="H1" s="212">
        <v>2004</v>
      </c>
      <c r="I1" s="212">
        <v>2005</v>
      </c>
      <c r="J1" s="212">
        <v>2006</v>
      </c>
      <c r="K1" s="212">
        <v>2007</v>
      </c>
      <c r="L1" s="212">
        <v>2008</v>
      </c>
      <c r="M1" s="212">
        <v>2009</v>
      </c>
      <c r="N1" s="212">
        <v>2010</v>
      </c>
      <c r="O1" s="212">
        <v>2011</v>
      </c>
      <c r="P1" s="212">
        <v>2012</v>
      </c>
      <c r="Q1" s="212">
        <v>2013</v>
      </c>
      <c r="R1" s="212">
        <v>2014</v>
      </c>
      <c r="S1" s="212">
        <v>2015</v>
      </c>
      <c r="T1" s="212">
        <v>2016</v>
      </c>
      <c r="U1" s="212">
        <v>2017</v>
      </c>
      <c r="V1" s="212">
        <v>2018</v>
      </c>
      <c r="W1" s="212">
        <v>2019</v>
      </c>
      <c r="X1" s="212">
        <v>2020</v>
      </c>
      <c r="Y1" s="212">
        <v>2021</v>
      </c>
      <c r="Z1" s="212">
        <v>2022</v>
      </c>
      <c r="AA1" s="212">
        <v>2023</v>
      </c>
      <c r="AB1" s="212">
        <v>2024</v>
      </c>
      <c r="AC1" s="212">
        <v>2025</v>
      </c>
      <c r="AD1" s="212">
        <v>2026</v>
      </c>
      <c r="AE1" s="212">
        <v>2027</v>
      </c>
      <c r="AF1" s="212">
        <v>2028</v>
      </c>
      <c r="AG1" s="212">
        <v>2029</v>
      </c>
      <c r="AH1" s="212">
        <v>2030</v>
      </c>
      <c r="AI1" s="212">
        <v>2031</v>
      </c>
      <c r="AJ1" s="212">
        <v>2032</v>
      </c>
      <c r="AK1" s="212">
        <v>2033</v>
      </c>
      <c r="AL1" s="212">
        <v>2034</v>
      </c>
      <c r="AM1" s="212">
        <v>2035</v>
      </c>
      <c r="AN1" s="212">
        <v>2036</v>
      </c>
      <c r="AO1" s="212">
        <v>2037</v>
      </c>
      <c r="AP1" s="212">
        <v>2038</v>
      </c>
      <c r="AQ1" s="212">
        <v>2039</v>
      </c>
      <c r="AR1" s="212">
        <v>2040</v>
      </c>
      <c r="AS1" s="212">
        <v>2041</v>
      </c>
      <c r="AT1" s="212">
        <v>2042</v>
      </c>
      <c r="AU1" s="212">
        <v>2043</v>
      </c>
      <c r="AV1" s="212">
        <v>2044</v>
      </c>
      <c r="AW1" s="212">
        <v>2045</v>
      </c>
      <c r="AX1" s="212">
        <v>2046</v>
      </c>
      <c r="AY1" s="212">
        <v>2047</v>
      </c>
      <c r="AZ1" s="212">
        <v>2048</v>
      </c>
      <c r="BA1" s="212">
        <v>2049</v>
      </c>
      <c r="BB1" s="212">
        <v>2050</v>
      </c>
      <c r="BC1" s="212">
        <v>2051</v>
      </c>
      <c r="BD1" s="212">
        <v>2052</v>
      </c>
      <c r="BE1" s="212">
        <v>2053</v>
      </c>
      <c r="BF1" s="212">
        <v>2054</v>
      </c>
      <c r="BG1" s="212">
        <v>2055</v>
      </c>
      <c r="BH1" s="212">
        <v>2056</v>
      </c>
      <c r="BI1" s="212">
        <v>2057</v>
      </c>
      <c r="BJ1" s="212">
        <v>2058</v>
      </c>
      <c r="BK1" s="212">
        <v>2059</v>
      </c>
      <c r="BL1" s="212">
        <v>2060</v>
      </c>
      <c r="BM1" s="212">
        <v>2061</v>
      </c>
      <c r="BN1" s="212">
        <v>2062</v>
      </c>
      <c r="BO1" s="212">
        <v>2063</v>
      </c>
      <c r="BP1" s="212">
        <v>2064</v>
      </c>
      <c r="BQ1" s="212">
        <v>2065</v>
      </c>
      <c r="BR1" s="212">
        <v>2066</v>
      </c>
      <c r="BS1" s="212">
        <v>2067</v>
      </c>
      <c r="BT1" s="212">
        <v>2068</v>
      </c>
      <c r="BU1" s="212">
        <v>2069</v>
      </c>
      <c r="BV1" s="213">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4" thickTop="1">
      <c r="A2" t="s">
        <v>1042</v>
      </c>
      <c r="B2" s="40" t="s">
        <v>705</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 t="shared" ref="BW2:BW8" si="5">+BV2</f>
        <v>1.1334993860117458E-4</v>
      </c>
      <c r="BX2">
        <f t="shared" ref="BX2:CZ8" si="6">+BW2</f>
        <v>1.1334993860117458E-4</v>
      </c>
      <c r="BY2">
        <f t="shared" si="6"/>
        <v>1.1334993860117458E-4</v>
      </c>
      <c r="BZ2">
        <f t="shared" si="6"/>
        <v>1.1334993860117458E-4</v>
      </c>
      <c r="CA2">
        <f t="shared" si="6"/>
        <v>1.1334993860117458E-4</v>
      </c>
      <c r="CB2">
        <f t="shared" si="6"/>
        <v>1.1334993860117458E-4</v>
      </c>
      <c r="CC2">
        <f t="shared" si="6"/>
        <v>1.1334993860117458E-4</v>
      </c>
      <c r="CD2">
        <f t="shared" si="6"/>
        <v>1.1334993860117458E-4</v>
      </c>
      <c r="CE2">
        <f t="shared" si="6"/>
        <v>1.1334993860117458E-4</v>
      </c>
      <c r="CF2">
        <f t="shared" si="6"/>
        <v>1.1334993860117458E-4</v>
      </c>
      <c r="CG2">
        <f t="shared" si="6"/>
        <v>1.1334993860117458E-4</v>
      </c>
      <c r="CH2">
        <f t="shared" si="6"/>
        <v>1.1334993860117458E-4</v>
      </c>
      <c r="CI2">
        <f t="shared" si="6"/>
        <v>1.1334993860117458E-4</v>
      </c>
      <c r="CJ2">
        <f t="shared" si="6"/>
        <v>1.1334993860117458E-4</v>
      </c>
      <c r="CK2">
        <f t="shared" si="6"/>
        <v>1.1334993860117458E-4</v>
      </c>
      <c r="CL2">
        <f t="shared" si="6"/>
        <v>1.1334993860117458E-4</v>
      </c>
      <c r="CM2">
        <f t="shared" si="6"/>
        <v>1.1334993860117458E-4</v>
      </c>
      <c r="CN2">
        <f t="shared" si="6"/>
        <v>1.1334993860117458E-4</v>
      </c>
      <c r="CO2">
        <f t="shared" si="6"/>
        <v>1.1334993860117458E-4</v>
      </c>
      <c r="CP2">
        <f t="shared" si="6"/>
        <v>1.1334993860117458E-4</v>
      </c>
      <c r="CQ2">
        <f t="shared" si="6"/>
        <v>1.1334993860117458E-4</v>
      </c>
      <c r="CR2">
        <f t="shared" si="6"/>
        <v>1.1334993860117458E-4</v>
      </c>
      <c r="CS2">
        <f t="shared" si="6"/>
        <v>1.1334993860117458E-4</v>
      </c>
      <c r="CT2">
        <f t="shared" si="6"/>
        <v>1.1334993860117458E-4</v>
      </c>
      <c r="CU2">
        <f t="shared" si="6"/>
        <v>1.1334993860117458E-4</v>
      </c>
      <c r="CV2">
        <f t="shared" si="6"/>
        <v>1.1334993860117458E-4</v>
      </c>
      <c r="CW2">
        <f t="shared" si="6"/>
        <v>1.1334993860117458E-4</v>
      </c>
      <c r="CX2">
        <f t="shared" si="6"/>
        <v>1.1334993860117458E-4</v>
      </c>
      <c r="CY2">
        <f t="shared" si="6"/>
        <v>1.1334993860117458E-4</v>
      </c>
      <c r="CZ2">
        <f t="shared" si="6"/>
        <v>1.1334993860117458E-4</v>
      </c>
    </row>
    <row r="3" spans="1:104">
      <c r="A3" t="s">
        <v>1043</v>
      </c>
      <c r="B3" s="40" t="s">
        <v>705</v>
      </c>
      <c r="C3">
        <v>2005</v>
      </c>
      <c r="D3">
        <f t="shared" si="1"/>
        <v>1.4260544580886279</v>
      </c>
      <c r="E3">
        <f t="shared" ref="E3:AJ3" si="7">0.0049962*($D$3)</f>
        <v>7.1248532835024025E-3</v>
      </c>
      <c r="F3">
        <f t="shared" si="7"/>
        <v>7.1248532835024025E-3</v>
      </c>
      <c r="G3">
        <f t="shared" si="7"/>
        <v>7.1248532835024025E-3</v>
      </c>
      <c r="H3">
        <f t="shared" si="7"/>
        <v>7.1248532835024025E-3</v>
      </c>
      <c r="I3">
        <f t="shared" si="7"/>
        <v>7.1248532835024025E-3</v>
      </c>
      <c r="J3">
        <f t="shared" si="7"/>
        <v>7.1248532835024025E-3</v>
      </c>
      <c r="K3">
        <f t="shared" si="7"/>
        <v>7.1248532835024025E-3</v>
      </c>
      <c r="L3">
        <f t="shared" si="7"/>
        <v>7.1248532835024025E-3</v>
      </c>
      <c r="M3">
        <f t="shared" si="7"/>
        <v>7.1248532835024025E-3</v>
      </c>
      <c r="N3">
        <f t="shared" si="7"/>
        <v>7.1248532835024025E-3</v>
      </c>
      <c r="O3">
        <f t="shared" si="7"/>
        <v>7.1248532835024025E-3</v>
      </c>
      <c r="P3">
        <f t="shared" si="7"/>
        <v>7.1248532835024025E-3</v>
      </c>
      <c r="Q3">
        <f t="shared" si="7"/>
        <v>7.1248532835024025E-3</v>
      </c>
      <c r="R3">
        <f t="shared" si="7"/>
        <v>7.1248532835024025E-3</v>
      </c>
      <c r="S3">
        <f t="shared" si="7"/>
        <v>7.1248532835024025E-3</v>
      </c>
      <c r="T3">
        <f t="shared" si="7"/>
        <v>7.1248532835024025E-3</v>
      </c>
      <c r="U3">
        <f t="shared" si="7"/>
        <v>7.1248532835024025E-3</v>
      </c>
      <c r="V3">
        <f t="shared" si="7"/>
        <v>7.1248532835024025E-3</v>
      </c>
      <c r="W3">
        <f t="shared" si="7"/>
        <v>7.1248532835024025E-3</v>
      </c>
      <c r="X3">
        <f t="shared" si="7"/>
        <v>7.1248532835024025E-3</v>
      </c>
      <c r="Y3">
        <f t="shared" si="7"/>
        <v>7.1248532835024025E-3</v>
      </c>
      <c r="Z3">
        <f t="shared" si="7"/>
        <v>7.1248532835024025E-3</v>
      </c>
      <c r="AA3">
        <f t="shared" si="7"/>
        <v>7.1248532835024025E-3</v>
      </c>
      <c r="AB3">
        <f t="shared" si="7"/>
        <v>7.1248532835024025E-3</v>
      </c>
      <c r="AC3">
        <f t="shared" si="7"/>
        <v>7.1248532835024025E-3</v>
      </c>
      <c r="AD3">
        <f t="shared" si="7"/>
        <v>7.1248532835024025E-3</v>
      </c>
      <c r="AE3">
        <f t="shared" si="7"/>
        <v>7.1248532835024025E-3</v>
      </c>
      <c r="AF3">
        <f t="shared" si="7"/>
        <v>7.1248532835024025E-3</v>
      </c>
      <c r="AG3">
        <f t="shared" si="7"/>
        <v>7.1248532835024025E-3</v>
      </c>
      <c r="AH3">
        <f t="shared" si="7"/>
        <v>7.1248532835024025E-3</v>
      </c>
      <c r="AI3">
        <f t="shared" si="7"/>
        <v>7.1248532835024025E-3</v>
      </c>
      <c r="AJ3">
        <f t="shared" si="7"/>
        <v>7.1248532835024025E-3</v>
      </c>
      <c r="AK3">
        <f t="shared" ref="AK3:BP3" si="8">0.0049962*($D$3)</f>
        <v>7.1248532835024025E-3</v>
      </c>
      <c r="AL3">
        <f t="shared" si="8"/>
        <v>7.1248532835024025E-3</v>
      </c>
      <c r="AM3">
        <f t="shared" si="8"/>
        <v>7.1248532835024025E-3</v>
      </c>
      <c r="AN3">
        <f t="shared" si="8"/>
        <v>7.1248532835024025E-3</v>
      </c>
      <c r="AO3">
        <f t="shared" si="8"/>
        <v>7.1248532835024025E-3</v>
      </c>
      <c r="AP3">
        <f t="shared" si="8"/>
        <v>7.1248532835024025E-3</v>
      </c>
      <c r="AQ3">
        <f t="shared" si="8"/>
        <v>7.1248532835024025E-3</v>
      </c>
      <c r="AR3">
        <f t="shared" si="8"/>
        <v>7.1248532835024025E-3</v>
      </c>
      <c r="AS3">
        <f t="shared" si="8"/>
        <v>7.1248532835024025E-3</v>
      </c>
      <c r="AT3">
        <f t="shared" si="8"/>
        <v>7.1248532835024025E-3</v>
      </c>
      <c r="AU3">
        <f t="shared" si="8"/>
        <v>7.1248532835024025E-3</v>
      </c>
      <c r="AV3">
        <f t="shared" si="8"/>
        <v>7.1248532835024025E-3</v>
      </c>
      <c r="AW3">
        <f t="shared" si="8"/>
        <v>7.1248532835024025E-3</v>
      </c>
      <c r="AX3">
        <f t="shared" si="8"/>
        <v>7.1248532835024025E-3</v>
      </c>
      <c r="AY3">
        <f t="shared" si="8"/>
        <v>7.1248532835024025E-3</v>
      </c>
      <c r="AZ3">
        <f t="shared" si="8"/>
        <v>7.1248532835024025E-3</v>
      </c>
      <c r="BA3">
        <f t="shared" si="8"/>
        <v>7.1248532835024025E-3</v>
      </c>
      <c r="BB3">
        <f t="shared" si="8"/>
        <v>7.1248532835024025E-3</v>
      </c>
      <c r="BC3">
        <f t="shared" si="8"/>
        <v>7.1248532835024025E-3</v>
      </c>
      <c r="BD3">
        <f t="shared" si="8"/>
        <v>7.1248532835024025E-3</v>
      </c>
      <c r="BE3">
        <f t="shared" si="8"/>
        <v>7.1248532835024025E-3</v>
      </c>
      <c r="BF3">
        <f t="shared" si="8"/>
        <v>7.1248532835024025E-3</v>
      </c>
      <c r="BG3">
        <f t="shared" si="8"/>
        <v>7.1248532835024025E-3</v>
      </c>
      <c r="BH3">
        <f t="shared" si="8"/>
        <v>7.1248532835024025E-3</v>
      </c>
      <c r="BI3">
        <f t="shared" si="8"/>
        <v>7.1248532835024025E-3</v>
      </c>
      <c r="BJ3">
        <f t="shared" si="8"/>
        <v>7.1248532835024025E-3</v>
      </c>
      <c r="BK3">
        <f t="shared" si="8"/>
        <v>7.1248532835024025E-3</v>
      </c>
      <c r="BL3">
        <f t="shared" si="8"/>
        <v>7.1248532835024025E-3</v>
      </c>
      <c r="BM3">
        <f t="shared" si="8"/>
        <v>7.1248532835024025E-3</v>
      </c>
      <c r="BN3">
        <f t="shared" si="8"/>
        <v>7.1248532835024025E-3</v>
      </c>
      <c r="BO3">
        <f t="shared" si="8"/>
        <v>7.1248532835024025E-3</v>
      </c>
      <c r="BP3">
        <f t="shared" si="8"/>
        <v>7.1248532835024025E-3</v>
      </c>
      <c r="BQ3">
        <f t="shared" ref="BQ3:BV3" si="9">0.0049962*($D$3)</f>
        <v>7.1248532835024025E-3</v>
      </c>
      <c r="BR3">
        <f t="shared" si="9"/>
        <v>7.1248532835024025E-3</v>
      </c>
      <c r="BS3">
        <f t="shared" si="9"/>
        <v>7.1248532835024025E-3</v>
      </c>
      <c r="BT3">
        <f t="shared" si="9"/>
        <v>7.1248532835024025E-3</v>
      </c>
      <c r="BU3">
        <f t="shared" si="9"/>
        <v>7.1248532835024025E-3</v>
      </c>
      <c r="BV3">
        <f t="shared" si="9"/>
        <v>7.1248532835024025E-3</v>
      </c>
      <c r="BW3">
        <f t="shared" si="5"/>
        <v>7.1248532835024025E-3</v>
      </c>
      <c r="BX3">
        <f t="shared" ref="BX3:CL3" si="10">+BW3</f>
        <v>7.1248532835024025E-3</v>
      </c>
      <c r="BY3">
        <f t="shared" si="10"/>
        <v>7.1248532835024025E-3</v>
      </c>
      <c r="BZ3">
        <f t="shared" si="10"/>
        <v>7.1248532835024025E-3</v>
      </c>
      <c r="CA3">
        <f t="shared" si="10"/>
        <v>7.1248532835024025E-3</v>
      </c>
      <c r="CB3">
        <f t="shared" si="10"/>
        <v>7.1248532835024025E-3</v>
      </c>
      <c r="CC3">
        <f t="shared" si="10"/>
        <v>7.1248532835024025E-3</v>
      </c>
      <c r="CD3">
        <f t="shared" si="10"/>
        <v>7.1248532835024025E-3</v>
      </c>
      <c r="CE3">
        <f t="shared" si="10"/>
        <v>7.1248532835024025E-3</v>
      </c>
      <c r="CF3">
        <f t="shared" si="10"/>
        <v>7.1248532835024025E-3</v>
      </c>
      <c r="CG3">
        <f t="shared" si="10"/>
        <v>7.1248532835024025E-3</v>
      </c>
      <c r="CH3">
        <f t="shared" si="10"/>
        <v>7.1248532835024025E-3</v>
      </c>
      <c r="CI3">
        <f t="shared" si="10"/>
        <v>7.1248532835024025E-3</v>
      </c>
      <c r="CJ3">
        <f t="shared" si="10"/>
        <v>7.1248532835024025E-3</v>
      </c>
      <c r="CK3">
        <f t="shared" si="10"/>
        <v>7.1248532835024025E-3</v>
      </c>
      <c r="CL3">
        <f t="shared" si="10"/>
        <v>7.1248532835024025E-3</v>
      </c>
      <c r="CM3">
        <f t="shared" si="6"/>
        <v>7.1248532835024025E-3</v>
      </c>
      <c r="CN3">
        <f t="shared" si="6"/>
        <v>7.1248532835024025E-3</v>
      </c>
      <c r="CO3">
        <f t="shared" si="6"/>
        <v>7.1248532835024025E-3</v>
      </c>
      <c r="CP3">
        <f t="shared" si="6"/>
        <v>7.1248532835024025E-3</v>
      </c>
      <c r="CQ3">
        <f t="shared" si="6"/>
        <v>7.1248532835024025E-3</v>
      </c>
      <c r="CR3">
        <f t="shared" si="6"/>
        <v>7.1248532835024025E-3</v>
      </c>
      <c r="CS3">
        <f t="shared" si="6"/>
        <v>7.1248532835024025E-3</v>
      </c>
      <c r="CT3">
        <f t="shared" si="6"/>
        <v>7.1248532835024025E-3</v>
      </c>
      <c r="CU3">
        <f t="shared" si="6"/>
        <v>7.1248532835024025E-3</v>
      </c>
      <c r="CV3">
        <f t="shared" si="6"/>
        <v>7.1248532835024025E-3</v>
      </c>
      <c r="CW3">
        <f t="shared" si="6"/>
        <v>7.1248532835024025E-3</v>
      </c>
      <c r="CX3">
        <f t="shared" si="6"/>
        <v>7.1248532835024025E-3</v>
      </c>
      <c r="CY3">
        <f t="shared" si="6"/>
        <v>7.1248532835024025E-3</v>
      </c>
      <c r="CZ3">
        <f t="shared" si="6"/>
        <v>7.1248532835024025E-3</v>
      </c>
    </row>
    <row r="4" spans="1:104">
      <c r="A4" t="s">
        <v>1044</v>
      </c>
      <c r="B4" s="40" t="s">
        <v>705</v>
      </c>
      <c r="C4">
        <v>2005</v>
      </c>
      <c r="D4">
        <f t="shared" si="1"/>
        <v>1.4260544580886279</v>
      </c>
      <c r="E4">
        <f t="shared" ref="E4:AJ4" si="11">0.0016654*($D$4)</f>
        <v>2.374951094500801E-3</v>
      </c>
      <c r="F4">
        <f t="shared" si="11"/>
        <v>2.374951094500801E-3</v>
      </c>
      <c r="G4">
        <f t="shared" si="11"/>
        <v>2.374951094500801E-3</v>
      </c>
      <c r="H4">
        <f t="shared" si="11"/>
        <v>2.374951094500801E-3</v>
      </c>
      <c r="I4">
        <f t="shared" si="11"/>
        <v>2.374951094500801E-3</v>
      </c>
      <c r="J4">
        <f t="shared" si="11"/>
        <v>2.374951094500801E-3</v>
      </c>
      <c r="K4">
        <f t="shared" si="11"/>
        <v>2.374951094500801E-3</v>
      </c>
      <c r="L4">
        <f t="shared" si="11"/>
        <v>2.374951094500801E-3</v>
      </c>
      <c r="M4">
        <f t="shared" si="11"/>
        <v>2.374951094500801E-3</v>
      </c>
      <c r="N4">
        <f t="shared" si="11"/>
        <v>2.374951094500801E-3</v>
      </c>
      <c r="O4">
        <f t="shared" si="11"/>
        <v>2.374951094500801E-3</v>
      </c>
      <c r="P4">
        <f t="shared" si="11"/>
        <v>2.374951094500801E-3</v>
      </c>
      <c r="Q4">
        <f t="shared" si="11"/>
        <v>2.374951094500801E-3</v>
      </c>
      <c r="R4">
        <f t="shared" si="11"/>
        <v>2.374951094500801E-3</v>
      </c>
      <c r="S4">
        <f t="shared" si="11"/>
        <v>2.374951094500801E-3</v>
      </c>
      <c r="T4">
        <f t="shared" si="11"/>
        <v>2.374951094500801E-3</v>
      </c>
      <c r="U4">
        <f t="shared" si="11"/>
        <v>2.374951094500801E-3</v>
      </c>
      <c r="V4">
        <f t="shared" si="11"/>
        <v>2.374951094500801E-3</v>
      </c>
      <c r="W4">
        <f t="shared" si="11"/>
        <v>2.374951094500801E-3</v>
      </c>
      <c r="X4">
        <f t="shared" si="11"/>
        <v>2.374951094500801E-3</v>
      </c>
      <c r="Y4">
        <f t="shared" si="11"/>
        <v>2.374951094500801E-3</v>
      </c>
      <c r="Z4">
        <f t="shared" si="11"/>
        <v>2.374951094500801E-3</v>
      </c>
      <c r="AA4">
        <f t="shared" si="11"/>
        <v>2.374951094500801E-3</v>
      </c>
      <c r="AB4">
        <f t="shared" si="11"/>
        <v>2.374951094500801E-3</v>
      </c>
      <c r="AC4">
        <f t="shared" si="11"/>
        <v>2.374951094500801E-3</v>
      </c>
      <c r="AD4">
        <f t="shared" si="11"/>
        <v>2.374951094500801E-3</v>
      </c>
      <c r="AE4">
        <f t="shared" si="11"/>
        <v>2.374951094500801E-3</v>
      </c>
      <c r="AF4">
        <f t="shared" si="11"/>
        <v>2.374951094500801E-3</v>
      </c>
      <c r="AG4">
        <f t="shared" si="11"/>
        <v>2.374951094500801E-3</v>
      </c>
      <c r="AH4">
        <f t="shared" si="11"/>
        <v>2.374951094500801E-3</v>
      </c>
      <c r="AI4">
        <f t="shared" si="11"/>
        <v>2.374951094500801E-3</v>
      </c>
      <c r="AJ4">
        <f t="shared" si="11"/>
        <v>2.374951094500801E-3</v>
      </c>
      <c r="AK4">
        <f t="shared" ref="AK4:BP4" si="12">0.0016654*($D$4)</f>
        <v>2.374951094500801E-3</v>
      </c>
      <c r="AL4">
        <f t="shared" si="12"/>
        <v>2.374951094500801E-3</v>
      </c>
      <c r="AM4">
        <f t="shared" si="12"/>
        <v>2.374951094500801E-3</v>
      </c>
      <c r="AN4">
        <f t="shared" si="12"/>
        <v>2.374951094500801E-3</v>
      </c>
      <c r="AO4">
        <f t="shared" si="12"/>
        <v>2.374951094500801E-3</v>
      </c>
      <c r="AP4">
        <f t="shared" si="12"/>
        <v>2.374951094500801E-3</v>
      </c>
      <c r="AQ4">
        <f t="shared" si="12"/>
        <v>2.374951094500801E-3</v>
      </c>
      <c r="AR4">
        <f t="shared" si="12"/>
        <v>2.374951094500801E-3</v>
      </c>
      <c r="AS4">
        <f t="shared" si="12"/>
        <v>2.374951094500801E-3</v>
      </c>
      <c r="AT4">
        <f t="shared" si="12"/>
        <v>2.374951094500801E-3</v>
      </c>
      <c r="AU4">
        <f t="shared" si="12"/>
        <v>2.374951094500801E-3</v>
      </c>
      <c r="AV4">
        <f t="shared" si="12"/>
        <v>2.374951094500801E-3</v>
      </c>
      <c r="AW4">
        <f t="shared" si="12"/>
        <v>2.374951094500801E-3</v>
      </c>
      <c r="AX4">
        <f t="shared" si="12"/>
        <v>2.374951094500801E-3</v>
      </c>
      <c r="AY4">
        <f t="shared" si="12"/>
        <v>2.374951094500801E-3</v>
      </c>
      <c r="AZ4">
        <f t="shared" si="12"/>
        <v>2.374951094500801E-3</v>
      </c>
      <c r="BA4">
        <f t="shared" si="12"/>
        <v>2.374951094500801E-3</v>
      </c>
      <c r="BB4">
        <f t="shared" si="12"/>
        <v>2.374951094500801E-3</v>
      </c>
      <c r="BC4">
        <f t="shared" si="12"/>
        <v>2.374951094500801E-3</v>
      </c>
      <c r="BD4">
        <f t="shared" si="12"/>
        <v>2.374951094500801E-3</v>
      </c>
      <c r="BE4">
        <f t="shared" si="12"/>
        <v>2.374951094500801E-3</v>
      </c>
      <c r="BF4">
        <f t="shared" si="12"/>
        <v>2.374951094500801E-3</v>
      </c>
      <c r="BG4">
        <f t="shared" si="12"/>
        <v>2.374951094500801E-3</v>
      </c>
      <c r="BH4">
        <f t="shared" si="12"/>
        <v>2.374951094500801E-3</v>
      </c>
      <c r="BI4">
        <f t="shared" si="12"/>
        <v>2.374951094500801E-3</v>
      </c>
      <c r="BJ4">
        <f t="shared" si="12"/>
        <v>2.374951094500801E-3</v>
      </c>
      <c r="BK4">
        <f t="shared" si="12"/>
        <v>2.374951094500801E-3</v>
      </c>
      <c r="BL4">
        <f t="shared" si="12"/>
        <v>2.374951094500801E-3</v>
      </c>
      <c r="BM4">
        <f t="shared" si="12"/>
        <v>2.374951094500801E-3</v>
      </c>
      <c r="BN4">
        <f t="shared" si="12"/>
        <v>2.374951094500801E-3</v>
      </c>
      <c r="BO4">
        <f t="shared" si="12"/>
        <v>2.374951094500801E-3</v>
      </c>
      <c r="BP4">
        <f t="shared" si="12"/>
        <v>2.374951094500801E-3</v>
      </c>
      <c r="BQ4">
        <f t="shared" ref="BQ4:BV4" si="13">0.0016654*($D$4)</f>
        <v>2.374951094500801E-3</v>
      </c>
      <c r="BR4">
        <f t="shared" si="13"/>
        <v>2.374951094500801E-3</v>
      </c>
      <c r="BS4">
        <f t="shared" si="13"/>
        <v>2.374951094500801E-3</v>
      </c>
      <c r="BT4">
        <f t="shared" si="13"/>
        <v>2.374951094500801E-3</v>
      </c>
      <c r="BU4">
        <f t="shared" si="13"/>
        <v>2.374951094500801E-3</v>
      </c>
      <c r="BV4">
        <f t="shared" si="13"/>
        <v>2.374951094500801E-3</v>
      </c>
      <c r="BW4">
        <f t="shared" si="5"/>
        <v>2.374951094500801E-3</v>
      </c>
      <c r="BX4">
        <f t="shared" si="6"/>
        <v>2.374951094500801E-3</v>
      </c>
      <c r="BY4">
        <f t="shared" si="6"/>
        <v>2.374951094500801E-3</v>
      </c>
      <c r="BZ4">
        <f t="shared" si="6"/>
        <v>2.374951094500801E-3</v>
      </c>
      <c r="CA4">
        <f t="shared" si="6"/>
        <v>2.374951094500801E-3</v>
      </c>
      <c r="CB4">
        <f t="shared" si="6"/>
        <v>2.374951094500801E-3</v>
      </c>
      <c r="CC4">
        <f t="shared" si="6"/>
        <v>2.374951094500801E-3</v>
      </c>
      <c r="CD4">
        <f t="shared" si="6"/>
        <v>2.374951094500801E-3</v>
      </c>
      <c r="CE4">
        <f t="shared" si="6"/>
        <v>2.374951094500801E-3</v>
      </c>
      <c r="CF4">
        <f t="shared" si="6"/>
        <v>2.374951094500801E-3</v>
      </c>
      <c r="CG4">
        <f t="shared" si="6"/>
        <v>2.374951094500801E-3</v>
      </c>
      <c r="CH4">
        <f t="shared" si="6"/>
        <v>2.374951094500801E-3</v>
      </c>
      <c r="CI4">
        <f t="shared" si="6"/>
        <v>2.374951094500801E-3</v>
      </c>
      <c r="CJ4">
        <f t="shared" si="6"/>
        <v>2.374951094500801E-3</v>
      </c>
      <c r="CK4">
        <f t="shared" si="6"/>
        <v>2.374951094500801E-3</v>
      </c>
      <c r="CL4">
        <f t="shared" si="6"/>
        <v>2.374951094500801E-3</v>
      </c>
      <c r="CM4">
        <f t="shared" si="6"/>
        <v>2.374951094500801E-3</v>
      </c>
      <c r="CN4">
        <f t="shared" si="6"/>
        <v>2.374951094500801E-3</v>
      </c>
      <c r="CO4">
        <f t="shared" si="6"/>
        <v>2.374951094500801E-3</v>
      </c>
      <c r="CP4">
        <f t="shared" si="6"/>
        <v>2.374951094500801E-3</v>
      </c>
      <c r="CQ4">
        <f t="shared" si="6"/>
        <v>2.374951094500801E-3</v>
      </c>
      <c r="CR4">
        <f t="shared" si="6"/>
        <v>2.374951094500801E-3</v>
      </c>
      <c r="CS4">
        <f t="shared" si="6"/>
        <v>2.374951094500801E-3</v>
      </c>
      <c r="CT4">
        <f t="shared" si="6"/>
        <v>2.374951094500801E-3</v>
      </c>
      <c r="CU4">
        <f t="shared" si="6"/>
        <v>2.374951094500801E-3</v>
      </c>
      <c r="CV4">
        <f t="shared" si="6"/>
        <v>2.374951094500801E-3</v>
      </c>
      <c r="CW4">
        <f t="shared" si="6"/>
        <v>2.374951094500801E-3</v>
      </c>
      <c r="CX4">
        <f t="shared" si="6"/>
        <v>2.374951094500801E-3</v>
      </c>
      <c r="CY4">
        <f t="shared" si="6"/>
        <v>2.374951094500801E-3</v>
      </c>
      <c r="CZ4">
        <f t="shared" si="6"/>
        <v>2.374951094500801E-3</v>
      </c>
    </row>
    <row r="5" spans="1:104">
      <c r="A5" t="s">
        <v>1045</v>
      </c>
      <c r="B5" s="40" t="s">
        <v>268</v>
      </c>
      <c r="C5">
        <v>2005</v>
      </c>
      <c r="D5">
        <f t="shared" si="1"/>
        <v>1.4260544580886279</v>
      </c>
      <c r="E5">
        <f t="shared" ref="E5:AJ5" si="14">0.02*($D$5)</f>
        <v>2.8521089161772557E-2</v>
      </c>
      <c r="F5">
        <f t="shared" si="14"/>
        <v>2.8521089161772557E-2</v>
      </c>
      <c r="G5">
        <f t="shared" si="14"/>
        <v>2.8521089161772557E-2</v>
      </c>
      <c r="H5">
        <f t="shared" si="14"/>
        <v>2.8521089161772557E-2</v>
      </c>
      <c r="I5">
        <f t="shared" si="14"/>
        <v>2.8521089161772557E-2</v>
      </c>
      <c r="J5">
        <f t="shared" si="14"/>
        <v>2.8521089161772557E-2</v>
      </c>
      <c r="K5">
        <f t="shared" si="14"/>
        <v>2.8521089161772557E-2</v>
      </c>
      <c r="L5">
        <f t="shared" si="14"/>
        <v>2.8521089161772557E-2</v>
      </c>
      <c r="M5">
        <f t="shared" si="14"/>
        <v>2.8521089161772557E-2</v>
      </c>
      <c r="N5">
        <f t="shared" si="14"/>
        <v>2.8521089161772557E-2</v>
      </c>
      <c r="O5">
        <f t="shared" si="14"/>
        <v>2.8521089161772557E-2</v>
      </c>
      <c r="P5">
        <f t="shared" si="14"/>
        <v>2.8521089161772557E-2</v>
      </c>
      <c r="Q5">
        <f t="shared" si="14"/>
        <v>2.8521089161772557E-2</v>
      </c>
      <c r="R5">
        <f t="shared" si="14"/>
        <v>2.8521089161772557E-2</v>
      </c>
      <c r="S5">
        <f t="shared" si="14"/>
        <v>2.8521089161772557E-2</v>
      </c>
      <c r="T5">
        <f t="shared" si="14"/>
        <v>2.8521089161772557E-2</v>
      </c>
      <c r="U5">
        <f t="shared" si="14"/>
        <v>2.8521089161772557E-2</v>
      </c>
      <c r="V5">
        <f t="shared" si="14"/>
        <v>2.8521089161772557E-2</v>
      </c>
      <c r="W5">
        <f t="shared" si="14"/>
        <v>2.8521089161772557E-2</v>
      </c>
      <c r="X5">
        <f t="shared" si="14"/>
        <v>2.8521089161772557E-2</v>
      </c>
      <c r="Y5">
        <f t="shared" si="14"/>
        <v>2.8521089161772557E-2</v>
      </c>
      <c r="Z5">
        <f t="shared" si="14"/>
        <v>2.8521089161772557E-2</v>
      </c>
      <c r="AA5">
        <f t="shared" si="14"/>
        <v>2.8521089161772557E-2</v>
      </c>
      <c r="AB5">
        <f t="shared" si="14"/>
        <v>2.8521089161772557E-2</v>
      </c>
      <c r="AC5">
        <f t="shared" si="14"/>
        <v>2.8521089161772557E-2</v>
      </c>
      <c r="AD5">
        <f t="shared" si="14"/>
        <v>2.8521089161772557E-2</v>
      </c>
      <c r="AE5">
        <f t="shared" si="14"/>
        <v>2.8521089161772557E-2</v>
      </c>
      <c r="AF5">
        <f t="shared" si="14"/>
        <v>2.8521089161772557E-2</v>
      </c>
      <c r="AG5">
        <f t="shared" si="14"/>
        <v>2.8521089161772557E-2</v>
      </c>
      <c r="AH5">
        <f t="shared" si="14"/>
        <v>2.8521089161772557E-2</v>
      </c>
      <c r="AI5">
        <f t="shared" si="14"/>
        <v>2.8521089161772557E-2</v>
      </c>
      <c r="AJ5">
        <f t="shared" si="14"/>
        <v>2.8521089161772557E-2</v>
      </c>
      <c r="AK5">
        <f t="shared" ref="AK5:BP5" si="15">0.02*($D$5)</f>
        <v>2.8521089161772557E-2</v>
      </c>
      <c r="AL5">
        <f t="shared" si="15"/>
        <v>2.8521089161772557E-2</v>
      </c>
      <c r="AM5">
        <f t="shared" si="15"/>
        <v>2.8521089161772557E-2</v>
      </c>
      <c r="AN5">
        <f t="shared" si="15"/>
        <v>2.8521089161772557E-2</v>
      </c>
      <c r="AO5">
        <f t="shared" si="15"/>
        <v>2.8521089161772557E-2</v>
      </c>
      <c r="AP5">
        <f t="shared" si="15"/>
        <v>2.8521089161772557E-2</v>
      </c>
      <c r="AQ5">
        <f t="shared" si="15"/>
        <v>2.8521089161772557E-2</v>
      </c>
      <c r="AR5">
        <f t="shared" si="15"/>
        <v>2.8521089161772557E-2</v>
      </c>
      <c r="AS5">
        <f t="shared" si="15"/>
        <v>2.8521089161772557E-2</v>
      </c>
      <c r="AT5">
        <f t="shared" si="15"/>
        <v>2.8521089161772557E-2</v>
      </c>
      <c r="AU5">
        <f t="shared" si="15"/>
        <v>2.8521089161772557E-2</v>
      </c>
      <c r="AV5">
        <f t="shared" si="15"/>
        <v>2.8521089161772557E-2</v>
      </c>
      <c r="AW5">
        <f t="shared" si="15"/>
        <v>2.8521089161772557E-2</v>
      </c>
      <c r="AX5">
        <f t="shared" si="15"/>
        <v>2.8521089161772557E-2</v>
      </c>
      <c r="AY5">
        <f t="shared" si="15"/>
        <v>2.8521089161772557E-2</v>
      </c>
      <c r="AZ5">
        <f t="shared" si="15"/>
        <v>2.8521089161772557E-2</v>
      </c>
      <c r="BA5">
        <f t="shared" si="15"/>
        <v>2.8521089161772557E-2</v>
      </c>
      <c r="BB5">
        <f t="shared" si="15"/>
        <v>2.8521089161772557E-2</v>
      </c>
      <c r="BC5">
        <f t="shared" si="15"/>
        <v>2.8521089161772557E-2</v>
      </c>
      <c r="BD5">
        <f t="shared" si="15"/>
        <v>2.8521089161772557E-2</v>
      </c>
      <c r="BE5">
        <f t="shared" si="15"/>
        <v>2.8521089161772557E-2</v>
      </c>
      <c r="BF5">
        <f t="shared" si="15"/>
        <v>2.8521089161772557E-2</v>
      </c>
      <c r="BG5">
        <f t="shared" si="15"/>
        <v>2.8521089161772557E-2</v>
      </c>
      <c r="BH5">
        <f t="shared" si="15"/>
        <v>2.8521089161772557E-2</v>
      </c>
      <c r="BI5">
        <f t="shared" si="15"/>
        <v>2.8521089161772557E-2</v>
      </c>
      <c r="BJ5">
        <f t="shared" si="15"/>
        <v>2.8521089161772557E-2</v>
      </c>
      <c r="BK5">
        <f t="shared" si="15"/>
        <v>2.8521089161772557E-2</v>
      </c>
      <c r="BL5">
        <f t="shared" si="15"/>
        <v>2.8521089161772557E-2</v>
      </c>
      <c r="BM5">
        <f t="shared" si="15"/>
        <v>2.8521089161772557E-2</v>
      </c>
      <c r="BN5">
        <f t="shared" si="15"/>
        <v>2.8521089161772557E-2</v>
      </c>
      <c r="BO5">
        <f t="shared" si="15"/>
        <v>2.8521089161772557E-2</v>
      </c>
      <c r="BP5">
        <f t="shared" si="15"/>
        <v>2.8521089161772557E-2</v>
      </c>
      <c r="BQ5">
        <f t="shared" ref="BQ5:BV5" si="16">0.02*($D$5)</f>
        <v>2.8521089161772557E-2</v>
      </c>
      <c r="BR5">
        <f t="shared" si="16"/>
        <v>2.8521089161772557E-2</v>
      </c>
      <c r="BS5">
        <f t="shared" si="16"/>
        <v>2.8521089161772557E-2</v>
      </c>
      <c r="BT5">
        <f t="shared" si="16"/>
        <v>2.8521089161772557E-2</v>
      </c>
      <c r="BU5">
        <f t="shared" si="16"/>
        <v>2.8521089161772557E-2</v>
      </c>
      <c r="BV5">
        <f t="shared" si="16"/>
        <v>2.8521089161772557E-2</v>
      </c>
      <c r="BW5">
        <f t="shared" si="5"/>
        <v>2.8521089161772557E-2</v>
      </c>
      <c r="BX5">
        <f t="shared" si="6"/>
        <v>2.8521089161772557E-2</v>
      </c>
      <c r="BY5">
        <f t="shared" si="6"/>
        <v>2.8521089161772557E-2</v>
      </c>
      <c r="BZ5">
        <f t="shared" si="6"/>
        <v>2.8521089161772557E-2</v>
      </c>
      <c r="CA5">
        <f t="shared" si="6"/>
        <v>2.8521089161772557E-2</v>
      </c>
      <c r="CB5">
        <f t="shared" si="6"/>
        <v>2.8521089161772557E-2</v>
      </c>
      <c r="CC5">
        <f t="shared" si="6"/>
        <v>2.8521089161772557E-2</v>
      </c>
      <c r="CD5">
        <f t="shared" si="6"/>
        <v>2.8521089161772557E-2</v>
      </c>
      <c r="CE5">
        <f t="shared" si="6"/>
        <v>2.8521089161772557E-2</v>
      </c>
      <c r="CF5">
        <f t="shared" si="6"/>
        <v>2.8521089161772557E-2</v>
      </c>
      <c r="CG5">
        <f t="shared" si="6"/>
        <v>2.8521089161772557E-2</v>
      </c>
      <c r="CH5">
        <f t="shared" si="6"/>
        <v>2.8521089161772557E-2</v>
      </c>
      <c r="CI5">
        <f t="shared" si="6"/>
        <v>2.8521089161772557E-2</v>
      </c>
      <c r="CJ5">
        <f t="shared" si="6"/>
        <v>2.8521089161772557E-2</v>
      </c>
      <c r="CK5">
        <f t="shared" si="6"/>
        <v>2.8521089161772557E-2</v>
      </c>
      <c r="CL5">
        <f t="shared" si="6"/>
        <v>2.8521089161772557E-2</v>
      </c>
      <c r="CM5">
        <f t="shared" si="6"/>
        <v>2.8521089161772557E-2</v>
      </c>
      <c r="CN5">
        <f t="shared" si="6"/>
        <v>2.8521089161772557E-2</v>
      </c>
      <c r="CO5">
        <f t="shared" si="6"/>
        <v>2.8521089161772557E-2</v>
      </c>
      <c r="CP5">
        <f t="shared" si="6"/>
        <v>2.8521089161772557E-2</v>
      </c>
      <c r="CQ5">
        <f t="shared" si="6"/>
        <v>2.8521089161772557E-2</v>
      </c>
      <c r="CR5">
        <f t="shared" si="6"/>
        <v>2.8521089161772557E-2</v>
      </c>
      <c r="CS5">
        <f t="shared" si="6"/>
        <v>2.8521089161772557E-2</v>
      </c>
      <c r="CT5">
        <f t="shared" si="6"/>
        <v>2.8521089161772557E-2</v>
      </c>
      <c r="CU5">
        <f t="shared" si="6"/>
        <v>2.8521089161772557E-2</v>
      </c>
      <c r="CV5">
        <f t="shared" si="6"/>
        <v>2.8521089161772557E-2</v>
      </c>
      <c r="CW5">
        <f t="shared" si="6"/>
        <v>2.8521089161772557E-2</v>
      </c>
      <c r="CX5">
        <f t="shared" si="6"/>
        <v>2.8521089161772557E-2</v>
      </c>
      <c r="CY5">
        <f t="shared" si="6"/>
        <v>2.8521089161772557E-2</v>
      </c>
      <c r="CZ5">
        <f t="shared" si="6"/>
        <v>2.8521089161772557E-2</v>
      </c>
    </row>
    <row r="6" spans="1:104">
      <c r="A6" t="s">
        <v>672</v>
      </c>
      <c r="B6" s="40" t="s">
        <v>268</v>
      </c>
      <c r="C6">
        <v>2005</v>
      </c>
      <c r="D6">
        <f t="shared" si="1"/>
        <v>1.4260544580886279</v>
      </c>
      <c r="E6">
        <f t="shared" ref="E6:AJ6" si="17">0*($D$6)</f>
        <v>0</v>
      </c>
      <c r="F6">
        <f t="shared" si="17"/>
        <v>0</v>
      </c>
      <c r="G6">
        <f t="shared" si="17"/>
        <v>0</v>
      </c>
      <c r="H6">
        <f t="shared" si="17"/>
        <v>0</v>
      </c>
      <c r="I6">
        <f t="shared" si="17"/>
        <v>0</v>
      </c>
      <c r="J6">
        <f t="shared" si="17"/>
        <v>0</v>
      </c>
      <c r="K6">
        <f t="shared" si="17"/>
        <v>0</v>
      </c>
      <c r="L6">
        <f t="shared" si="17"/>
        <v>0</v>
      </c>
      <c r="M6">
        <f t="shared" si="17"/>
        <v>0</v>
      </c>
      <c r="N6">
        <f t="shared" si="17"/>
        <v>0</v>
      </c>
      <c r="O6">
        <f t="shared" si="17"/>
        <v>0</v>
      </c>
      <c r="P6">
        <f t="shared" si="17"/>
        <v>0</v>
      </c>
      <c r="Q6">
        <f t="shared" si="17"/>
        <v>0</v>
      </c>
      <c r="R6">
        <f t="shared" si="17"/>
        <v>0</v>
      </c>
      <c r="S6">
        <f t="shared" si="17"/>
        <v>0</v>
      </c>
      <c r="T6">
        <f t="shared" si="17"/>
        <v>0</v>
      </c>
      <c r="U6">
        <f t="shared" si="17"/>
        <v>0</v>
      </c>
      <c r="V6">
        <f t="shared" si="17"/>
        <v>0</v>
      </c>
      <c r="W6">
        <f t="shared" si="17"/>
        <v>0</v>
      </c>
      <c r="X6">
        <f t="shared" si="17"/>
        <v>0</v>
      </c>
      <c r="Y6">
        <f t="shared" si="17"/>
        <v>0</v>
      </c>
      <c r="Z6">
        <f t="shared" si="17"/>
        <v>0</v>
      </c>
      <c r="AA6">
        <f t="shared" si="17"/>
        <v>0</v>
      </c>
      <c r="AB6">
        <f t="shared" si="17"/>
        <v>0</v>
      </c>
      <c r="AC6">
        <f t="shared" si="17"/>
        <v>0</v>
      </c>
      <c r="AD6">
        <f t="shared" si="17"/>
        <v>0</v>
      </c>
      <c r="AE6">
        <f t="shared" si="17"/>
        <v>0</v>
      </c>
      <c r="AF6">
        <f t="shared" si="17"/>
        <v>0</v>
      </c>
      <c r="AG6">
        <f t="shared" si="17"/>
        <v>0</v>
      </c>
      <c r="AH6">
        <f t="shared" si="17"/>
        <v>0</v>
      </c>
      <c r="AI6">
        <f t="shared" si="17"/>
        <v>0</v>
      </c>
      <c r="AJ6">
        <f t="shared" si="17"/>
        <v>0</v>
      </c>
      <c r="AK6">
        <f t="shared" ref="AK6:BP6" si="18">0*($D$6)</f>
        <v>0</v>
      </c>
      <c r="AL6">
        <f t="shared" si="18"/>
        <v>0</v>
      </c>
      <c r="AM6">
        <f t="shared" si="18"/>
        <v>0</v>
      </c>
      <c r="AN6">
        <f t="shared" si="18"/>
        <v>0</v>
      </c>
      <c r="AO6">
        <f t="shared" si="18"/>
        <v>0</v>
      </c>
      <c r="AP6">
        <f t="shared" si="18"/>
        <v>0</v>
      </c>
      <c r="AQ6">
        <f t="shared" si="18"/>
        <v>0</v>
      </c>
      <c r="AR6">
        <f t="shared" si="18"/>
        <v>0</v>
      </c>
      <c r="AS6">
        <f t="shared" si="18"/>
        <v>0</v>
      </c>
      <c r="AT6">
        <f t="shared" si="18"/>
        <v>0</v>
      </c>
      <c r="AU6">
        <f t="shared" si="18"/>
        <v>0</v>
      </c>
      <c r="AV6">
        <f t="shared" si="18"/>
        <v>0</v>
      </c>
      <c r="AW6">
        <f t="shared" si="18"/>
        <v>0</v>
      </c>
      <c r="AX6">
        <f t="shared" si="18"/>
        <v>0</v>
      </c>
      <c r="AY6">
        <f t="shared" si="18"/>
        <v>0</v>
      </c>
      <c r="AZ6">
        <f t="shared" si="18"/>
        <v>0</v>
      </c>
      <c r="BA6">
        <f t="shared" si="18"/>
        <v>0</v>
      </c>
      <c r="BB6">
        <f t="shared" si="18"/>
        <v>0</v>
      </c>
      <c r="BC6">
        <f t="shared" si="18"/>
        <v>0</v>
      </c>
      <c r="BD6">
        <f t="shared" si="18"/>
        <v>0</v>
      </c>
      <c r="BE6">
        <f t="shared" si="18"/>
        <v>0</v>
      </c>
      <c r="BF6">
        <f t="shared" si="18"/>
        <v>0</v>
      </c>
      <c r="BG6">
        <f t="shared" si="18"/>
        <v>0</v>
      </c>
      <c r="BH6">
        <f t="shared" si="18"/>
        <v>0</v>
      </c>
      <c r="BI6">
        <f t="shared" si="18"/>
        <v>0</v>
      </c>
      <c r="BJ6">
        <f t="shared" si="18"/>
        <v>0</v>
      </c>
      <c r="BK6">
        <f t="shared" si="18"/>
        <v>0</v>
      </c>
      <c r="BL6">
        <f t="shared" si="18"/>
        <v>0</v>
      </c>
      <c r="BM6">
        <f t="shared" si="18"/>
        <v>0</v>
      </c>
      <c r="BN6">
        <f t="shared" si="18"/>
        <v>0</v>
      </c>
      <c r="BO6">
        <f t="shared" si="18"/>
        <v>0</v>
      </c>
      <c r="BP6">
        <f t="shared" si="18"/>
        <v>0</v>
      </c>
      <c r="BQ6">
        <f t="shared" ref="BQ6:BV6" si="19">0*($D$6)</f>
        <v>0</v>
      </c>
      <c r="BR6">
        <f t="shared" si="19"/>
        <v>0</v>
      </c>
      <c r="BS6">
        <f t="shared" si="19"/>
        <v>0</v>
      </c>
      <c r="BT6">
        <f t="shared" si="19"/>
        <v>0</v>
      </c>
      <c r="BU6">
        <f t="shared" si="19"/>
        <v>0</v>
      </c>
      <c r="BV6">
        <f t="shared" si="19"/>
        <v>0</v>
      </c>
      <c r="BW6">
        <f t="shared" si="5"/>
        <v>0</v>
      </c>
      <c r="BX6">
        <f t="shared" si="6"/>
        <v>0</v>
      </c>
      <c r="BY6">
        <f t="shared" si="6"/>
        <v>0</v>
      </c>
      <c r="BZ6">
        <f t="shared" si="6"/>
        <v>0</v>
      </c>
      <c r="CA6">
        <f t="shared" si="6"/>
        <v>0</v>
      </c>
      <c r="CB6">
        <f t="shared" si="6"/>
        <v>0</v>
      </c>
      <c r="CC6">
        <f t="shared" si="6"/>
        <v>0</v>
      </c>
      <c r="CD6">
        <f t="shared" si="6"/>
        <v>0</v>
      </c>
      <c r="CE6">
        <f t="shared" si="6"/>
        <v>0</v>
      </c>
      <c r="CF6">
        <f t="shared" si="6"/>
        <v>0</v>
      </c>
      <c r="CG6">
        <f t="shared" si="6"/>
        <v>0</v>
      </c>
      <c r="CH6">
        <f t="shared" si="6"/>
        <v>0</v>
      </c>
      <c r="CI6">
        <f t="shared" si="6"/>
        <v>0</v>
      </c>
      <c r="CJ6">
        <f t="shared" si="6"/>
        <v>0</v>
      </c>
      <c r="CK6">
        <f t="shared" si="6"/>
        <v>0</v>
      </c>
      <c r="CL6">
        <f t="shared" si="6"/>
        <v>0</v>
      </c>
      <c r="CM6">
        <f t="shared" si="6"/>
        <v>0</v>
      </c>
      <c r="CN6">
        <f t="shared" si="6"/>
        <v>0</v>
      </c>
      <c r="CO6">
        <f t="shared" si="6"/>
        <v>0</v>
      </c>
      <c r="CP6">
        <f t="shared" si="6"/>
        <v>0</v>
      </c>
      <c r="CQ6">
        <f t="shared" si="6"/>
        <v>0</v>
      </c>
      <c r="CR6">
        <f t="shared" si="6"/>
        <v>0</v>
      </c>
      <c r="CS6">
        <f t="shared" si="6"/>
        <v>0</v>
      </c>
      <c r="CT6">
        <f t="shared" si="6"/>
        <v>0</v>
      </c>
      <c r="CU6">
        <f t="shared" si="6"/>
        <v>0</v>
      </c>
      <c r="CV6">
        <f t="shared" si="6"/>
        <v>0</v>
      </c>
      <c r="CW6">
        <f t="shared" si="6"/>
        <v>0</v>
      </c>
      <c r="CX6">
        <f t="shared" si="6"/>
        <v>0</v>
      </c>
      <c r="CY6">
        <f t="shared" si="6"/>
        <v>0</v>
      </c>
      <c r="CZ6">
        <f t="shared" si="6"/>
        <v>0</v>
      </c>
    </row>
    <row r="7" spans="1:104">
      <c r="A7" s="40" t="s">
        <v>1085</v>
      </c>
      <c r="B7" s="40" t="s">
        <v>268</v>
      </c>
      <c r="C7">
        <v>2007</v>
      </c>
      <c r="D7">
        <f t="shared" si="1"/>
        <v>1.3138219380226268</v>
      </c>
      <c r="E7">
        <f t="shared" ref="E7:AJ7" si="20">0.0135*($D$7)</f>
        <v>1.7736596163305463E-2</v>
      </c>
      <c r="F7">
        <f t="shared" si="20"/>
        <v>1.7736596163305463E-2</v>
      </c>
      <c r="G7">
        <f t="shared" si="20"/>
        <v>1.7736596163305463E-2</v>
      </c>
      <c r="H7">
        <f t="shared" si="20"/>
        <v>1.7736596163305463E-2</v>
      </c>
      <c r="I7">
        <f t="shared" si="20"/>
        <v>1.7736596163305463E-2</v>
      </c>
      <c r="J7">
        <f t="shared" si="20"/>
        <v>1.7736596163305463E-2</v>
      </c>
      <c r="K7">
        <f t="shared" si="20"/>
        <v>1.7736596163305463E-2</v>
      </c>
      <c r="L7">
        <f t="shared" si="20"/>
        <v>1.7736596163305463E-2</v>
      </c>
      <c r="M7">
        <f t="shared" si="20"/>
        <v>1.7736596163305463E-2</v>
      </c>
      <c r="N7">
        <f t="shared" si="20"/>
        <v>1.7736596163305463E-2</v>
      </c>
      <c r="O7">
        <f t="shared" si="20"/>
        <v>1.7736596163305463E-2</v>
      </c>
      <c r="P7">
        <f t="shared" si="20"/>
        <v>1.7736596163305463E-2</v>
      </c>
      <c r="Q7">
        <f t="shared" si="20"/>
        <v>1.7736596163305463E-2</v>
      </c>
      <c r="R7">
        <f t="shared" si="20"/>
        <v>1.7736596163305463E-2</v>
      </c>
      <c r="S7">
        <f t="shared" si="20"/>
        <v>1.7736596163305463E-2</v>
      </c>
      <c r="T7">
        <f t="shared" si="20"/>
        <v>1.7736596163305463E-2</v>
      </c>
      <c r="U7">
        <f t="shared" si="20"/>
        <v>1.7736596163305463E-2</v>
      </c>
      <c r="V7">
        <f t="shared" si="20"/>
        <v>1.7736596163305463E-2</v>
      </c>
      <c r="W7">
        <f t="shared" si="20"/>
        <v>1.7736596163305463E-2</v>
      </c>
      <c r="X7">
        <f t="shared" si="20"/>
        <v>1.7736596163305463E-2</v>
      </c>
      <c r="Y7">
        <f t="shared" si="20"/>
        <v>1.7736596163305463E-2</v>
      </c>
      <c r="Z7">
        <f t="shared" si="20"/>
        <v>1.7736596163305463E-2</v>
      </c>
      <c r="AA7">
        <f t="shared" si="20"/>
        <v>1.7736596163305463E-2</v>
      </c>
      <c r="AB7">
        <f t="shared" si="20"/>
        <v>1.7736596163305463E-2</v>
      </c>
      <c r="AC7">
        <f t="shared" si="20"/>
        <v>1.7736596163305463E-2</v>
      </c>
      <c r="AD7">
        <f t="shared" si="20"/>
        <v>1.7736596163305463E-2</v>
      </c>
      <c r="AE7">
        <f t="shared" si="20"/>
        <v>1.7736596163305463E-2</v>
      </c>
      <c r="AF7">
        <f t="shared" si="20"/>
        <v>1.7736596163305463E-2</v>
      </c>
      <c r="AG7">
        <f t="shared" si="20"/>
        <v>1.7736596163305463E-2</v>
      </c>
      <c r="AH7">
        <f t="shared" si="20"/>
        <v>1.7736596163305463E-2</v>
      </c>
      <c r="AI7">
        <f t="shared" si="20"/>
        <v>1.7736596163305463E-2</v>
      </c>
      <c r="AJ7">
        <f t="shared" si="20"/>
        <v>1.7736596163305463E-2</v>
      </c>
      <c r="AK7">
        <f t="shared" ref="AK7:BP7" si="21">0.0135*($D$7)</f>
        <v>1.7736596163305463E-2</v>
      </c>
      <c r="AL7">
        <f t="shared" si="21"/>
        <v>1.7736596163305463E-2</v>
      </c>
      <c r="AM7">
        <f t="shared" si="21"/>
        <v>1.7736596163305463E-2</v>
      </c>
      <c r="AN7">
        <f t="shared" si="21"/>
        <v>1.7736596163305463E-2</v>
      </c>
      <c r="AO7">
        <f t="shared" si="21"/>
        <v>1.7736596163305463E-2</v>
      </c>
      <c r="AP7">
        <f t="shared" si="21"/>
        <v>1.7736596163305463E-2</v>
      </c>
      <c r="AQ7">
        <f t="shared" si="21"/>
        <v>1.7736596163305463E-2</v>
      </c>
      <c r="AR7">
        <f t="shared" si="21"/>
        <v>1.7736596163305463E-2</v>
      </c>
      <c r="AS7">
        <f t="shared" si="21"/>
        <v>1.7736596163305463E-2</v>
      </c>
      <c r="AT7">
        <f t="shared" si="21"/>
        <v>1.7736596163305463E-2</v>
      </c>
      <c r="AU7">
        <f t="shared" si="21"/>
        <v>1.7736596163305463E-2</v>
      </c>
      <c r="AV7">
        <f t="shared" si="21"/>
        <v>1.7736596163305463E-2</v>
      </c>
      <c r="AW7">
        <f t="shared" si="21"/>
        <v>1.7736596163305463E-2</v>
      </c>
      <c r="AX7">
        <f t="shared" si="21"/>
        <v>1.7736596163305463E-2</v>
      </c>
      <c r="AY7">
        <f t="shared" si="21"/>
        <v>1.7736596163305463E-2</v>
      </c>
      <c r="AZ7">
        <f t="shared" si="21"/>
        <v>1.7736596163305463E-2</v>
      </c>
      <c r="BA7">
        <f t="shared" si="21"/>
        <v>1.7736596163305463E-2</v>
      </c>
      <c r="BB7">
        <f t="shared" si="21"/>
        <v>1.7736596163305463E-2</v>
      </c>
      <c r="BC7">
        <f t="shared" si="21"/>
        <v>1.7736596163305463E-2</v>
      </c>
      <c r="BD7">
        <f t="shared" si="21"/>
        <v>1.7736596163305463E-2</v>
      </c>
      <c r="BE7">
        <f t="shared" si="21"/>
        <v>1.7736596163305463E-2</v>
      </c>
      <c r="BF7">
        <f t="shared" si="21"/>
        <v>1.7736596163305463E-2</v>
      </c>
      <c r="BG7">
        <f t="shared" si="21"/>
        <v>1.7736596163305463E-2</v>
      </c>
      <c r="BH7">
        <f t="shared" si="21"/>
        <v>1.7736596163305463E-2</v>
      </c>
      <c r="BI7">
        <f t="shared" si="21"/>
        <v>1.7736596163305463E-2</v>
      </c>
      <c r="BJ7">
        <f t="shared" si="21"/>
        <v>1.7736596163305463E-2</v>
      </c>
      <c r="BK7">
        <f t="shared" si="21"/>
        <v>1.7736596163305463E-2</v>
      </c>
      <c r="BL7">
        <f t="shared" si="21"/>
        <v>1.7736596163305463E-2</v>
      </c>
      <c r="BM7">
        <f t="shared" si="21"/>
        <v>1.7736596163305463E-2</v>
      </c>
      <c r="BN7">
        <f t="shared" si="21"/>
        <v>1.7736596163305463E-2</v>
      </c>
      <c r="BO7">
        <f t="shared" si="21"/>
        <v>1.7736596163305463E-2</v>
      </c>
      <c r="BP7">
        <f t="shared" si="21"/>
        <v>1.7736596163305463E-2</v>
      </c>
      <c r="BQ7">
        <f t="shared" ref="BQ7:BV7" si="22">0.0135*($D$7)</f>
        <v>1.7736596163305463E-2</v>
      </c>
      <c r="BR7">
        <f t="shared" si="22"/>
        <v>1.7736596163305463E-2</v>
      </c>
      <c r="BS7">
        <f t="shared" si="22"/>
        <v>1.7736596163305463E-2</v>
      </c>
      <c r="BT7">
        <f t="shared" si="22"/>
        <v>1.7736596163305463E-2</v>
      </c>
      <c r="BU7">
        <f t="shared" si="22"/>
        <v>1.7736596163305463E-2</v>
      </c>
      <c r="BV7">
        <f t="shared" si="22"/>
        <v>1.7736596163305463E-2</v>
      </c>
      <c r="BW7">
        <f t="shared" si="5"/>
        <v>1.7736596163305463E-2</v>
      </c>
      <c r="BX7">
        <f t="shared" si="6"/>
        <v>1.7736596163305463E-2</v>
      </c>
      <c r="BY7">
        <f t="shared" si="6"/>
        <v>1.7736596163305463E-2</v>
      </c>
      <c r="BZ7">
        <f t="shared" si="6"/>
        <v>1.7736596163305463E-2</v>
      </c>
      <c r="CA7">
        <f t="shared" si="6"/>
        <v>1.7736596163305463E-2</v>
      </c>
      <c r="CB7">
        <f t="shared" si="6"/>
        <v>1.7736596163305463E-2</v>
      </c>
      <c r="CC7">
        <f t="shared" si="6"/>
        <v>1.7736596163305463E-2</v>
      </c>
      <c r="CD7">
        <f t="shared" si="6"/>
        <v>1.7736596163305463E-2</v>
      </c>
      <c r="CE7">
        <f t="shared" si="6"/>
        <v>1.7736596163305463E-2</v>
      </c>
      <c r="CF7">
        <f t="shared" si="6"/>
        <v>1.7736596163305463E-2</v>
      </c>
      <c r="CG7">
        <f t="shared" si="6"/>
        <v>1.7736596163305463E-2</v>
      </c>
      <c r="CH7">
        <f t="shared" si="6"/>
        <v>1.7736596163305463E-2</v>
      </c>
      <c r="CI7">
        <f t="shared" si="6"/>
        <v>1.7736596163305463E-2</v>
      </c>
      <c r="CJ7">
        <f t="shared" si="6"/>
        <v>1.7736596163305463E-2</v>
      </c>
      <c r="CK7">
        <f t="shared" si="6"/>
        <v>1.7736596163305463E-2</v>
      </c>
      <c r="CL7">
        <f t="shared" si="6"/>
        <v>1.7736596163305463E-2</v>
      </c>
      <c r="CM7">
        <f t="shared" si="6"/>
        <v>1.7736596163305463E-2</v>
      </c>
      <c r="CN7">
        <f t="shared" si="6"/>
        <v>1.7736596163305463E-2</v>
      </c>
      <c r="CO7">
        <f t="shared" si="6"/>
        <v>1.7736596163305463E-2</v>
      </c>
      <c r="CP7">
        <f t="shared" si="6"/>
        <v>1.7736596163305463E-2</v>
      </c>
      <c r="CQ7">
        <f t="shared" si="6"/>
        <v>1.7736596163305463E-2</v>
      </c>
      <c r="CR7">
        <f t="shared" si="6"/>
        <v>1.7736596163305463E-2</v>
      </c>
      <c r="CS7">
        <f t="shared" si="6"/>
        <v>1.7736596163305463E-2</v>
      </c>
      <c r="CT7">
        <f t="shared" si="6"/>
        <v>1.7736596163305463E-2</v>
      </c>
      <c r="CU7">
        <f t="shared" si="6"/>
        <v>1.7736596163305463E-2</v>
      </c>
      <c r="CV7">
        <f t="shared" si="6"/>
        <v>1.7736596163305463E-2</v>
      </c>
      <c r="CW7">
        <f t="shared" si="6"/>
        <v>1.7736596163305463E-2</v>
      </c>
      <c r="CX7">
        <f t="shared" si="6"/>
        <v>1.7736596163305463E-2</v>
      </c>
      <c r="CY7">
        <f t="shared" si="6"/>
        <v>1.7736596163305463E-2</v>
      </c>
      <c r="CZ7">
        <f t="shared" si="6"/>
        <v>1.7736596163305463E-2</v>
      </c>
    </row>
    <row r="8" spans="1:104">
      <c r="A8" s="40" t="s">
        <v>820</v>
      </c>
      <c r="B8" s="40" t="s">
        <v>268</v>
      </c>
      <c r="C8">
        <v>2002</v>
      </c>
      <c r="D8">
        <f t="shared" si="1"/>
        <v>1.6980292434837889</v>
      </c>
      <c r="E8">
        <f t="shared" ref="E8:AJ8" si="23">0.0256*($D$8)</f>
        <v>4.3469548633185001E-2</v>
      </c>
      <c r="F8">
        <f t="shared" si="23"/>
        <v>4.3469548633185001E-2</v>
      </c>
      <c r="G8">
        <f t="shared" si="23"/>
        <v>4.3469548633185001E-2</v>
      </c>
      <c r="H8">
        <f t="shared" si="23"/>
        <v>4.3469548633185001E-2</v>
      </c>
      <c r="I8">
        <f t="shared" si="23"/>
        <v>4.3469548633185001E-2</v>
      </c>
      <c r="J8">
        <f t="shared" si="23"/>
        <v>4.3469548633185001E-2</v>
      </c>
      <c r="K8">
        <f t="shared" si="23"/>
        <v>4.3469548633185001E-2</v>
      </c>
      <c r="L8">
        <f t="shared" si="23"/>
        <v>4.3469548633185001E-2</v>
      </c>
      <c r="M8">
        <f t="shared" si="23"/>
        <v>4.3469548633185001E-2</v>
      </c>
      <c r="N8">
        <f t="shared" si="23"/>
        <v>4.3469548633185001E-2</v>
      </c>
      <c r="O8">
        <f t="shared" si="23"/>
        <v>4.3469548633185001E-2</v>
      </c>
      <c r="P8">
        <f t="shared" si="23"/>
        <v>4.3469548633185001E-2</v>
      </c>
      <c r="Q8">
        <f t="shared" si="23"/>
        <v>4.3469548633185001E-2</v>
      </c>
      <c r="R8">
        <f t="shared" si="23"/>
        <v>4.3469548633185001E-2</v>
      </c>
      <c r="S8">
        <f t="shared" si="23"/>
        <v>4.3469548633185001E-2</v>
      </c>
      <c r="T8">
        <f t="shared" si="23"/>
        <v>4.3469548633185001E-2</v>
      </c>
      <c r="U8">
        <f t="shared" si="23"/>
        <v>4.3469548633185001E-2</v>
      </c>
      <c r="V8">
        <f t="shared" si="23"/>
        <v>4.3469548633185001E-2</v>
      </c>
      <c r="W8">
        <f t="shared" si="23"/>
        <v>4.3469548633185001E-2</v>
      </c>
      <c r="X8">
        <f t="shared" si="23"/>
        <v>4.3469548633185001E-2</v>
      </c>
      <c r="Y8">
        <f t="shared" si="23"/>
        <v>4.3469548633185001E-2</v>
      </c>
      <c r="Z8">
        <f t="shared" si="23"/>
        <v>4.3469548633185001E-2</v>
      </c>
      <c r="AA8">
        <f t="shared" si="23"/>
        <v>4.3469548633185001E-2</v>
      </c>
      <c r="AB8">
        <f t="shared" si="23"/>
        <v>4.3469548633185001E-2</v>
      </c>
      <c r="AC8">
        <f t="shared" si="23"/>
        <v>4.3469548633185001E-2</v>
      </c>
      <c r="AD8">
        <f t="shared" si="23"/>
        <v>4.3469548633185001E-2</v>
      </c>
      <c r="AE8">
        <f t="shared" si="23"/>
        <v>4.3469548633185001E-2</v>
      </c>
      <c r="AF8">
        <f t="shared" si="23"/>
        <v>4.3469548633185001E-2</v>
      </c>
      <c r="AG8">
        <f t="shared" si="23"/>
        <v>4.3469548633185001E-2</v>
      </c>
      <c r="AH8">
        <f t="shared" si="23"/>
        <v>4.3469548633185001E-2</v>
      </c>
      <c r="AI8">
        <f t="shared" si="23"/>
        <v>4.3469548633185001E-2</v>
      </c>
      <c r="AJ8">
        <f t="shared" si="23"/>
        <v>4.3469548633185001E-2</v>
      </c>
      <c r="AK8">
        <f t="shared" ref="AK8:BP8" si="24">0.0256*($D$8)</f>
        <v>4.3469548633185001E-2</v>
      </c>
      <c r="AL8">
        <f t="shared" si="24"/>
        <v>4.3469548633185001E-2</v>
      </c>
      <c r="AM8">
        <f t="shared" si="24"/>
        <v>4.3469548633185001E-2</v>
      </c>
      <c r="AN8">
        <f t="shared" si="24"/>
        <v>4.3469548633185001E-2</v>
      </c>
      <c r="AO8">
        <f t="shared" si="24"/>
        <v>4.3469548633185001E-2</v>
      </c>
      <c r="AP8">
        <f t="shared" si="24"/>
        <v>4.3469548633185001E-2</v>
      </c>
      <c r="AQ8">
        <f t="shared" si="24"/>
        <v>4.3469548633185001E-2</v>
      </c>
      <c r="AR8">
        <f t="shared" si="24"/>
        <v>4.3469548633185001E-2</v>
      </c>
      <c r="AS8">
        <f t="shared" si="24"/>
        <v>4.3469548633185001E-2</v>
      </c>
      <c r="AT8">
        <f t="shared" si="24"/>
        <v>4.3469548633185001E-2</v>
      </c>
      <c r="AU8">
        <f t="shared" si="24"/>
        <v>4.3469548633185001E-2</v>
      </c>
      <c r="AV8">
        <f t="shared" si="24"/>
        <v>4.3469548633185001E-2</v>
      </c>
      <c r="AW8">
        <f t="shared" si="24"/>
        <v>4.3469548633185001E-2</v>
      </c>
      <c r="AX8">
        <f t="shared" si="24"/>
        <v>4.3469548633185001E-2</v>
      </c>
      <c r="AY8">
        <f t="shared" si="24"/>
        <v>4.3469548633185001E-2</v>
      </c>
      <c r="AZ8">
        <f t="shared" si="24"/>
        <v>4.3469548633185001E-2</v>
      </c>
      <c r="BA8">
        <f t="shared" si="24"/>
        <v>4.3469548633185001E-2</v>
      </c>
      <c r="BB8">
        <f t="shared" si="24"/>
        <v>4.3469548633185001E-2</v>
      </c>
      <c r="BC8">
        <f t="shared" si="24"/>
        <v>4.3469548633185001E-2</v>
      </c>
      <c r="BD8">
        <f t="shared" si="24"/>
        <v>4.3469548633185001E-2</v>
      </c>
      <c r="BE8">
        <f t="shared" si="24"/>
        <v>4.3469548633185001E-2</v>
      </c>
      <c r="BF8">
        <f t="shared" si="24"/>
        <v>4.3469548633185001E-2</v>
      </c>
      <c r="BG8">
        <f t="shared" si="24"/>
        <v>4.3469548633185001E-2</v>
      </c>
      <c r="BH8">
        <f t="shared" si="24"/>
        <v>4.3469548633185001E-2</v>
      </c>
      <c r="BI8">
        <f t="shared" si="24"/>
        <v>4.3469548633185001E-2</v>
      </c>
      <c r="BJ8">
        <f t="shared" si="24"/>
        <v>4.3469548633185001E-2</v>
      </c>
      <c r="BK8">
        <f t="shared" si="24"/>
        <v>4.3469548633185001E-2</v>
      </c>
      <c r="BL8">
        <f t="shared" si="24"/>
        <v>4.3469548633185001E-2</v>
      </c>
      <c r="BM8">
        <f t="shared" si="24"/>
        <v>4.3469548633185001E-2</v>
      </c>
      <c r="BN8">
        <f t="shared" si="24"/>
        <v>4.3469548633185001E-2</v>
      </c>
      <c r="BO8">
        <f t="shared" si="24"/>
        <v>4.3469548633185001E-2</v>
      </c>
      <c r="BP8">
        <f t="shared" si="24"/>
        <v>4.3469548633185001E-2</v>
      </c>
      <c r="BQ8">
        <f t="shared" ref="BQ8:BV8" si="25">0.0256*($D$8)</f>
        <v>4.3469548633185001E-2</v>
      </c>
      <c r="BR8">
        <f t="shared" si="25"/>
        <v>4.3469548633185001E-2</v>
      </c>
      <c r="BS8">
        <f t="shared" si="25"/>
        <v>4.3469548633185001E-2</v>
      </c>
      <c r="BT8">
        <f t="shared" si="25"/>
        <v>4.3469548633185001E-2</v>
      </c>
      <c r="BU8">
        <f t="shared" si="25"/>
        <v>4.3469548633185001E-2</v>
      </c>
      <c r="BV8">
        <f t="shared" si="25"/>
        <v>4.3469548633185001E-2</v>
      </c>
      <c r="BW8">
        <f t="shared" si="5"/>
        <v>4.3469548633185001E-2</v>
      </c>
      <c r="BX8">
        <f t="shared" si="6"/>
        <v>4.3469548633185001E-2</v>
      </c>
      <c r="BY8">
        <f t="shared" si="6"/>
        <v>4.3469548633185001E-2</v>
      </c>
      <c r="BZ8">
        <f t="shared" si="6"/>
        <v>4.3469548633185001E-2</v>
      </c>
      <c r="CA8">
        <f t="shared" si="6"/>
        <v>4.3469548633185001E-2</v>
      </c>
      <c r="CB8">
        <f t="shared" si="6"/>
        <v>4.3469548633185001E-2</v>
      </c>
      <c r="CC8">
        <f t="shared" si="6"/>
        <v>4.3469548633185001E-2</v>
      </c>
      <c r="CD8">
        <f t="shared" si="6"/>
        <v>4.3469548633185001E-2</v>
      </c>
      <c r="CE8">
        <f t="shared" si="6"/>
        <v>4.3469548633185001E-2</v>
      </c>
      <c r="CF8">
        <f t="shared" si="6"/>
        <v>4.3469548633185001E-2</v>
      </c>
      <c r="CG8">
        <f t="shared" si="6"/>
        <v>4.3469548633185001E-2</v>
      </c>
      <c r="CH8">
        <f t="shared" si="6"/>
        <v>4.3469548633185001E-2</v>
      </c>
      <c r="CI8">
        <f t="shared" si="6"/>
        <v>4.3469548633185001E-2</v>
      </c>
      <c r="CJ8">
        <f t="shared" si="6"/>
        <v>4.3469548633185001E-2</v>
      </c>
      <c r="CK8">
        <f t="shared" si="6"/>
        <v>4.3469548633185001E-2</v>
      </c>
      <c r="CL8">
        <f t="shared" si="6"/>
        <v>4.3469548633185001E-2</v>
      </c>
      <c r="CM8">
        <f t="shared" si="6"/>
        <v>4.3469548633185001E-2</v>
      </c>
      <c r="CN8">
        <f t="shared" si="6"/>
        <v>4.3469548633185001E-2</v>
      </c>
      <c r="CO8">
        <f t="shared" si="6"/>
        <v>4.3469548633185001E-2</v>
      </c>
      <c r="CP8">
        <f t="shared" si="6"/>
        <v>4.3469548633185001E-2</v>
      </c>
      <c r="CQ8">
        <f t="shared" si="6"/>
        <v>4.3469548633185001E-2</v>
      </c>
      <c r="CR8">
        <f t="shared" si="6"/>
        <v>4.3469548633185001E-2</v>
      </c>
      <c r="CS8">
        <f t="shared" si="6"/>
        <v>4.3469548633185001E-2</v>
      </c>
      <c r="CT8">
        <f t="shared" si="6"/>
        <v>4.3469548633185001E-2</v>
      </c>
      <c r="CU8">
        <f t="shared" si="6"/>
        <v>4.3469548633185001E-2</v>
      </c>
      <c r="CV8">
        <f t="shared" si="6"/>
        <v>4.3469548633185001E-2</v>
      </c>
      <c r="CW8">
        <f t="shared" si="6"/>
        <v>4.3469548633185001E-2</v>
      </c>
      <c r="CX8">
        <f t="shared" si="6"/>
        <v>4.3469548633185001E-2</v>
      </c>
      <c r="CY8">
        <f t="shared" si="6"/>
        <v>4.3469548633185001E-2</v>
      </c>
      <c r="CZ8">
        <f t="shared" si="6"/>
        <v>4.3469548633185001E-2</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topLeftCell="A842" workbookViewId="0">
      <selection activeCell="Y242" sqref="Y242"/>
    </sheetView>
  </sheetViews>
  <sheetFormatPr baseColWidth="10" defaultColWidth="8.83203125" defaultRowHeight="13"/>
  <cols>
    <col min="1" max="1" width="27.6640625" customWidth="1"/>
    <col min="2" max="2" width="19.6640625" customWidth="1"/>
    <col min="3" max="3" width="16.5" customWidth="1"/>
    <col min="4" max="4" width="11.5" customWidth="1"/>
    <col min="5" max="5" width="9.6640625" customWidth="1"/>
    <col min="6" max="6" width="10.33203125" customWidth="1"/>
    <col min="7" max="7" width="10.5" customWidth="1"/>
    <col min="8" max="8" width="9.5" customWidth="1"/>
    <col min="9" max="10" width="10" customWidth="1"/>
    <col min="11" max="11" width="10.6640625" customWidth="1"/>
    <col min="12" max="12" width="9.5" customWidth="1"/>
    <col min="13" max="13" width="10.6640625" customWidth="1"/>
    <col min="14" max="14" width="10.33203125" customWidth="1"/>
    <col min="15" max="15" width="9.5" customWidth="1"/>
    <col min="16" max="16" width="9.6640625" customWidth="1"/>
    <col min="17" max="17" width="10" customWidth="1"/>
    <col min="18" max="19" width="9.6640625" customWidth="1"/>
    <col min="20" max="20" width="10" customWidth="1"/>
    <col min="21" max="22" width="9.6640625" customWidth="1"/>
    <col min="23" max="23" width="10" customWidth="1"/>
    <col min="24" max="24" width="9.6640625" customWidth="1"/>
    <col min="25" max="25" width="10.6640625" customWidth="1"/>
    <col min="26" max="26" width="10.33203125" customWidth="1"/>
    <col min="27" max="27" width="10" customWidth="1"/>
    <col min="28" max="28" width="9.6640625" customWidth="1"/>
    <col min="29" max="29" width="10.33203125" customWidth="1"/>
    <col min="30" max="30" width="10.5" customWidth="1"/>
    <col min="31" max="31" width="9.5" customWidth="1"/>
    <col min="32" max="32" width="10" customWidth="1"/>
    <col min="33" max="33" width="9.33203125" customWidth="1"/>
    <col min="34" max="34" width="10" customWidth="1"/>
    <col min="35" max="35" width="10.33203125" customWidth="1"/>
    <col min="36" max="36" width="9.6640625" customWidth="1"/>
    <col min="37" max="37" width="9.5" customWidth="1"/>
    <col min="38" max="38" width="9.6640625" customWidth="1"/>
    <col min="39" max="39" width="10.33203125" customWidth="1"/>
    <col min="40" max="42" width="9.6640625" customWidth="1"/>
    <col min="43" max="43" width="9.33203125" customWidth="1"/>
    <col min="44" max="44" width="9.5" customWidth="1"/>
    <col min="45" max="45" width="9.6640625" customWidth="1"/>
    <col min="46" max="46" width="10.33203125" customWidth="1"/>
    <col min="47" max="47" width="10.5" customWidth="1"/>
    <col min="48" max="48" width="9.5" customWidth="1"/>
    <col min="49" max="50" width="9.6640625" customWidth="1"/>
    <col min="51" max="52" width="9.5" customWidth="1"/>
    <col min="53" max="53" width="9.6640625" customWidth="1"/>
    <col min="54" max="54" width="9.5" customWidth="1"/>
    <col min="55" max="57" width="9.6640625" customWidth="1"/>
    <col min="58" max="58" width="9.5" customWidth="1"/>
    <col min="59" max="59" width="9.6640625" customWidth="1"/>
    <col min="60" max="60" width="9.5" customWidth="1"/>
    <col min="61" max="61" width="9.6640625" customWidth="1"/>
    <col min="62" max="62" width="10.33203125" customWidth="1"/>
    <col min="63" max="63" width="9.6640625" customWidth="1"/>
    <col min="64" max="64" width="10.33203125" customWidth="1"/>
    <col min="65" max="65" width="9.5" customWidth="1"/>
    <col min="66" max="66" width="9.6640625" customWidth="1"/>
    <col min="67" max="67" width="9.5" customWidth="1"/>
    <col min="68" max="68" width="9.6640625" customWidth="1"/>
    <col min="69" max="69" width="10.33203125" customWidth="1"/>
    <col min="70" max="70" width="9.6640625" customWidth="1"/>
    <col min="71" max="72" width="9.5" customWidth="1"/>
    <col min="73" max="73" width="10" customWidth="1"/>
  </cols>
  <sheetData>
    <row r="1" spans="1:72" ht="16">
      <c r="A1" s="1580" t="s">
        <v>741</v>
      </c>
      <c r="B1" s="1580"/>
      <c r="C1" s="1580"/>
      <c r="D1" s="1580"/>
      <c r="E1" s="1580"/>
      <c r="F1" s="1580"/>
      <c r="G1" s="1580"/>
      <c r="H1" s="1580"/>
      <c r="I1" s="1580"/>
      <c r="J1" s="1580"/>
      <c r="K1" s="1580"/>
      <c r="L1" s="1580"/>
      <c r="M1" s="1580"/>
      <c r="N1" s="1580"/>
      <c r="O1" s="1580"/>
      <c r="P1" s="1580"/>
      <c r="Q1" s="1580"/>
      <c r="R1" s="1580"/>
      <c r="S1" s="1580"/>
      <c r="T1" s="1580"/>
      <c r="U1" s="1580"/>
      <c r="V1" s="1580"/>
      <c r="W1" s="1580"/>
      <c r="X1" s="1580"/>
      <c r="Y1" s="1580"/>
      <c r="Z1" s="1580"/>
      <c r="AA1" s="1580"/>
      <c r="AB1" s="1580"/>
      <c r="AC1" s="1580"/>
      <c r="AD1" s="1580"/>
      <c r="AE1" s="1580"/>
      <c r="AF1" s="1580"/>
      <c r="AG1" s="1580"/>
      <c r="AH1" s="1580"/>
      <c r="AI1" s="1580"/>
      <c r="AJ1" s="1580"/>
      <c r="AK1" s="1580"/>
      <c r="AL1" s="1580"/>
      <c r="AM1" s="1580"/>
      <c r="AN1" s="1580"/>
      <c r="AO1" s="1580"/>
      <c r="AP1" s="1580"/>
      <c r="AQ1" s="1580"/>
      <c r="AR1" s="1580"/>
      <c r="AS1" s="1580"/>
      <c r="AT1" s="1580"/>
      <c r="AU1" s="1580"/>
      <c r="AV1" s="1580"/>
      <c r="AW1" s="1580"/>
      <c r="AX1" s="1580"/>
      <c r="AY1" s="1580"/>
      <c r="AZ1" s="1580"/>
      <c r="BA1" s="1580"/>
      <c r="BB1" s="1580"/>
      <c r="BC1" s="1580"/>
      <c r="BD1" s="1580"/>
      <c r="BE1" s="1580"/>
      <c r="BF1" s="1580"/>
      <c r="BG1" s="1580"/>
      <c r="BH1" s="1580"/>
      <c r="BI1" s="1580"/>
      <c r="BJ1" s="1580"/>
      <c r="BK1" s="1580"/>
      <c r="BL1" s="1580"/>
      <c r="BM1" s="1580"/>
      <c r="BN1" s="1580"/>
      <c r="BO1" s="1580"/>
      <c r="BP1" s="1580"/>
      <c r="BQ1" s="1580"/>
      <c r="BR1" s="1580"/>
      <c r="BS1" s="1580"/>
      <c r="BT1" s="1580"/>
    </row>
    <row r="2" spans="1:72">
      <c r="A2" s="1581" t="s">
        <v>742</v>
      </c>
      <c r="B2" s="1581"/>
      <c r="C2" s="1581"/>
      <c r="D2" s="1581"/>
      <c r="E2" s="1581"/>
      <c r="F2" s="1581"/>
      <c r="G2" s="1581"/>
      <c r="H2" s="1581"/>
      <c r="I2" s="1581"/>
      <c r="J2" s="1581"/>
      <c r="K2" s="1581"/>
      <c r="L2" s="1581"/>
      <c r="M2" s="1581"/>
      <c r="N2" s="1581"/>
      <c r="O2" s="1581"/>
      <c r="P2" s="1581"/>
      <c r="Q2" s="1581"/>
      <c r="R2" s="1581"/>
      <c r="S2" s="1581"/>
      <c r="T2" s="1581"/>
      <c r="U2" s="1581"/>
      <c r="V2" s="1581"/>
      <c r="W2" s="1581"/>
      <c r="X2" s="1581"/>
      <c r="Y2" s="1581"/>
      <c r="Z2" s="1581"/>
      <c r="AA2" s="1581"/>
      <c r="AB2" s="1581"/>
      <c r="AC2" s="1581"/>
      <c r="AD2" s="1581"/>
      <c r="AE2" s="1581"/>
      <c r="AF2" s="1581"/>
      <c r="AG2" s="1581"/>
      <c r="AH2" s="1581"/>
      <c r="AI2" s="1581"/>
      <c r="AJ2" s="1581"/>
      <c r="AK2" s="1581"/>
      <c r="AL2" s="1581"/>
      <c r="AM2" s="1581"/>
      <c r="AN2" s="1581"/>
      <c r="AO2" s="1581"/>
      <c r="AP2" s="1581"/>
      <c r="AQ2" s="1581"/>
      <c r="AR2" s="1581"/>
      <c r="AS2" s="1581"/>
      <c r="AT2" s="1581"/>
      <c r="AU2" s="1581"/>
      <c r="AV2" s="1581"/>
      <c r="AW2" s="1581"/>
      <c r="AX2" s="1581"/>
      <c r="AY2" s="1581"/>
      <c r="AZ2" s="1581"/>
      <c r="BA2" s="1581"/>
      <c r="BB2" s="1581"/>
      <c r="BC2" s="1581"/>
      <c r="BD2" s="1581"/>
      <c r="BE2" s="1581"/>
      <c r="BF2" s="1581"/>
      <c r="BG2" s="1581"/>
      <c r="BH2" s="1581"/>
      <c r="BI2" s="1581"/>
      <c r="BJ2" s="1581"/>
      <c r="BK2" s="1581"/>
      <c r="BL2" s="1581"/>
      <c r="BM2" s="1581"/>
      <c r="BN2" s="1581"/>
      <c r="BO2" s="1581"/>
      <c r="BP2" s="1581"/>
      <c r="BQ2" s="1581"/>
      <c r="BR2" s="1581"/>
      <c r="BS2" s="1581"/>
      <c r="BT2" s="1581"/>
    </row>
    <row r="3" spans="1:72" ht="14" thickBot="1">
      <c r="A3" s="1582"/>
      <c r="B3" s="1582"/>
      <c r="C3" s="1582"/>
      <c r="D3" s="1582"/>
      <c r="E3" s="1582"/>
      <c r="F3" s="1582"/>
      <c r="G3" s="1582"/>
      <c r="H3" s="1582"/>
      <c r="I3" s="1582"/>
      <c r="J3" s="1582"/>
      <c r="K3" s="1582"/>
      <c r="L3" s="1582"/>
      <c r="M3" s="1582"/>
      <c r="N3" s="1582"/>
      <c r="O3" s="1582"/>
      <c r="P3" s="1582"/>
      <c r="Q3" s="1582"/>
      <c r="R3" s="1582"/>
      <c r="S3" s="1582"/>
      <c r="T3" s="1582"/>
      <c r="U3" s="1582"/>
      <c r="V3" s="1582"/>
      <c r="W3" s="1582"/>
      <c r="X3" s="1582"/>
      <c r="Y3" s="1582"/>
      <c r="Z3" s="1582"/>
      <c r="AA3" s="1582"/>
      <c r="AB3" s="1582"/>
      <c r="AC3" s="1582"/>
      <c r="AD3" s="1582"/>
      <c r="AE3" s="1582"/>
      <c r="AF3" s="1582"/>
      <c r="AG3" s="1582"/>
      <c r="AH3" s="1582"/>
      <c r="AI3" s="1582"/>
      <c r="AJ3" s="1582"/>
      <c r="AK3" s="1582"/>
      <c r="AL3" s="1582"/>
      <c r="AM3" s="1582"/>
      <c r="AN3" s="1582"/>
      <c r="AO3" s="1582"/>
      <c r="AP3" s="1582"/>
      <c r="AQ3" s="1582"/>
      <c r="AR3" s="1582"/>
      <c r="AS3" s="1582"/>
      <c r="AT3" s="1582"/>
      <c r="AU3" s="1582"/>
      <c r="AV3" s="1582"/>
      <c r="AW3" s="1582"/>
      <c r="AX3" s="1582"/>
      <c r="AY3" s="1582"/>
      <c r="AZ3" s="1582"/>
      <c r="BA3" s="1582"/>
      <c r="BB3" s="1582"/>
      <c r="BC3" s="1582"/>
      <c r="BD3" s="1582"/>
      <c r="BE3" s="1582"/>
      <c r="BF3" s="1582"/>
      <c r="BG3" s="1582"/>
      <c r="BH3" s="1582"/>
      <c r="BI3" s="1582"/>
      <c r="BJ3" s="1582"/>
      <c r="BK3" s="1582"/>
      <c r="BL3" s="1582"/>
      <c r="BM3" s="1582"/>
      <c r="BN3" s="1582"/>
      <c r="BO3" s="1582"/>
      <c r="BP3" s="1582"/>
      <c r="BQ3" s="1582"/>
      <c r="BR3" s="1582"/>
      <c r="BS3" s="1582"/>
      <c r="BT3" s="1582"/>
    </row>
    <row r="4" spans="1:72">
      <c r="A4" s="768"/>
      <c r="B4" s="769" t="s">
        <v>1046</v>
      </c>
      <c r="C4" s="770">
        <v>2001</v>
      </c>
      <c r="D4" s="770">
        <v>2002</v>
      </c>
      <c r="E4" s="770">
        <v>2003</v>
      </c>
      <c r="F4" s="770">
        <v>2004</v>
      </c>
      <c r="G4" s="770">
        <v>2005</v>
      </c>
      <c r="H4" s="770">
        <v>2006</v>
      </c>
      <c r="I4" s="770">
        <v>2007</v>
      </c>
      <c r="J4" s="770">
        <v>2008</v>
      </c>
      <c r="K4" s="770">
        <v>2009</v>
      </c>
      <c r="L4" s="770">
        <v>2010</v>
      </c>
      <c r="M4" s="770">
        <v>2011</v>
      </c>
      <c r="N4" s="770">
        <v>2012</v>
      </c>
      <c r="O4" s="770">
        <v>2013</v>
      </c>
      <c r="P4" s="770">
        <v>2014</v>
      </c>
      <c r="Q4" s="770">
        <v>2015</v>
      </c>
      <c r="R4" s="770">
        <v>2016</v>
      </c>
      <c r="S4" s="770">
        <v>2017</v>
      </c>
      <c r="T4" s="770">
        <v>2018</v>
      </c>
      <c r="U4" s="770">
        <v>2019</v>
      </c>
      <c r="V4" s="770">
        <v>2020</v>
      </c>
      <c r="W4" s="770">
        <v>2021</v>
      </c>
      <c r="X4" s="770">
        <v>2022</v>
      </c>
      <c r="Y4" s="770">
        <v>2023</v>
      </c>
      <c r="Z4" s="770">
        <v>2024</v>
      </c>
      <c r="AA4" s="770">
        <v>2025</v>
      </c>
      <c r="AB4" s="770">
        <v>2026</v>
      </c>
      <c r="AC4" s="770">
        <v>2027</v>
      </c>
      <c r="AD4" s="770">
        <v>2028</v>
      </c>
      <c r="AE4" s="770">
        <v>2029</v>
      </c>
      <c r="AF4" s="770">
        <v>2030</v>
      </c>
      <c r="AG4" s="770">
        <v>2031</v>
      </c>
      <c r="AH4" s="770">
        <v>2032</v>
      </c>
      <c r="AI4" s="770">
        <v>2033</v>
      </c>
      <c r="AJ4" s="770">
        <v>2034</v>
      </c>
      <c r="AK4" s="770">
        <v>2035</v>
      </c>
      <c r="AL4" s="770">
        <v>2036</v>
      </c>
      <c r="AM4" s="770">
        <v>2037</v>
      </c>
      <c r="AN4" s="770">
        <v>2038</v>
      </c>
      <c r="AO4" s="770">
        <v>2039</v>
      </c>
      <c r="AP4" s="770">
        <v>2040</v>
      </c>
      <c r="AQ4" s="770">
        <v>2041</v>
      </c>
      <c r="AR4" s="770">
        <v>2042</v>
      </c>
      <c r="AS4" s="770">
        <v>2043</v>
      </c>
      <c r="AT4" s="770">
        <v>2044</v>
      </c>
      <c r="AU4" s="770">
        <v>2045</v>
      </c>
      <c r="AV4" s="770">
        <v>2046</v>
      </c>
      <c r="AW4" s="770">
        <v>2047</v>
      </c>
      <c r="AX4" s="770">
        <v>2048</v>
      </c>
      <c r="AY4" s="770">
        <v>2049</v>
      </c>
      <c r="AZ4" s="770">
        <v>2050</v>
      </c>
      <c r="BA4" s="770">
        <v>2051</v>
      </c>
      <c r="BB4" s="770">
        <v>2052</v>
      </c>
      <c r="BC4" s="770">
        <v>2053</v>
      </c>
      <c r="BD4" s="770">
        <v>2054</v>
      </c>
      <c r="BE4" s="770">
        <v>2056</v>
      </c>
      <c r="BF4" s="770">
        <v>2056</v>
      </c>
      <c r="BG4" s="770">
        <v>2057</v>
      </c>
      <c r="BH4" s="770">
        <v>2058</v>
      </c>
      <c r="BI4" s="770">
        <v>2059</v>
      </c>
      <c r="BJ4" s="770">
        <v>2060</v>
      </c>
      <c r="BK4" s="770">
        <v>2061</v>
      </c>
      <c r="BL4" s="770">
        <v>2062</v>
      </c>
      <c r="BM4" s="770">
        <v>2063</v>
      </c>
      <c r="BN4" s="770">
        <v>2064</v>
      </c>
      <c r="BO4" s="770">
        <v>2065</v>
      </c>
      <c r="BP4" s="770">
        <v>2066</v>
      </c>
      <c r="BQ4" s="770">
        <v>2067</v>
      </c>
      <c r="BR4" s="770">
        <v>2068</v>
      </c>
      <c r="BS4" s="770">
        <v>2069</v>
      </c>
      <c r="BT4" s="771">
        <v>2070</v>
      </c>
    </row>
    <row r="5" spans="1:72">
      <c r="A5" s="1583" t="s">
        <v>743</v>
      </c>
      <c r="B5" s="1584"/>
      <c r="C5" s="1584"/>
      <c r="D5" s="1584"/>
      <c r="E5" s="1584"/>
      <c r="F5" s="1584"/>
      <c r="G5" s="1584"/>
      <c r="H5" s="1584"/>
      <c r="I5" s="1584"/>
      <c r="J5" s="1584"/>
      <c r="K5" s="1584"/>
      <c r="L5" s="1584"/>
      <c r="M5" s="1584"/>
      <c r="N5" s="1584"/>
      <c r="O5" s="1584"/>
      <c r="P5" s="1584"/>
      <c r="Q5" s="1584"/>
      <c r="R5" s="1584"/>
      <c r="S5" s="1584"/>
      <c r="T5" s="1584"/>
      <c r="U5" s="1584"/>
      <c r="V5" s="1584"/>
      <c r="W5" s="1584"/>
      <c r="X5" s="1584"/>
      <c r="Y5" s="1584"/>
      <c r="Z5" s="1584"/>
      <c r="AA5" s="1584"/>
      <c r="AB5" s="1584"/>
      <c r="AC5" s="1584"/>
      <c r="AD5" s="1584"/>
      <c r="AE5" s="1584"/>
      <c r="AF5" s="1584"/>
      <c r="AG5" s="1584"/>
      <c r="AH5" s="1584"/>
      <c r="AI5" s="1584"/>
      <c r="AJ5" s="1584"/>
      <c r="AK5" s="1584"/>
      <c r="AL5" s="1584"/>
      <c r="AM5" s="1584"/>
      <c r="AN5" s="1584"/>
      <c r="AO5" s="1584"/>
      <c r="AP5" s="1584"/>
      <c r="AQ5" s="1584"/>
      <c r="AR5" s="1584"/>
      <c r="AS5" s="1584"/>
      <c r="AT5" s="1584"/>
      <c r="AU5" s="1584"/>
      <c r="AV5" s="1584"/>
      <c r="AW5" s="1584"/>
      <c r="AX5" s="1584"/>
      <c r="AY5" s="1584"/>
      <c r="AZ5" s="1584"/>
      <c r="BA5" s="1584"/>
      <c r="BB5" s="1584"/>
      <c r="BC5" s="1584"/>
      <c r="BD5" s="1584"/>
      <c r="BE5" s="1584"/>
      <c r="BF5" s="1584"/>
      <c r="BG5" s="1584"/>
      <c r="BH5" s="1584"/>
      <c r="BI5" s="1584"/>
      <c r="BJ5" s="1584"/>
      <c r="BK5" s="1584"/>
      <c r="BL5" s="1584"/>
      <c r="BM5" s="1584"/>
      <c r="BN5" s="1584"/>
      <c r="BO5" s="1584"/>
      <c r="BP5" s="1584"/>
      <c r="BQ5" s="1584"/>
      <c r="BR5" s="1584"/>
      <c r="BS5" s="1584"/>
      <c r="BT5" s="1585"/>
    </row>
    <row r="6" spans="1:72">
      <c r="A6" s="772" t="s">
        <v>744</v>
      </c>
      <c r="B6" s="773" t="s">
        <v>745</v>
      </c>
      <c r="C6" s="774">
        <v>8.9541000728991982</v>
      </c>
      <c r="D6" s="774">
        <v>6.8979457774252282</v>
      </c>
      <c r="E6" s="774">
        <v>8.4197996967243682</v>
      </c>
      <c r="F6" s="774">
        <v>8.8059982398770913</v>
      </c>
      <c r="G6" s="774">
        <v>8.8656468751295598</v>
      </c>
      <c r="H6" s="774">
        <v>8.2234977371287847</v>
      </c>
      <c r="I6" s="774">
        <v>7.8073426530046319</v>
      </c>
      <c r="J6" s="774">
        <v>7.4325694992857168</v>
      </c>
      <c r="K6" s="774">
        <v>7.297531685739191</v>
      </c>
      <c r="L6" s="774">
        <v>7.1966502441550162</v>
      </c>
      <c r="M6" s="774">
        <v>7.2405429268783017</v>
      </c>
      <c r="N6" s="774">
        <v>7.2944294079294778</v>
      </c>
      <c r="O6" s="774">
        <v>7.4037989917791105</v>
      </c>
      <c r="P6" s="774">
        <v>7.5440859727139706</v>
      </c>
      <c r="Q6" s="774">
        <v>7.6385998163583153</v>
      </c>
      <c r="R6" s="774">
        <v>7.6698249061152577</v>
      </c>
      <c r="S6" s="774">
        <v>7.596507558282819</v>
      </c>
      <c r="T6" s="774">
        <v>7.644327174942454</v>
      </c>
      <c r="U6" s="774">
        <v>7.7875295315148705</v>
      </c>
      <c r="V6" s="774">
        <v>8.0180296178133954</v>
      </c>
      <c r="W6" s="774">
        <v>8.1425457338117244</v>
      </c>
      <c r="X6" s="774">
        <v>8.1602542175436898</v>
      </c>
      <c r="Y6" s="774">
        <v>8.1927349319997838</v>
      </c>
      <c r="Z6" s="774">
        <v>8.2544961582939571</v>
      </c>
      <c r="AA6" s="774">
        <v>8.3511330316651513</v>
      </c>
      <c r="AB6" s="775">
        <v>8.4290329061652454</v>
      </c>
      <c r="AC6" s="775">
        <v>8.5069327806653394</v>
      </c>
      <c r="AD6" s="775">
        <v>8.5848326551654335</v>
      </c>
      <c r="AE6" s="775">
        <v>8.6627325296655275</v>
      </c>
      <c r="AF6" s="775">
        <v>8.7406324041656216</v>
      </c>
      <c r="AG6" s="775">
        <v>8.8185322786657157</v>
      </c>
      <c r="AH6" s="775">
        <v>8.8964321531658097</v>
      </c>
      <c r="AI6" s="775">
        <v>8.9743320276659038</v>
      </c>
      <c r="AJ6" s="775">
        <v>9.0522319021659978</v>
      </c>
      <c r="AK6" s="775">
        <v>9.1301317766660848</v>
      </c>
      <c r="AL6" s="775">
        <v>9.2578200706648097</v>
      </c>
      <c r="AM6" s="775">
        <v>9.3855083646635347</v>
      </c>
      <c r="AN6" s="775">
        <v>9.5131966586622596</v>
      </c>
      <c r="AO6" s="775">
        <v>9.6408849526609846</v>
      </c>
      <c r="AP6" s="775">
        <v>9.7685732466597095</v>
      </c>
      <c r="AQ6" s="775">
        <v>9.8962615406584344</v>
      </c>
      <c r="AR6" s="775">
        <v>10.023949834657159</v>
      </c>
      <c r="AS6" s="775">
        <v>10.151638128655884</v>
      </c>
      <c r="AT6" s="775">
        <v>10.279326422654609</v>
      </c>
      <c r="AU6" s="775">
        <v>10.407014716653334</v>
      </c>
      <c r="AV6" s="775">
        <v>10.534703010652059</v>
      </c>
      <c r="AW6" s="775">
        <v>10.662391304650784</v>
      </c>
      <c r="AX6" s="775">
        <v>10.790079598649509</v>
      </c>
      <c r="AY6" s="775">
        <v>10.917767892648234</v>
      </c>
      <c r="AZ6" s="775">
        <v>11.045456186646948</v>
      </c>
      <c r="BA6" s="775">
        <v>11.066404719719236</v>
      </c>
      <c r="BB6" s="775">
        <v>11.087353252791523</v>
      </c>
      <c r="BC6" s="775">
        <v>11.10830178586381</v>
      </c>
      <c r="BD6" s="775">
        <v>11.129250318936098</v>
      </c>
      <c r="BE6" s="775">
        <v>11.150198852008385</v>
      </c>
      <c r="BF6" s="775">
        <v>11.171147385080673</v>
      </c>
      <c r="BG6" s="775">
        <v>11.19209591815296</v>
      </c>
      <c r="BH6" s="775">
        <v>11.213044451225247</v>
      </c>
      <c r="BI6" s="775">
        <v>11.233992984297535</v>
      </c>
      <c r="BJ6" s="775">
        <v>11.254941517369822</v>
      </c>
      <c r="BK6" s="775">
        <v>11.27589005044211</v>
      </c>
      <c r="BL6" s="775">
        <v>11.296838583514397</v>
      </c>
      <c r="BM6" s="775">
        <v>11.317787116586684</v>
      </c>
      <c r="BN6" s="775">
        <v>11.338735649658972</v>
      </c>
      <c r="BO6" s="775">
        <v>11.359684182731248</v>
      </c>
      <c r="BP6" s="775">
        <v>11.381228672680008</v>
      </c>
      <c r="BQ6" s="775">
        <v>11.402773162628767</v>
      </c>
      <c r="BR6" s="775">
        <v>11.424317652577527</v>
      </c>
      <c r="BS6" s="775">
        <v>11.445862142526286</v>
      </c>
      <c r="BT6" s="776">
        <v>11.467406632475045</v>
      </c>
    </row>
    <row r="7" spans="1:72">
      <c r="A7" s="777" t="s">
        <v>746</v>
      </c>
      <c r="B7" s="773" t="s">
        <v>745</v>
      </c>
      <c r="C7" s="774">
        <v>5.2088497969877503</v>
      </c>
      <c r="D7" s="774">
        <v>4.0515519538015683</v>
      </c>
      <c r="E7" s="774">
        <v>5.7953765594734321</v>
      </c>
      <c r="F7" s="774">
        <v>6.3059286733843276</v>
      </c>
      <c r="G7" s="774">
        <v>6.3351569917966728</v>
      </c>
      <c r="H7" s="774">
        <v>5.6603640970194089</v>
      </c>
      <c r="I7" s="774">
        <v>5.2154936812958672</v>
      </c>
      <c r="J7" s="774">
        <v>4.824472465605103</v>
      </c>
      <c r="K7" s="774">
        <v>4.7214620293311338</v>
      </c>
      <c r="L7" s="774">
        <v>4.5987567766657387</v>
      </c>
      <c r="M7" s="774">
        <v>4.6224680014376371</v>
      </c>
      <c r="N7" s="774">
        <v>4.6768878495918127</v>
      </c>
      <c r="O7" s="774">
        <v>4.7861952984108127</v>
      </c>
      <c r="P7" s="774">
        <v>4.922351045428587</v>
      </c>
      <c r="Q7" s="774">
        <v>5.0173813554475863</v>
      </c>
      <c r="R7" s="774">
        <v>5.0686005039035118</v>
      </c>
      <c r="S7" s="774">
        <v>5.0229759936062797</v>
      </c>
      <c r="T7" s="774">
        <v>5.0914502886106439</v>
      </c>
      <c r="U7" s="774">
        <v>5.2365480121576597</v>
      </c>
      <c r="V7" s="774">
        <v>5.4816269649649545</v>
      </c>
      <c r="W7" s="774">
        <v>5.5841408180740668</v>
      </c>
      <c r="X7" s="774">
        <v>5.5850370537559959</v>
      </c>
      <c r="Y7" s="774">
        <v>5.6052826350589937</v>
      </c>
      <c r="Z7" s="774">
        <v>5.6612136071582997</v>
      </c>
      <c r="AA7" s="774">
        <v>5.7676752715740598</v>
      </c>
      <c r="AB7" s="775">
        <v>5.8539244792759346</v>
      </c>
      <c r="AC7" s="775">
        <v>5.9401736869778095</v>
      </c>
      <c r="AD7" s="775">
        <v>6.0264228946796843</v>
      </c>
      <c r="AE7" s="775">
        <v>6.1126721023815591</v>
      </c>
      <c r="AF7" s="775">
        <v>6.1989213100834339</v>
      </c>
      <c r="AG7" s="775">
        <v>6.2851705177853088</v>
      </c>
      <c r="AH7" s="775">
        <v>6.3714197254871836</v>
      </c>
      <c r="AI7" s="775">
        <v>6.4576689331890584</v>
      </c>
      <c r="AJ7" s="775">
        <v>6.5439181408909333</v>
      </c>
      <c r="AK7" s="775">
        <v>6.6301673485928063</v>
      </c>
      <c r="AL7" s="775">
        <v>6.7228927087931387</v>
      </c>
      <c r="AM7" s="775">
        <v>6.8156180689934711</v>
      </c>
      <c r="AN7" s="775">
        <v>6.9083434291938035</v>
      </c>
      <c r="AO7" s="775">
        <v>7.0010687893941359</v>
      </c>
      <c r="AP7" s="775">
        <v>7.0937941495944683</v>
      </c>
      <c r="AQ7" s="775">
        <v>7.1865195097948007</v>
      </c>
      <c r="AR7" s="775">
        <v>7.2792448699951331</v>
      </c>
      <c r="AS7" s="775">
        <v>7.3719702301954655</v>
      </c>
      <c r="AT7" s="775">
        <v>7.4646955903957979</v>
      </c>
      <c r="AU7" s="775">
        <v>7.5574209505961303</v>
      </c>
      <c r="AV7" s="775">
        <v>7.6501463107964627</v>
      </c>
      <c r="AW7" s="775">
        <v>7.7428716709967951</v>
      </c>
      <c r="AX7" s="775">
        <v>7.8355970311971275</v>
      </c>
      <c r="AY7" s="775">
        <v>7.9283223913974599</v>
      </c>
      <c r="AZ7" s="775">
        <v>8.021047751597786</v>
      </c>
      <c r="BA7" s="775">
        <v>8.0362602680624171</v>
      </c>
      <c r="BB7" s="775">
        <v>8.0514727845270482</v>
      </c>
      <c r="BC7" s="775">
        <v>8.0666853009916792</v>
      </c>
      <c r="BD7" s="775">
        <v>8.0818978174563103</v>
      </c>
      <c r="BE7" s="775">
        <v>8.0971103339209414</v>
      </c>
      <c r="BF7" s="775">
        <v>8.1123228503855724</v>
      </c>
      <c r="BG7" s="775">
        <v>8.1275353668502035</v>
      </c>
      <c r="BH7" s="775">
        <v>8.1427478833148346</v>
      </c>
      <c r="BI7" s="775">
        <v>8.1579603997794656</v>
      </c>
      <c r="BJ7" s="775">
        <v>8.1731729162440967</v>
      </c>
      <c r="BK7" s="775">
        <v>8.1883854327087278</v>
      </c>
      <c r="BL7" s="775">
        <v>8.2035979491733588</v>
      </c>
      <c r="BM7" s="775">
        <v>8.2188104656379899</v>
      </c>
      <c r="BN7" s="775">
        <v>8.234022982102621</v>
      </c>
      <c r="BO7" s="775">
        <v>8.2492354985672645</v>
      </c>
      <c r="BP7" s="775">
        <v>8.2648807901462327</v>
      </c>
      <c r="BQ7" s="775">
        <v>8.2805260817252009</v>
      </c>
      <c r="BR7" s="775">
        <v>8.2961713733041691</v>
      </c>
      <c r="BS7" s="775">
        <v>8.3118166648831373</v>
      </c>
      <c r="BT7" s="776">
        <v>8.3274619564621091</v>
      </c>
    </row>
    <row r="8" spans="1:72">
      <c r="A8" s="777" t="s">
        <v>747</v>
      </c>
      <c r="B8" s="773" t="s">
        <v>745</v>
      </c>
      <c r="C8" s="774">
        <v>5.6269638934579786</v>
      </c>
      <c r="D8" s="774">
        <v>3.8422456293735823</v>
      </c>
      <c r="E8" s="774">
        <v>5.691139826234779</v>
      </c>
      <c r="F8" s="774">
        <v>6.2376343214286925</v>
      </c>
      <c r="G8" s="774">
        <v>6.1731978092553481</v>
      </c>
      <c r="H8" s="774">
        <v>5.4998161252939477</v>
      </c>
      <c r="I8" s="774">
        <v>5.0667498741509744</v>
      </c>
      <c r="J8" s="774">
        <v>4.6999946247856554</v>
      </c>
      <c r="K8" s="774">
        <v>4.5877827360944901</v>
      </c>
      <c r="L8" s="774">
        <v>4.4974766767249967</v>
      </c>
      <c r="M8" s="774">
        <v>4.5471429464952013</v>
      </c>
      <c r="N8" s="774">
        <v>4.6470168064225401</v>
      </c>
      <c r="O8" s="774">
        <v>4.7885290901615907</v>
      </c>
      <c r="P8" s="774">
        <v>4.9298490038457894</v>
      </c>
      <c r="Q8" s="774">
        <v>5.0143193411377212</v>
      </c>
      <c r="R8" s="774">
        <v>5.0431599369588911</v>
      </c>
      <c r="S8" s="774">
        <v>4.9958503246307417</v>
      </c>
      <c r="T8" s="774">
        <v>5.071809156885692</v>
      </c>
      <c r="U8" s="774">
        <v>5.2209958625289659</v>
      </c>
      <c r="V8" s="774">
        <v>5.4542850660827948</v>
      </c>
      <c r="W8" s="774">
        <v>5.5514960671370845</v>
      </c>
      <c r="X8" s="774">
        <v>5.5489887943807661</v>
      </c>
      <c r="Y8" s="774">
        <v>5.5622220646660265</v>
      </c>
      <c r="Z8" s="774">
        <v>5.6263508841676488</v>
      </c>
      <c r="AA8" s="774">
        <v>5.730461856104295</v>
      </c>
      <c r="AB8" s="775">
        <v>5.8123040182474703</v>
      </c>
      <c r="AC8" s="775">
        <v>5.8941461803906456</v>
      </c>
      <c r="AD8" s="775">
        <v>5.9759883425338209</v>
      </c>
      <c r="AE8" s="775">
        <v>6.0578305046769962</v>
      </c>
      <c r="AF8" s="775">
        <v>6.1396726668201715</v>
      </c>
      <c r="AG8" s="775">
        <v>6.2215148289633468</v>
      </c>
      <c r="AH8" s="775">
        <v>6.3033569911065221</v>
      </c>
      <c r="AI8" s="775">
        <v>6.3851991532496974</v>
      </c>
      <c r="AJ8" s="775">
        <v>6.4670413153928727</v>
      </c>
      <c r="AK8" s="775">
        <v>6.5488834775360516</v>
      </c>
      <c r="AL8" s="775">
        <v>6.6404720525202734</v>
      </c>
      <c r="AM8" s="775">
        <v>6.7320606275044952</v>
      </c>
      <c r="AN8" s="775">
        <v>6.823649202488717</v>
      </c>
      <c r="AO8" s="775">
        <v>6.9152377774729388</v>
      </c>
      <c r="AP8" s="775">
        <v>7.0068263524571606</v>
      </c>
      <c r="AQ8" s="775">
        <v>7.0984149274413824</v>
      </c>
      <c r="AR8" s="775">
        <v>7.1900035024256042</v>
      </c>
      <c r="AS8" s="775">
        <v>7.2815920774098259</v>
      </c>
      <c r="AT8" s="775">
        <v>7.3731806523940477</v>
      </c>
      <c r="AU8" s="775">
        <v>7.4647692273782695</v>
      </c>
      <c r="AV8" s="775">
        <v>7.5563578023624913</v>
      </c>
      <c r="AW8" s="775">
        <v>7.6479463773467131</v>
      </c>
      <c r="AX8" s="775">
        <v>7.7395349523309349</v>
      </c>
      <c r="AY8" s="775">
        <v>7.8311235273151567</v>
      </c>
      <c r="AZ8" s="775">
        <v>7.9227121022993829</v>
      </c>
      <c r="BA8" s="775">
        <v>7.9377381178566102</v>
      </c>
      <c r="BB8" s="775">
        <v>7.9527641334138375</v>
      </c>
      <c r="BC8" s="775">
        <v>7.9677901489710647</v>
      </c>
      <c r="BD8" s="775">
        <v>7.982816164528292</v>
      </c>
      <c r="BE8" s="775">
        <v>7.9978421800855193</v>
      </c>
      <c r="BF8" s="775">
        <v>8.0128681956427457</v>
      </c>
      <c r="BG8" s="775">
        <v>8.0278942111999729</v>
      </c>
      <c r="BH8" s="775">
        <v>8.0429202267572002</v>
      </c>
      <c r="BI8" s="775">
        <v>8.0579462423144275</v>
      </c>
      <c r="BJ8" s="775">
        <v>8.0729722578716547</v>
      </c>
      <c r="BK8" s="775">
        <v>8.087998273428882</v>
      </c>
      <c r="BL8" s="775">
        <v>8.1030242889861093</v>
      </c>
      <c r="BM8" s="775">
        <v>8.1180503045433365</v>
      </c>
      <c r="BN8" s="775">
        <v>8.1330763201005638</v>
      </c>
      <c r="BO8" s="775">
        <v>8.1481023356577857</v>
      </c>
      <c r="BP8" s="775">
        <v>8.1635558206357306</v>
      </c>
      <c r="BQ8" s="775">
        <v>8.1790093056136755</v>
      </c>
      <c r="BR8" s="775">
        <v>8.1944627905916203</v>
      </c>
      <c r="BS8" s="775">
        <v>8.2099162755695652</v>
      </c>
      <c r="BT8" s="776">
        <v>8.2253697605475136</v>
      </c>
    </row>
    <row r="9" spans="1:72">
      <c r="A9" s="1583" t="s">
        <v>748</v>
      </c>
      <c r="B9" s="1584"/>
      <c r="C9" s="1584"/>
      <c r="D9" s="1584"/>
      <c r="E9" s="1584"/>
      <c r="F9" s="1584"/>
      <c r="G9" s="1584"/>
      <c r="H9" s="1584"/>
      <c r="I9" s="1584"/>
      <c r="J9" s="1584"/>
      <c r="K9" s="1584"/>
      <c r="L9" s="1584"/>
      <c r="M9" s="1584"/>
      <c r="N9" s="1584"/>
      <c r="O9" s="1584"/>
      <c r="P9" s="1584"/>
      <c r="Q9" s="1584"/>
      <c r="R9" s="1584"/>
      <c r="S9" s="1584"/>
      <c r="T9" s="1584"/>
      <c r="U9" s="1584"/>
      <c r="V9" s="1584"/>
      <c r="W9" s="1584"/>
      <c r="X9" s="1584"/>
      <c r="Y9" s="1584"/>
      <c r="Z9" s="1584"/>
      <c r="AA9" s="1584"/>
      <c r="AB9" s="1584"/>
      <c r="AC9" s="1584"/>
      <c r="AD9" s="1584"/>
      <c r="AE9" s="1584"/>
      <c r="AF9" s="1584"/>
      <c r="AG9" s="1584"/>
      <c r="AH9" s="1584"/>
      <c r="AI9" s="1584"/>
      <c r="AJ9" s="1584"/>
      <c r="AK9" s="1584"/>
      <c r="AL9" s="1584"/>
      <c r="AM9" s="1584"/>
      <c r="AN9" s="1584"/>
      <c r="AO9" s="1584"/>
      <c r="AP9" s="1584"/>
      <c r="AQ9" s="1584"/>
      <c r="AR9" s="1584"/>
      <c r="AS9" s="1584"/>
      <c r="AT9" s="1584"/>
      <c r="AU9" s="1584"/>
      <c r="AV9" s="1584"/>
      <c r="AW9" s="1584"/>
      <c r="AX9" s="1584"/>
      <c r="AY9" s="1584"/>
      <c r="AZ9" s="1584"/>
      <c r="BA9" s="1584"/>
      <c r="BB9" s="1584"/>
      <c r="BC9" s="1584"/>
      <c r="BD9" s="1584"/>
      <c r="BE9" s="1584"/>
      <c r="BF9" s="1584"/>
      <c r="BG9" s="1584"/>
      <c r="BH9" s="1584"/>
      <c r="BI9" s="1584"/>
      <c r="BJ9" s="1584"/>
      <c r="BK9" s="1584"/>
      <c r="BL9" s="1584"/>
      <c r="BM9" s="1584"/>
      <c r="BN9" s="1584"/>
      <c r="BO9" s="1584"/>
      <c r="BP9" s="1584"/>
      <c r="BQ9" s="1584"/>
      <c r="BR9" s="1584"/>
      <c r="BS9" s="1584"/>
      <c r="BT9" s="1585"/>
    </row>
    <row r="10" spans="1:72">
      <c r="A10" s="777" t="s">
        <v>681</v>
      </c>
      <c r="B10" s="773" t="s">
        <v>745</v>
      </c>
      <c r="C10" s="774">
        <v>24.866788774356646</v>
      </c>
      <c r="D10" s="774">
        <v>24.345010037692106</v>
      </c>
      <c r="E10" s="774">
        <v>24.223933219909672</v>
      </c>
      <c r="F10" s="774">
        <v>24.020635352944481</v>
      </c>
      <c r="G10" s="774">
        <v>23.91295186528621</v>
      </c>
      <c r="H10" s="774">
        <v>22.837542614846832</v>
      </c>
      <c r="I10" s="774">
        <v>21.69091966017233</v>
      </c>
      <c r="J10" s="774">
        <v>21.090846376599046</v>
      </c>
      <c r="K10" s="774">
        <v>21.058556043876806</v>
      </c>
      <c r="L10" s="774">
        <v>20.987678365887316</v>
      </c>
      <c r="M10" s="774">
        <v>20.983490961902529</v>
      </c>
      <c r="N10" s="774">
        <v>21.313707333690761</v>
      </c>
      <c r="O10" s="774">
        <v>21.638938984780914</v>
      </c>
      <c r="P10" s="774">
        <v>22.13258341123478</v>
      </c>
      <c r="Q10" s="774">
        <v>22.313049388381657</v>
      </c>
      <c r="R10" s="774">
        <v>22.486876361774936</v>
      </c>
      <c r="S10" s="774">
        <v>22.494946956634521</v>
      </c>
      <c r="T10" s="774">
        <v>22.662665807975912</v>
      </c>
      <c r="U10" s="774">
        <v>22.922821701697636</v>
      </c>
      <c r="V10" s="774">
        <v>23.270139622238439</v>
      </c>
      <c r="W10" s="774">
        <v>23.509686568997985</v>
      </c>
      <c r="X10" s="774">
        <v>23.493712398241108</v>
      </c>
      <c r="Y10" s="774">
        <v>23.423848763951703</v>
      </c>
      <c r="Z10" s="774">
        <v>23.513217827059155</v>
      </c>
      <c r="AA10" s="774">
        <v>23.645542576627872</v>
      </c>
      <c r="AB10" s="775">
        <v>23.786749293232678</v>
      </c>
      <c r="AC10" s="775">
        <v>23.927956009837484</v>
      </c>
      <c r="AD10" s="775">
        <v>24.06916272644229</v>
      </c>
      <c r="AE10" s="775">
        <v>24.210369443047096</v>
      </c>
      <c r="AF10" s="775">
        <v>24.351576159651902</v>
      </c>
      <c r="AG10" s="775">
        <v>24.492782876256708</v>
      </c>
      <c r="AH10" s="775">
        <v>24.633989592861514</v>
      </c>
      <c r="AI10" s="775">
        <v>24.77519630946632</v>
      </c>
      <c r="AJ10" s="775">
        <v>24.916403026071126</v>
      </c>
      <c r="AK10" s="775">
        <v>25.057609742675933</v>
      </c>
      <c r="AL10" s="775">
        <v>25.047759076850095</v>
      </c>
      <c r="AM10" s="775">
        <v>25.037908411024258</v>
      </c>
      <c r="AN10" s="775">
        <v>25.028057745198421</v>
      </c>
      <c r="AO10" s="775">
        <v>25.018207079372583</v>
      </c>
      <c r="AP10" s="775">
        <v>25.008356413546746</v>
      </c>
      <c r="AQ10" s="775">
        <v>24.998505747720909</v>
      </c>
      <c r="AR10" s="775">
        <v>24.988655081895072</v>
      </c>
      <c r="AS10" s="775">
        <v>24.978804416069234</v>
      </c>
      <c r="AT10" s="775">
        <v>24.968953750243397</v>
      </c>
      <c r="AU10" s="775">
        <v>24.95910308441756</v>
      </c>
      <c r="AV10" s="775">
        <v>24.949252418591723</v>
      </c>
      <c r="AW10" s="775">
        <v>24.939401752765885</v>
      </c>
      <c r="AX10" s="775">
        <v>24.929551086940048</v>
      </c>
      <c r="AY10" s="775">
        <v>24.919700421114211</v>
      </c>
      <c r="AZ10" s="775">
        <v>24.90984975528837</v>
      </c>
      <c r="BA10" s="775">
        <v>24.925673674379027</v>
      </c>
      <c r="BB10" s="775">
        <v>24.941497593469684</v>
      </c>
      <c r="BC10" s="775">
        <v>24.957321512560341</v>
      </c>
      <c r="BD10" s="775">
        <v>24.973145431650998</v>
      </c>
      <c r="BE10" s="775">
        <v>24.988969350741655</v>
      </c>
      <c r="BF10" s="775">
        <v>25.004793269832312</v>
      </c>
      <c r="BG10" s="775">
        <v>25.020617188922969</v>
      </c>
      <c r="BH10" s="775">
        <v>25.036441108013626</v>
      </c>
      <c r="BI10" s="775">
        <v>25.052265027104283</v>
      </c>
      <c r="BJ10" s="775">
        <v>25.068088946194941</v>
      </c>
      <c r="BK10" s="775">
        <v>25.083912865285598</v>
      </c>
      <c r="BL10" s="775">
        <v>25.099736784376255</v>
      </c>
      <c r="BM10" s="775">
        <v>25.115560703466912</v>
      </c>
      <c r="BN10" s="775">
        <v>25.131384622557569</v>
      </c>
      <c r="BO10" s="775">
        <v>25.147208541648205</v>
      </c>
      <c r="BP10" s="775">
        <v>25.163183242307905</v>
      </c>
      <c r="BQ10" s="775">
        <v>25.179157942967606</v>
      </c>
      <c r="BR10" s="775">
        <v>25.195132643627307</v>
      </c>
      <c r="BS10" s="775">
        <v>25.211107344287008</v>
      </c>
      <c r="BT10" s="776">
        <v>25.227082044946716</v>
      </c>
    </row>
    <row r="11" spans="1:72">
      <c r="A11" s="777" t="s">
        <v>696</v>
      </c>
      <c r="B11" s="773" t="s">
        <v>745</v>
      </c>
      <c r="C11" s="774">
        <v>16.038863482553147</v>
      </c>
      <c r="D11" s="774">
        <v>15.36037109932807</v>
      </c>
      <c r="E11" s="774">
        <v>15.664056310113844</v>
      </c>
      <c r="F11" s="774">
        <v>16.390134465019642</v>
      </c>
      <c r="G11" s="774">
        <v>16.26049394877451</v>
      </c>
      <c r="H11" s="774">
        <v>15.718549229064077</v>
      </c>
      <c r="I11" s="774">
        <v>15.083546116666987</v>
      </c>
      <c r="J11" s="774">
        <v>14.764544869368896</v>
      </c>
      <c r="K11" s="774">
        <v>14.679648534306921</v>
      </c>
      <c r="L11" s="774">
        <v>14.510741661179726</v>
      </c>
      <c r="M11" s="774">
        <v>14.370329416023063</v>
      </c>
      <c r="N11" s="774">
        <v>14.522587083420669</v>
      </c>
      <c r="O11" s="774">
        <v>14.791267903345901</v>
      </c>
      <c r="P11" s="774">
        <v>15.142176731577413</v>
      </c>
      <c r="Q11" s="774">
        <v>15.304996360023072</v>
      </c>
      <c r="R11" s="774">
        <v>15.443286072533045</v>
      </c>
      <c r="S11" s="774">
        <v>15.485992224711291</v>
      </c>
      <c r="T11" s="774">
        <v>15.663456831338236</v>
      </c>
      <c r="U11" s="774">
        <v>15.910829809476709</v>
      </c>
      <c r="V11" s="774">
        <v>16.241389166634008</v>
      </c>
      <c r="W11" s="774">
        <v>16.419768400912066</v>
      </c>
      <c r="X11" s="774">
        <v>16.405212897174714</v>
      </c>
      <c r="Y11" s="774">
        <v>16.372526888577397</v>
      </c>
      <c r="Z11" s="774">
        <v>16.449089176249931</v>
      </c>
      <c r="AA11" s="774">
        <v>16.568027554817903</v>
      </c>
      <c r="AB11" s="775">
        <v>16.704753726753587</v>
      </c>
      <c r="AC11" s="775">
        <v>16.841479898689272</v>
      </c>
      <c r="AD11" s="775">
        <v>16.978206070624957</v>
      </c>
      <c r="AE11" s="775">
        <v>17.114932242560641</v>
      </c>
      <c r="AF11" s="775">
        <v>17.251658414496326</v>
      </c>
      <c r="AG11" s="775">
        <v>17.388384586432011</v>
      </c>
      <c r="AH11" s="775">
        <v>17.525110758367695</v>
      </c>
      <c r="AI11" s="775">
        <v>17.66183693030338</v>
      </c>
      <c r="AJ11" s="775">
        <v>17.798563102239065</v>
      </c>
      <c r="AK11" s="775">
        <v>17.935289274174743</v>
      </c>
      <c r="AL11" s="775">
        <v>17.928238540168429</v>
      </c>
      <c r="AM11" s="775">
        <v>17.921187806162116</v>
      </c>
      <c r="AN11" s="775">
        <v>17.914137072155803</v>
      </c>
      <c r="AO11" s="775">
        <v>17.90708633814949</v>
      </c>
      <c r="AP11" s="775">
        <v>17.900035604143177</v>
      </c>
      <c r="AQ11" s="775">
        <v>17.892984870136864</v>
      </c>
      <c r="AR11" s="775">
        <v>17.885934136130551</v>
      </c>
      <c r="AS11" s="775">
        <v>17.878883402124238</v>
      </c>
      <c r="AT11" s="775">
        <v>17.871832668117925</v>
      </c>
      <c r="AU11" s="775">
        <v>17.864781934111612</v>
      </c>
      <c r="AV11" s="775">
        <v>17.857731200105299</v>
      </c>
      <c r="AW11" s="775">
        <v>17.850680466098986</v>
      </c>
      <c r="AX11" s="775">
        <v>17.843629732092673</v>
      </c>
      <c r="AY11" s="775">
        <v>17.83657899808636</v>
      </c>
      <c r="AZ11" s="775">
        <v>17.829528264080036</v>
      </c>
      <c r="BA11" s="775">
        <v>17.840854426840831</v>
      </c>
      <c r="BB11" s="775">
        <v>17.852180589601627</v>
      </c>
      <c r="BC11" s="775">
        <v>17.863506752362422</v>
      </c>
      <c r="BD11" s="775">
        <v>17.874832915123218</v>
      </c>
      <c r="BE11" s="775">
        <v>17.886159077884013</v>
      </c>
      <c r="BF11" s="775">
        <v>17.897485240644809</v>
      </c>
      <c r="BG11" s="775">
        <v>17.908811403405604</v>
      </c>
      <c r="BH11" s="775">
        <v>17.9201375661664</v>
      </c>
      <c r="BI11" s="775">
        <v>17.931463728927195</v>
      </c>
      <c r="BJ11" s="775">
        <v>17.94278989168799</v>
      </c>
      <c r="BK11" s="775">
        <v>17.954116054448786</v>
      </c>
      <c r="BL11" s="775">
        <v>17.965442217209581</v>
      </c>
      <c r="BM11" s="775">
        <v>17.976768379970377</v>
      </c>
      <c r="BN11" s="775">
        <v>17.988094542731172</v>
      </c>
      <c r="BO11" s="775">
        <v>17.999420705491971</v>
      </c>
      <c r="BP11" s="775">
        <v>18.010854791996724</v>
      </c>
      <c r="BQ11" s="775">
        <v>18.022288878501477</v>
      </c>
      <c r="BR11" s="775">
        <v>18.033722965006231</v>
      </c>
      <c r="BS11" s="775">
        <v>18.045157051510984</v>
      </c>
      <c r="BT11" s="776">
        <v>18.056591138015737</v>
      </c>
    </row>
    <row r="12" spans="1:72">
      <c r="A12" s="778" t="s">
        <v>749</v>
      </c>
      <c r="B12" s="773"/>
      <c r="C12" s="773"/>
      <c r="D12" s="773"/>
      <c r="E12" s="773"/>
      <c r="F12" s="773"/>
      <c r="G12" s="773"/>
      <c r="H12" s="773"/>
      <c r="I12" s="773"/>
      <c r="J12" s="773"/>
      <c r="K12" s="773"/>
      <c r="L12" s="773"/>
      <c r="M12" s="773"/>
      <c r="N12" s="773"/>
      <c r="O12" s="773"/>
      <c r="P12" s="773"/>
      <c r="Q12" s="773"/>
      <c r="R12" s="773"/>
      <c r="S12" s="773"/>
      <c r="T12" s="773"/>
      <c r="U12" s="773"/>
      <c r="V12" s="773"/>
      <c r="W12" s="773"/>
      <c r="X12" s="773"/>
      <c r="Y12" s="773"/>
      <c r="Z12" s="773"/>
      <c r="AA12" s="773"/>
      <c r="AB12" s="773"/>
      <c r="AC12" s="773"/>
      <c r="AD12" s="773"/>
      <c r="AE12" s="773"/>
      <c r="AF12" s="773"/>
      <c r="AG12" s="773"/>
      <c r="AH12" s="773"/>
      <c r="AI12" s="773"/>
      <c r="AJ12" s="773"/>
      <c r="AK12" s="773"/>
      <c r="AL12" s="773"/>
      <c r="AM12" s="773"/>
      <c r="AN12" s="773"/>
      <c r="AO12" s="773"/>
      <c r="AP12" s="773"/>
      <c r="AQ12" s="773"/>
      <c r="AR12" s="773"/>
      <c r="AS12" s="773"/>
      <c r="AT12" s="773"/>
      <c r="AU12" s="773"/>
      <c r="AV12" s="773"/>
      <c r="AW12" s="773"/>
      <c r="AX12" s="773"/>
      <c r="AY12" s="773"/>
      <c r="AZ12" s="773"/>
      <c r="BA12" s="773"/>
      <c r="BB12" s="773"/>
      <c r="BC12" s="773"/>
      <c r="BD12" s="773"/>
      <c r="BE12" s="773"/>
      <c r="BF12" s="773"/>
      <c r="BG12" s="773"/>
      <c r="BH12" s="773"/>
      <c r="BI12" s="773"/>
      <c r="BJ12" s="773"/>
      <c r="BK12" s="773"/>
      <c r="BL12" s="773"/>
      <c r="BM12" s="773"/>
      <c r="BN12" s="773"/>
      <c r="BO12" s="773"/>
      <c r="BP12" s="773"/>
      <c r="BQ12" s="773"/>
      <c r="BR12" s="773"/>
      <c r="BS12" s="773"/>
      <c r="BT12" s="779"/>
    </row>
    <row r="13" spans="1:72">
      <c r="A13" s="777" t="s">
        <v>1084</v>
      </c>
      <c r="B13" s="773" t="s">
        <v>745</v>
      </c>
      <c r="C13" s="774">
        <v>1.3268491834774256</v>
      </c>
      <c r="D13" s="774">
        <v>1.32388562245189</v>
      </c>
      <c r="E13" s="774">
        <v>1.3334961719108085</v>
      </c>
      <c r="F13" s="774">
        <v>1.3380821099821107</v>
      </c>
      <c r="G13" s="774">
        <v>1.3443425871291239</v>
      </c>
      <c r="H13" s="774">
        <v>1.3528785733681756</v>
      </c>
      <c r="I13" s="774">
        <v>1.3415886383011697</v>
      </c>
      <c r="J13" s="774">
        <v>1.3403624656065469</v>
      </c>
      <c r="K13" s="774">
        <v>1.330997225248586</v>
      </c>
      <c r="L13" s="774">
        <v>1.3164209684110997</v>
      </c>
      <c r="M13" s="774">
        <v>1.3072140481112184</v>
      </c>
      <c r="N13" s="774">
        <v>1.3019573002491378</v>
      </c>
      <c r="O13" s="774">
        <v>1.2978333982656636</v>
      </c>
      <c r="P13" s="774">
        <v>1.295833644439585</v>
      </c>
      <c r="Q13" s="774">
        <v>1.2953486183904279</v>
      </c>
      <c r="R13" s="774">
        <v>1.2970626753456174</v>
      </c>
      <c r="S13" s="774">
        <v>1.2955796364343368</v>
      </c>
      <c r="T13" s="774">
        <v>1.3002382724914889</v>
      </c>
      <c r="U13" s="774">
        <v>1.3044509032987155</v>
      </c>
      <c r="V13" s="774">
        <v>1.3304805103337984</v>
      </c>
      <c r="W13" s="774">
        <v>1.3397570218680066</v>
      </c>
      <c r="X13" s="774">
        <v>1.3519914094007222</v>
      </c>
      <c r="Y13" s="774">
        <v>1.3569265463442153</v>
      </c>
      <c r="Z13" s="774">
        <v>1.3726611244228613</v>
      </c>
      <c r="AA13" s="774">
        <v>1.3854931266802686</v>
      </c>
      <c r="AB13" s="775">
        <v>1.3951349014789893</v>
      </c>
      <c r="AC13" s="775">
        <v>1.4047766762777101</v>
      </c>
      <c r="AD13" s="775">
        <v>1.4144184510764308</v>
      </c>
      <c r="AE13" s="775">
        <v>1.4240602258751516</v>
      </c>
      <c r="AF13" s="775">
        <v>1.4337020006738723</v>
      </c>
      <c r="AG13" s="775">
        <v>1.4433437754725931</v>
      </c>
      <c r="AH13" s="775">
        <v>1.4529855502713138</v>
      </c>
      <c r="AI13" s="775">
        <v>1.4626273250700346</v>
      </c>
      <c r="AJ13" s="775">
        <v>1.4722690998687553</v>
      </c>
      <c r="AK13" s="775">
        <v>1.481910874667477</v>
      </c>
      <c r="AL13" s="775">
        <v>1.4862555877963981</v>
      </c>
      <c r="AM13" s="775">
        <v>1.4906003009253193</v>
      </c>
      <c r="AN13" s="775">
        <v>1.4949450140542404</v>
      </c>
      <c r="AO13" s="775">
        <v>1.4992897271831616</v>
      </c>
      <c r="AP13" s="775">
        <v>1.5036344403120827</v>
      </c>
      <c r="AQ13" s="775">
        <v>1.5079791534410039</v>
      </c>
      <c r="AR13" s="775">
        <v>1.512323866569925</v>
      </c>
      <c r="AS13" s="775">
        <v>1.5166685796988462</v>
      </c>
      <c r="AT13" s="775">
        <v>1.5210132928277673</v>
      </c>
      <c r="AU13" s="775">
        <v>1.5253580059566885</v>
      </c>
      <c r="AV13" s="775">
        <v>1.5297027190856096</v>
      </c>
      <c r="AW13" s="775">
        <v>1.5340474322145308</v>
      </c>
      <c r="AX13" s="775">
        <v>1.5383921453434519</v>
      </c>
      <c r="AY13" s="775">
        <v>1.5427368584723731</v>
      </c>
      <c r="AZ13" s="775">
        <v>1.5470815716012942</v>
      </c>
      <c r="BA13" s="775">
        <v>1.5500157274134729</v>
      </c>
      <c r="BB13" s="775">
        <v>1.5529498832256516</v>
      </c>
      <c r="BC13" s="775">
        <v>1.5558840390378303</v>
      </c>
      <c r="BD13" s="775">
        <v>1.5588181948500091</v>
      </c>
      <c r="BE13" s="775">
        <v>1.5617523506621878</v>
      </c>
      <c r="BF13" s="775">
        <v>1.5646865064743665</v>
      </c>
      <c r="BG13" s="775">
        <v>1.5676206622865452</v>
      </c>
      <c r="BH13" s="775">
        <v>1.5705548180987239</v>
      </c>
      <c r="BI13" s="775">
        <v>1.5734889739109026</v>
      </c>
      <c r="BJ13" s="775">
        <v>1.5764231297230813</v>
      </c>
      <c r="BK13" s="775">
        <v>1.57935728553526</v>
      </c>
      <c r="BL13" s="775">
        <v>1.5822914413474387</v>
      </c>
      <c r="BM13" s="775">
        <v>1.5852255971596174</v>
      </c>
      <c r="BN13" s="775">
        <v>1.5881597529717961</v>
      </c>
      <c r="BO13" s="775">
        <v>1.5910939087839742</v>
      </c>
      <c r="BP13" s="775">
        <v>1.5941115372826113</v>
      </c>
      <c r="BQ13" s="775">
        <v>1.5971291657812485</v>
      </c>
      <c r="BR13" s="775">
        <v>1.6001467942798857</v>
      </c>
      <c r="BS13" s="775">
        <v>1.6031644227785229</v>
      </c>
      <c r="BT13" s="776">
        <v>1.6061820512771605</v>
      </c>
    </row>
    <row r="14" spans="1:72">
      <c r="A14" s="1583" t="s">
        <v>750</v>
      </c>
      <c r="B14" s="1584"/>
      <c r="C14" s="1584"/>
      <c r="D14" s="1584"/>
      <c r="E14" s="1584"/>
      <c r="F14" s="1584"/>
      <c r="G14" s="1584"/>
      <c r="H14" s="1584"/>
      <c r="I14" s="1584"/>
      <c r="J14" s="1584"/>
      <c r="K14" s="1584"/>
      <c r="L14" s="1584"/>
      <c r="M14" s="1584"/>
      <c r="N14" s="1584"/>
      <c r="O14" s="1584"/>
      <c r="P14" s="1584"/>
      <c r="Q14" s="1584"/>
      <c r="R14" s="1584"/>
      <c r="S14" s="1584"/>
      <c r="T14" s="1584"/>
      <c r="U14" s="1584"/>
      <c r="V14" s="1584"/>
      <c r="W14" s="1584"/>
      <c r="X14" s="1584"/>
      <c r="Y14" s="1584"/>
      <c r="Z14" s="1584"/>
      <c r="AA14" s="1584"/>
      <c r="AB14" s="1584"/>
      <c r="AC14" s="1584"/>
      <c r="AD14" s="1584"/>
      <c r="AE14" s="1584"/>
      <c r="AF14" s="1584"/>
      <c r="AG14" s="1584"/>
      <c r="AH14" s="1584"/>
      <c r="AI14" s="1584"/>
      <c r="AJ14" s="1584"/>
      <c r="AK14" s="1584"/>
      <c r="AL14" s="1584"/>
      <c r="AM14" s="1584"/>
      <c r="AN14" s="1584"/>
      <c r="AO14" s="1584"/>
      <c r="AP14" s="1584"/>
      <c r="AQ14" s="1584"/>
      <c r="AR14" s="1584"/>
      <c r="AS14" s="1584"/>
      <c r="AT14" s="1584"/>
      <c r="AU14" s="1584"/>
      <c r="AV14" s="1584"/>
      <c r="AW14" s="1584"/>
      <c r="AX14" s="1584"/>
      <c r="AY14" s="1584"/>
      <c r="AZ14" s="1584"/>
      <c r="BA14" s="1584"/>
      <c r="BB14" s="1584"/>
      <c r="BC14" s="1584"/>
      <c r="BD14" s="1584"/>
      <c r="BE14" s="1584"/>
      <c r="BF14" s="1584"/>
      <c r="BG14" s="1584"/>
      <c r="BH14" s="1584"/>
      <c r="BI14" s="1584"/>
      <c r="BJ14" s="1584"/>
      <c r="BK14" s="1584"/>
      <c r="BL14" s="1584"/>
      <c r="BM14" s="1584"/>
      <c r="BN14" s="1584"/>
      <c r="BO14" s="1584"/>
      <c r="BP14" s="1584"/>
      <c r="BQ14" s="1584"/>
      <c r="BR14" s="1584"/>
      <c r="BS14" s="1584"/>
      <c r="BT14" s="1585"/>
    </row>
    <row r="15" spans="1:72" ht="26">
      <c r="A15" s="772" t="s">
        <v>751</v>
      </c>
      <c r="B15" s="773" t="s">
        <v>745</v>
      </c>
      <c r="C15" s="774">
        <v>10.789461735918687</v>
      </c>
      <c r="D15" s="774">
        <v>9.9590971559848445</v>
      </c>
      <c r="E15" s="774">
        <v>11.383831536994775</v>
      </c>
      <c r="F15" s="774">
        <v>12.531178240506115</v>
      </c>
      <c r="G15" s="774">
        <v>12.036300060884058</v>
      </c>
      <c r="H15" s="774">
        <v>12.613383383121093</v>
      </c>
      <c r="I15" s="774">
        <v>13.01890940036416</v>
      </c>
      <c r="J15" s="774">
        <v>12.908589399085846</v>
      </c>
      <c r="K15" s="774">
        <v>12.946875513724528</v>
      </c>
      <c r="L15" s="774">
        <v>13.039098811599491</v>
      </c>
      <c r="M15" s="774">
        <v>13.088955960183741</v>
      </c>
      <c r="N15" s="774">
        <v>13.133508268392355</v>
      </c>
      <c r="O15" s="774">
        <v>13.038477461293056</v>
      </c>
      <c r="P15" s="774">
        <v>12.989168095138872</v>
      </c>
      <c r="Q15" s="774">
        <v>12.752903866318045</v>
      </c>
      <c r="R15" s="774">
        <v>12.539506322932722</v>
      </c>
      <c r="S15" s="774">
        <v>12.335074118848111</v>
      </c>
      <c r="T15" s="774">
        <v>12.292193988584152</v>
      </c>
      <c r="U15" s="774">
        <v>12.304560350921868</v>
      </c>
      <c r="V15" s="774">
        <v>12.340337204483362</v>
      </c>
      <c r="W15" s="774">
        <v>12.418707870087554</v>
      </c>
      <c r="X15" s="774">
        <v>12.438495640484758</v>
      </c>
      <c r="Y15" s="774">
        <v>12.492141534697302</v>
      </c>
      <c r="Z15" s="774">
        <v>12.624332072599859</v>
      </c>
      <c r="AA15" s="774">
        <v>13.025979869770596</v>
      </c>
      <c r="AB15" s="774">
        <v>13.053872203635709</v>
      </c>
      <c r="AC15" s="774">
        <v>13.081764537500822</v>
      </c>
      <c r="AD15" s="774">
        <v>13.109656871365935</v>
      </c>
      <c r="AE15" s="774">
        <v>13.137549205231048</v>
      </c>
      <c r="AF15" s="774">
        <v>13.165441539096161</v>
      </c>
      <c r="AG15" s="774">
        <v>13.193333872961274</v>
      </c>
      <c r="AH15" s="774">
        <v>13.221226206826387</v>
      </c>
      <c r="AI15" s="774">
        <v>13.2491185406915</v>
      </c>
      <c r="AJ15" s="774">
        <v>13.277010874556613</v>
      </c>
      <c r="AK15" s="774">
        <v>13.304903208421727</v>
      </c>
      <c r="AL15" s="774">
        <v>13.445726499778688</v>
      </c>
      <c r="AM15" s="774">
        <v>13.586549791135649</v>
      </c>
      <c r="AN15" s="774">
        <v>13.72737308249261</v>
      </c>
      <c r="AO15" s="774">
        <v>13.868196373849571</v>
      </c>
      <c r="AP15" s="774">
        <v>14.009019665206532</v>
      </c>
      <c r="AQ15" s="774">
        <v>14.149842956563493</v>
      </c>
      <c r="AR15" s="774">
        <v>14.290666247920454</v>
      </c>
      <c r="AS15" s="774">
        <v>14.431489539277415</v>
      </c>
      <c r="AT15" s="774">
        <v>14.572312830634376</v>
      </c>
      <c r="AU15" s="774">
        <v>14.713136121991337</v>
      </c>
      <c r="AV15" s="774">
        <v>14.853959413348298</v>
      </c>
      <c r="AW15" s="774">
        <v>14.994782704705258</v>
      </c>
      <c r="AX15" s="774">
        <v>15.135605996062219</v>
      </c>
      <c r="AY15" s="774">
        <v>15.27642928741918</v>
      </c>
      <c r="AZ15" s="774">
        <v>15.417252578776129</v>
      </c>
      <c r="BA15" s="774">
        <v>15.505038084680947</v>
      </c>
      <c r="BB15" s="774">
        <v>15.592823590585766</v>
      </c>
      <c r="BC15" s="774">
        <v>15.680609096490585</v>
      </c>
      <c r="BD15" s="774">
        <v>15.768394602395404</v>
      </c>
      <c r="BE15" s="774">
        <v>15.856180108300222</v>
      </c>
      <c r="BF15" s="774">
        <v>15.943965614205041</v>
      </c>
      <c r="BG15" s="774">
        <v>16.03175112010986</v>
      </c>
      <c r="BH15" s="774">
        <v>16.119536626014678</v>
      </c>
      <c r="BI15" s="774">
        <v>16.207322131919497</v>
      </c>
      <c r="BJ15" s="774">
        <v>16.295107637824316</v>
      </c>
      <c r="BK15" s="774">
        <v>16.382893143729135</v>
      </c>
      <c r="BL15" s="774">
        <v>16.470678649633953</v>
      </c>
      <c r="BM15" s="774">
        <v>16.558464155538772</v>
      </c>
      <c r="BN15" s="774">
        <v>16.646249661443591</v>
      </c>
      <c r="BO15" s="774">
        <v>16.734035167348416</v>
      </c>
      <c r="BP15" s="774">
        <v>16.829318405103567</v>
      </c>
      <c r="BQ15" s="774">
        <v>16.924601642858718</v>
      </c>
      <c r="BR15" s="774">
        <v>17.019884880613869</v>
      </c>
      <c r="BS15" s="774">
        <v>17.11516811836902</v>
      </c>
      <c r="BT15" s="780">
        <v>17.210451356124164</v>
      </c>
    </row>
    <row r="16" spans="1:72">
      <c r="A16" s="777" t="s">
        <v>752</v>
      </c>
      <c r="B16" s="773" t="s">
        <v>745</v>
      </c>
      <c r="C16" s="774">
        <v>12.730520250245322</v>
      </c>
      <c r="D16" s="774">
        <v>11.801320287416596</v>
      </c>
      <c r="E16" s="774">
        <v>13.477350603859424</v>
      </c>
      <c r="F16" s="774">
        <v>15.275134761378448</v>
      </c>
      <c r="G16" s="774">
        <v>14.956036086352325</v>
      </c>
      <c r="H16" s="774">
        <v>15.333911517881027</v>
      </c>
      <c r="I16" s="774">
        <v>14.969645149302909</v>
      </c>
      <c r="J16" s="774">
        <v>14.856007634468792</v>
      </c>
      <c r="K16" s="774">
        <v>14.855665643260203</v>
      </c>
      <c r="L16" s="774">
        <v>14.676357863084307</v>
      </c>
      <c r="M16" s="774">
        <v>14.660823111264261</v>
      </c>
      <c r="N16" s="774">
        <v>14.621396694543213</v>
      </c>
      <c r="O16" s="774">
        <v>14.496914877081778</v>
      </c>
      <c r="P16" s="774">
        <v>14.525867813038341</v>
      </c>
      <c r="Q16" s="774">
        <v>14.406443289990676</v>
      </c>
      <c r="R16" s="774">
        <v>14.511791494657368</v>
      </c>
      <c r="S16" s="774">
        <v>14.408484301477108</v>
      </c>
      <c r="T16" s="774">
        <v>14.421367627269808</v>
      </c>
      <c r="U16" s="774">
        <v>14.483474821414545</v>
      </c>
      <c r="V16" s="774">
        <v>14.423047758498246</v>
      </c>
      <c r="W16" s="774">
        <v>14.678410804496627</v>
      </c>
      <c r="X16" s="774">
        <v>14.842794247393387</v>
      </c>
      <c r="Y16" s="774">
        <v>14.985196801851416</v>
      </c>
      <c r="Z16" s="774">
        <v>15.125157698145465</v>
      </c>
      <c r="AA16" s="774">
        <v>15.225733932459173</v>
      </c>
      <c r="AB16" s="775">
        <v>15.312322281050708</v>
      </c>
      <c r="AC16" s="775">
        <v>15.398910629642243</v>
      </c>
      <c r="AD16" s="775">
        <v>15.485498978233778</v>
      </c>
      <c r="AE16" s="775">
        <v>15.572087326825313</v>
      </c>
      <c r="AF16" s="775">
        <v>15.658675675416848</v>
      </c>
      <c r="AG16" s="775">
        <v>15.745264024008383</v>
      </c>
      <c r="AH16" s="775">
        <v>15.831852372599919</v>
      </c>
      <c r="AI16" s="775">
        <v>15.918440721191454</v>
      </c>
      <c r="AJ16" s="775">
        <v>16.005029069782989</v>
      </c>
      <c r="AK16" s="775">
        <v>16.091617418374518</v>
      </c>
      <c r="AL16" s="775">
        <v>16.26193617174043</v>
      </c>
      <c r="AM16" s="775">
        <v>16.432254925106342</v>
      </c>
      <c r="AN16" s="775">
        <v>16.602573678472254</v>
      </c>
      <c r="AO16" s="775">
        <v>16.772892431838166</v>
      </c>
      <c r="AP16" s="775">
        <v>16.943211185204078</v>
      </c>
      <c r="AQ16" s="775">
        <v>17.113529938569989</v>
      </c>
      <c r="AR16" s="775">
        <v>17.283848691935901</v>
      </c>
      <c r="AS16" s="775">
        <v>17.454167445301813</v>
      </c>
      <c r="AT16" s="775">
        <v>17.624486198667725</v>
      </c>
      <c r="AU16" s="775">
        <v>17.794804952033637</v>
      </c>
      <c r="AV16" s="775">
        <v>17.965123705399549</v>
      </c>
      <c r="AW16" s="775">
        <v>18.135442458765461</v>
      </c>
      <c r="AX16" s="775">
        <v>18.305761212131372</v>
      </c>
      <c r="AY16" s="775">
        <v>18.476079965497284</v>
      </c>
      <c r="AZ16" s="774">
        <v>18.646398718863171</v>
      </c>
      <c r="BA16" s="775">
        <v>18.752570913712709</v>
      </c>
      <c r="BB16" s="775">
        <v>18.858743108562248</v>
      </c>
      <c r="BC16" s="775">
        <v>18.964915303411786</v>
      </c>
      <c r="BD16" s="775">
        <v>19.071087498261324</v>
      </c>
      <c r="BE16" s="775">
        <v>19.177259693110862</v>
      </c>
      <c r="BF16" s="775">
        <v>19.283431887960401</v>
      </c>
      <c r="BG16" s="775">
        <v>19.389604082809939</v>
      </c>
      <c r="BH16" s="775">
        <v>19.495776277659477</v>
      </c>
      <c r="BI16" s="775">
        <v>19.601948472509015</v>
      </c>
      <c r="BJ16" s="775">
        <v>19.708120667358553</v>
      </c>
      <c r="BK16" s="775">
        <v>19.814292862208092</v>
      </c>
      <c r="BL16" s="775">
        <v>19.92046505705763</v>
      </c>
      <c r="BM16" s="775">
        <v>20.026637251907168</v>
      </c>
      <c r="BN16" s="775">
        <v>20.132809446756706</v>
      </c>
      <c r="BO16" s="774">
        <v>20.238981641606255</v>
      </c>
      <c r="BP16" s="775">
        <v>20.354221969500514</v>
      </c>
      <c r="BQ16" s="775">
        <v>20.469462297394774</v>
      </c>
      <c r="BR16" s="775">
        <v>20.584702625289033</v>
      </c>
      <c r="BS16" s="775">
        <v>20.699942953183292</v>
      </c>
      <c r="BT16" s="780">
        <v>20.815183281077545</v>
      </c>
    </row>
    <row r="17" spans="1:72">
      <c r="A17" s="777" t="s">
        <v>312</v>
      </c>
      <c r="B17" s="773" t="s">
        <v>745</v>
      </c>
      <c r="C17" s="774">
        <v>15.730049999999999</v>
      </c>
      <c r="D17" s="774">
        <v>15.730049999999999</v>
      </c>
      <c r="E17" s="774">
        <v>15.730049999999999</v>
      </c>
      <c r="F17" s="774">
        <v>15.730049999999999</v>
      </c>
      <c r="G17" s="774">
        <v>15.730049999999999</v>
      </c>
      <c r="H17" s="774">
        <v>15.730049999999999</v>
      </c>
      <c r="I17" s="774">
        <v>15.730049999999999</v>
      </c>
      <c r="J17" s="774">
        <v>15.730049999999999</v>
      </c>
      <c r="K17" s="774">
        <v>15.730049999999999</v>
      </c>
      <c r="L17" s="774">
        <v>15.730049999999999</v>
      </c>
      <c r="M17" s="774">
        <v>15.730049999999999</v>
      </c>
      <c r="N17" s="774">
        <v>15.730049999999999</v>
      </c>
      <c r="O17" s="774">
        <v>15.730049999999999</v>
      </c>
      <c r="P17" s="774">
        <v>15.730049999999999</v>
      </c>
      <c r="Q17" s="774">
        <v>15.730049999999999</v>
      </c>
      <c r="R17" s="774">
        <v>15.730049999999999</v>
      </c>
      <c r="S17" s="774">
        <v>15.730049999999999</v>
      </c>
      <c r="T17" s="774">
        <v>15.730049999999999</v>
      </c>
      <c r="U17" s="774">
        <v>15.730049999999999</v>
      </c>
      <c r="V17" s="774">
        <v>15.730049999999999</v>
      </c>
      <c r="W17" s="774">
        <v>15.730049999999999</v>
      </c>
      <c r="X17" s="774">
        <v>15.730049999999999</v>
      </c>
      <c r="Y17" s="774">
        <v>15.730049999999999</v>
      </c>
      <c r="Z17" s="774">
        <v>15.730049999999999</v>
      </c>
      <c r="AA17" s="774">
        <v>15.730049999999999</v>
      </c>
      <c r="AB17" s="774">
        <v>15.730049999999999</v>
      </c>
      <c r="AC17" s="774">
        <v>15.730049999999999</v>
      </c>
      <c r="AD17" s="774">
        <v>15.730049999999999</v>
      </c>
      <c r="AE17" s="774">
        <v>15.730049999999999</v>
      </c>
      <c r="AF17" s="774">
        <v>15.730049999999999</v>
      </c>
      <c r="AG17" s="774">
        <v>15.730049999999999</v>
      </c>
      <c r="AH17" s="774">
        <v>15.730049999999999</v>
      </c>
      <c r="AI17" s="774">
        <v>15.730049999999999</v>
      </c>
      <c r="AJ17" s="774">
        <v>15.730049999999999</v>
      </c>
      <c r="AK17" s="774">
        <v>15.730049999999999</v>
      </c>
      <c r="AL17" s="774">
        <v>15.730049999999999</v>
      </c>
      <c r="AM17" s="774">
        <v>15.730049999999999</v>
      </c>
      <c r="AN17" s="774">
        <v>15.730049999999999</v>
      </c>
      <c r="AO17" s="774">
        <v>15.730049999999999</v>
      </c>
      <c r="AP17" s="774">
        <v>15.730049999999999</v>
      </c>
      <c r="AQ17" s="774">
        <v>15.730049999999999</v>
      </c>
      <c r="AR17" s="774">
        <v>15.730049999999999</v>
      </c>
      <c r="AS17" s="774">
        <v>15.730049999999999</v>
      </c>
      <c r="AT17" s="774">
        <v>15.730049999999999</v>
      </c>
      <c r="AU17" s="774">
        <v>15.730049999999999</v>
      </c>
      <c r="AV17" s="774">
        <v>15.730049999999999</v>
      </c>
      <c r="AW17" s="774">
        <v>15.730049999999999</v>
      </c>
      <c r="AX17" s="774">
        <v>15.730049999999999</v>
      </c>
      <c r="AY17" s="774">
        <v>15.730049999999999</v>
      </c>
      <c r="AZ17" s="774">
        <v>15.730049999999999</v>
      </c>
      <c r="BA17" s="774">
        <v>15.730049999999999</v>
      </c>
      <c r="BB17" s="774">
        <v>15.730049999999999</v>
      </c>
      <c r="BC17" s="774">
        <v>15.730049999999999</v>
      </c>
      <c r="BD17" s="774">
        <v>15.730049999999999</v>
      </c>
      <c r="BE17" s="774">
        <v>15.730049999999999</v>
      </c>
      <c r="BF17" s="774">
        <v>15.730049999999999</v>
      </c>
      <c r="BG17" s="774">
        <v>15.730049999999999</v>
      </c>
      <c r="BH17" s="774">
        <v>15.730049999999999</v>
      </c>
      <c r="BI17" s="774">
        <v>15.730049999999999</v>
      </c>
      <c r="BJ17" s="774">
        <v>15.730049999999999</v>
      </c>
      <c r="BK17" s="774">
        <v>15.730049999999999</v>
      </c>
      <c r="BL17" s="774">
        <v>15.730049999999999</v>
      </c>
      <c r="BM17" s="774">
        <v>15.730049999999999</v>
      </c>
      <c r="BN17" s="774">
        <v>15.730049999999999</v>
      </c>
      <c r="BO17" s="774">
        <v>15.730049999999999</v>
      </c>
      <c r="BP17" s="774">
        <v>15.730049999999999</v>
      </c>
      <c r="BQ17" s="774">
        <v>15.730049999999999</v>
      </c>
      <c r="BR17" s="774">
        <v>15.730049999999999</v>
      </c>
      <c r="BS17" s="774">
        <v>15.730049999999999</v>
      </c>
      <c r="BT17" s="780">
        <v>15.730049999999999</v>
      </c>
    </row>
    <row r="18" spans="1:72">
      <c r="A18" s="772" t="s">
        <v>311</v>
      </c>
      <c r="B18" s="773" t="s">
        <v>745</v>
      </c>
      <c r="C18" s="774">
        <v>8.7353999999999985</v>
      </c>
      <c r="D18" s="774">
        <v>8.7353999999999985</v>
      </c>
      <c r="E18" s="774">
        <v>8.7353999999999985</v>
      </c>
      <c r="F18" s="774">
        <v>8.7353999999999985</v>
      </c>
      <c r="G18" s="774">
        <v>8.7353999999999985</v>
      </c>
      <c r="H18" s="774">
        <v>8.7353999999999985</v>
      </c>
      <c r="I18" s="774">
        <v>8.7353999999999985</v>
      </c>
      <c r="J18" s="774">
        <v>8.7353999999999985</v>
      </c>
      <c r="K18" s="774">
        <v>8.7353999999999985</v>
      </c>
      <c r="L18" s="774">
        <v>8.7353999999999985</v>
      </c>
      <c r="M18" s="774">
        <v>8.7353999999999985</v>
      </c>
      <c r="N18" s="774">
        <v>8.7353999999999985</v>
      </c>
      <c r="O18" s="774">
        <v>8.7353999999999985</v>
      </c>
      <c r="P18" s="774">
        <v>8.7353999999999985</v>
      </c>
      <c r="Q18" s="774">
        <v>8.7353999999999985</v>
      </c>
      <c r="R18" s="774">
        <v>8.7353999999999985</v>
      </c>
      <c r="S18" s="774">
        <v>8.7353999999999985</v>
      </c>
      <c r="T18" s="774">
        <v>8.7353999999999985</v>
      </c>
      <c r="U18" s="774">
        <v>8.7353999999999985</v>
      </c>
      <c r="V18" s="774">
        <v>8.7353999999999985</v>
      </c>
      <c r="W18" s="774">
        <v>8.7353999999999985</v>
      </c>
      <c r="X18" s="774">
        <v>8.7353999999999985</v>
      </c>
      <c r="Y18" s="774">
        <v>8.7353999999999985</v>
      </c>
      <c r="Z18" s="774">
        <v>8.7353999999999985</v>
      </c>
      <c r="AA18" s="774">
        <v>8.7353999999999985</v>
      </c>
      <c r="AB18" s="774">
        <v>8.7353999999999985</v>
      </c>
      <c r="AC18" s="774">
        <v>8.7353999999999985</v>
      </c>
      <c r="AD18" s="774">
        <v>8.7353999999999985</v>
      </c>
      <c r="AE18" s="774">
        <v>8.7353999999999985</v>
      </c>
      <c r="AF18" s="774">
        <v>8.7353999999999985</v>
      </c>
      <c r="AG18" s="774">
        <v>8.7353999999999985</v>
      </c>
      <c r="AH18" s="774">
        <v>8.7353999999999985</v>
      </c>
      <c r="AI18" s="774">
        <v>8.7353999999999985</v>
      </c>
      <c r="AJ18" s="774">
        <v>8.7353999999999985</v>
      </c>
      <c r="AK18" s="774">
        <v>8.7353999999999985</v>
      </c>
      <c r="AL18" s="774">
        <v>8.7353999999999985</v>
      </c>
      <c r="AM18" s="774">
        <v>8.7353999999999985</v>
      </c>
      <c r="AN18" s="774">
        <v>8.7353999999999985</v>
      </c>
      <c r="AO18" s="774">
        <v>8.7353999999999985</v>
      </c>
      <c r="AP18" s="774">
        <v>8.7353999999999985</v>
      </c>
      <c r="AQ18" s="774">
        <v>8.7353999999999985</v>
      </c>
      <c r="AR18" s="774">
        <v>8.7353999999999985</v>
      </c>
      <c r="AS18" s="774">
        <v>8.7353999999999985</v>
      </c>
      <c r="AT18" s="774">
        <v>8.7353999999999985</v>
      </c>
      <c r="AU18" s="774">
        <v>8.7353999999999985</v>
      </c>
      <c r="AV18" s="774">
        <v>8.7353999999999985</v>
      </c>
      <c r="AW18" s="774">
        <v>8.7353999999999985</v>
      </c>
      <c r="AX18" s="774">
        <v>8.7353999999999985</v>
      </c>
      <c r="AY18" s="774">
        <v>8.7353999999999985</v>
      </c>
      <c r="AZ18" s="774">
        <v>8.7353999999999985</v>
      </c>
      <c r="BA18" s="774">
        <v>8.7353999999999985</v>
      </c>
      <c r="BB18" s="774">
        <v>8.7353999999999985</v>
      </c>
      <c r="BC18" s="774">
        <v>8.7353999999999985</v>
      </c>
      <c r="BD18" s="774">
        <v>8.7353999999999985</v>
      </c>
      <c r="BE18" s="774">
        <v>8.7353999999999985</v>
      </c>
      <c r="BF18" s="774">
        <v>8.7353999999999985</v>
      </c>
      <c r="BG18" s="774">
        <v>8.7353999999999985</v>
      </c>
      <c r="BH18" s="774">
        <v>8.7353999999999985</v>
      </c>
      <c r="BI18" s="774">
        <v>8.7353999999999985</v>
      </c>
      <c r="BJ18" s="774">
        <v>8.7353999999999985</v>
      </c>
      <c r="BK18" s="774">
        <v>8.7353999999999985</v>
      </c>
      <c r="BL18" s="774">
        <v>8.7353999999999985</v>
      </c>
      <c r="BM18" s="774">
        <v>8.7353999999999985</v>
      </c>
      <c r="BN18" s="774">
        <v>8.7353999999999985</v>
      </c>
      <c r="BO18" s="774">
        <v>8.7353999999999985</v>
      </c>
      <c r="BP18" s="774">
        <v>8.7353999999999985</v>
      </c>
      <c r="BQ18" s="774">
        <v>8.7353999999999985</v>
      </c>
      <c r="BR18" s="774">
        <v>8.7353999999999985</v>
      </c>
      <c r="BS18" s="774">
        <v>8.7353999999999985</v>
      </c>
      <c r="BT18" s="780">
        <v>8.7353999999999985</v>
      </c>
    </row>
    <row r="19" spans="1:72">
      <c r="A19" s="1583" t="s">
        <v>753</v>
      </c>
      <c r="B19" s="1584"/>
      <c r="C19" s="1584"/>
      <c r="D19" s="1584"/>
      <c r="E19" s="1584"/>
      <c r="F19" s="1584"/>
      <c r="G19" s="1584"/>
      <c r="H19" s="1584"/>
      <c r="I19" s="1584"/>
      <c r="J19" s="1584"/>
      <c r="K19" s="1584"/>
      <c r="L19" s="1584"/>
      <c r="M19" s="1584"/>
      <c r="N19" s="1584"/>
      <c r="O19" s="1584"/>
      <c r="P19" s="1584"/>
      <c r="Q19" s="1584"/>
      <c r="R19" s="1584"/>
      <c r="S19" s="1584"/>
      <c r="T19" s="1584"/>
      <c r="U19" s="1584"/>
      <c r="V19" s="1584"/>
      <c r="W19" s="1584"/>
      <c r="X19" s="1584"/>
      <c r="Y19" s="1584"/>
      <c r="Z19" s="1584"/>
      <c r="AA19" s="1584"/>
      <c r="AB19" s="1584"/>
      <c r="AC19" s="1584"/>
      <c r="AD19" s="1584"/>
      <c r="AE19" s="1584"/>
      <c r="AF19" s="1584"/>
      <c r="AG19" s="1584"/>
      <c r="AH19" s="1584"/>
      <c r="AI19" s="1584"/>
      <c r="AJ19" s="1584"/>
      <c r="AK19" s="1584"/>
      <c r="AL19" s="1584"/>
      <c r="AM19" s="1584"/>
      <c r="AN19" s="1584"/>
      <c r="AO19" s="1584"/>
      <c r="AP19" s="1584"/>
      <c r="AQ19" s="1584"/>
      <c r="AR19" s="1584"/>
      <c r="AS19" s="1584"/>
      <c r="AT19" s="1584"/>
      <c r="AU19" s="1584"/>
      <c r="AV19" s="1584"/>
      <c r="AW19" s="1584"/>
      <c r="AX19" s="1584"/>
      <c r="AY19" s="1584"/>
      <c r="AZ19" s="1584"/>
      <c r="BA19" s="1584"/>
      <c r="BB19" s="1584"/>
      <c r="BC19" s="1584"/>
      <c r="BD19" s="1584"/>
      <c r="BE19" s="1584"/>
      <c r="BF19" s="1584"/>
      <c r="BG19" s="1584"/>
      <c r="BH19" s="1584"/>
      <c r="BI19" s="1584"/>
      <c r="BJ19" s="1584"/>
      <c r="BK19" s="1584"/>
      <c r="BL19" s="1584"/>
      <c r="BM19" s="1584"/>
      <c r="BN19" s="1584"/>
      <c r="BO19" s="1584"/>
      <c r="BP19" s="1584"/>
      <c r="BQ19" s="1584"/>
      <c r="BR19" s="1584"/>
      <c r="BS19" s="1584"/>
      <c r="BT19" s="1585"/>
    </row>
    <row r="20" spans="1:72" ht="27" thickBot="1">
      <c r="A20" s="781" t="s">
        <v>754</v>
      </c>
      <c r="B20" s="782" t="s">
        <v>745</v>
      </c>
      <c r="C20" s="783">
        <v>1.2696286520685174</v>
      </c>
      <c r="D20" s="783">
        <v>1.2696286520685174</v>
      </c>
      <c r="E20" s="783">
        <v>1.2696286520685174</v>
      </c>
      <c r="F20" s="783">
        <v>1.2696286520685174</v>
      </c>
      <c r="G20" s="783">
        <v>1.2696286520685174</v>
      </c>
      <c r="H20" s="783">
        <v>1.2696286520685174</v>
      </c>
      <c r="I20" s="783">
        <v>1.2696286520685174</v>
      </c>
      <c r="J20" s="783">
        <v>1.2696286520685174</v>
      </c>
      <c r="K20" s="783">
        <v>1.2696286520685174</v>
      </c>
      <c r="L20" s="783">
        <v>1.2696286520685174</v>
      </c>
      <c r="M20" s="783">
        <v>1.2716814065585227</v>
      </c>
      <c r="N20" s="783">
        <v>1.2809188017635484</v>
      </c>
      <c r="O20" s="783">
        <v>1.3178683825836508</v>
      </c>
      <c r="P20" s="783">
        <v>1.3209475143186591</v>
      </c>
      <c r="Q20" s="783">
        <v>1.3435278137087219</v>
      </c>
      <c r="R20" s="783">
        <v>1.3466069454437304</v>
      </c>
      <c r="S20" s="783">
        <v>1.3630289813637759</v>
      </c>
      <c r="T20" s="783">
        <v>1.3578970951387617</v>
      </c>
      <c r="U20" s="783">
        <v>1.383556526263833</v>
      </c>
      <c r="V20" s="783">
        <v>1.4030576939188868</v>
      </c>
      <c r="W20" s="783">
        <v>1.460534819639046</v>
      </c>
      <c r="X20" s="783">
        <v>1.4800359872941</v>
      </c>
      <c r="Y20" s="783">
        <v>1.4861942507641173</v>
      </c>
      <c r="Z20" s="783">
        <v>1.5118536818891883</v>
      </c>
      <c r="AA20" s="783">
        <v>1.5262229633192279</v>
      </c>
      <c r="AB20" s="783">
        <v>1.6236006669873051</v>
      </c>
      <c r="AC20" s="783">
        <v>1.7209783706553823</v>
      </c>
      <c r="AD20" s="783">
        <v>1.8183560743234595</v>
      </c>
      <c r="AE20" s="783">
        <v>1.9157337779915367</v>
      </c>
      <c r="AF20" s="783">
        <v>2.0131114816596138</v>
      </c>
      <c r="AG20" s="783">
        <v>2.1104891853276913</v>
      </c>
      <c r="AH20" s="783">
        <v>2.2078668889957687</v>
      </c>
      <c r="AI20" s="783">
        <v>2.3052445926638461</v>
      </c>
      <c r="AJ20" s="783">
        <v>2.4026222963319235</v>
      </c>
      <c r="AK20" s="783">
        <v>2.5</v>
      </c>
      <c r="AL20" s="783">
        <v>2.5714285714285716</v>
      </c>
      <c r="AM20" s="783">
        <v>2.6428571428571432</v>
      </c>
      <c r="AN20" s="783">
        <v>2.7142857142857149</v>
      </c>
      <c r="AO20" s="783">
        <v>2.7857142857142865</v>
      </c>
      <c r="AP20" s="783">
        <v>2.8571428571428581</v>
      </c>
      <c r="AQ20" s="783">
        <v>2.9285714285714297</v>
      </c>
      <c r="AR20" s="783">
        <v>3</v>
      </c>
      <c r="AS20" s="783">
        <v>3.071428571428573</v>
      </c>
      <c r="AT20" s="783">
        <v>3.1428571428571446</v>
      </c>
      <c r="AU20" s="783">
        <v>3.2142857142857162</v>
      </c>
      <c r="AV20" s="783">
        <v>3.2857142857142878</v>
      </c>
      <c r="AW20" s="783">
        <v>3.3571428571428594</v>
      </c>
      <c r="AX20" s="783">
        <v>3.428571428571431</v>
      </c>
      <c r="AY20" s="783">
        <v>3.5</v>
      </c>
      <c r="AZ20" s="783">
        <v>3.5714285714285743</v>
      </c>
      <c r="BA20" s="783">
        <v>3.6428571428571459</v>
      </c>
      <c r="BB20" s="783">
        <v>3.7142857142857175</v>
      </c>
      <c r="BC20" s="783">
        <v>3.7857142857142891</v>
      </c>
      <c r="BD20" s="783">
        <v>3.8571428571428608</v>
      </c>
      <c r="BE20" s="783">
        <v>3.9285714285714324</v>
      </c>
      <c r="BF20" s="783">
        <v>4</v>
      </c>
      <c r="BG20" s="783">
        <v>4.0714285714285747</v>
      </c>
      <c r="BH20" s="783">
        <v>4.1428571428571459</v>
      </c>
      <c r="BI20" s="783">
        <v>4.2142857142857171</v>
      </c>
      <c r="BJ20" s="783">
        <v>4.2857142857142883</v>
      </c>
      <c r="BK20" s="783">
        <v>4.3571428571428594</v>
      </c>
      <c r="BL20" s="783">
        <v>4.4285714285714306</v>
      </c>
      <c r="BM20" s="783">
        <v>4.5</v>
      </c>
      <c r="BN20" s="783">
        <v>4.571428571428573</v>
      </c>
      <c r="BO20" s="783">
        <v>4.6428571428571441</v>
      </c>
      <c r="BP20" s="783">
        <v>4.7142857142857153</v>
      </c>
      <c r="BQ20" s="783">
        <v>4.7857142857142865</v>
      </c>
      <c r="BR20" s="783">
        <v>4.8571428571428577</v>
      </c>
      <c r="BS20" s="783">
        <v>4.9285714285714288</v>
      </c>
      <c r="BT20" s="784">
        <v>5</v>
      </c>
    </row>
    <row r="21" spans="1:72" ht="47.25" customHeight="1">
      <c r="A21" s="1591" t="s">
        <v>435</v>
      </c>
      <c r="B21" s="1592"/>
      <c r="C21" s="1592"/>
      <c r="D21" s="1592"/>
      <c r="E21" s="1592"/>
      <c r="F21" s="1592"/>
      <c r="G21" s="1592"/>
      <c r="H21" s="1592"/>
      <c r="I21" s="1592"/>
      <c r="J21" s="1592"/>
      <c r="K21" s="1592"/>
      <c r="L21" s="1592"/>
      <c r="M21" s="1592"/>
      <c r="N21" s="1592"/>
      <c r="O21" s="1592"/>
      <c r="P21" s="1592"/>
      <c r="Q21" s="1592"/>
      <c r="R21" s="1592"/>
      <c r="S21" s="1592"/>
      <c r="T21" s="1592"/>
      <c r="U21" s="785"/>
      <c r="V21" s="785"/>
      <c r="W21" s="785"/>
      <c r="X21" s="785"/>
      <c r="Y21" s="785"/>
      <c r="Z21" s="785"/>
      <c r="AA21" s="785"/>
      <c r="AB21" s="785"/>
      <c r="AC21" s="785"/>
      <c r="AD21" s="785"/>
      <c r="AE21" s="785"/>
      <c r="AF21" s="785"/>
      <c r="AG21" s="785"/>
      <c r="AH21" s="785"/>
      <c r="AI21" s="785"/>
      <c r="AJ21" s="785"/>
      <c r="AK21" s="785"/>
      <c r="AL21" s="785"/>
      <c r="AM21" s="785"/>
      <c r="AN21" s="785"/>
      <c r="AO21" s="785"/>
      <c r="AP21" s="785"/>
      <c r="AQ21" s="785"/>
      <c r="AR21" s="785"/>
      <c r="AS21" s="785"/>
      <c r="AT21" s="785"/>
      <c r="AU21" s="785"/>
      <c r="AV21" s="785"/>
      <c r="AW21" s="785"/>
      <c r="AX21" s="785"/>
      <c r="AY21" s="785"/>
      <c r="AZ21" s="785"/>
      <c r="BA21" s="785"/>
      <c r="BB21" s="785"/>
      <c r="BC21" s="785"/>
      <c r="BD21" s="785"/>
      <c r="BE21" s="785"/>
      <c r="BF21" s="785"/>
      <c r="BG21" s="785"/>
      <c r="BH21" s="785"/>
      <c r="BI21" s="785"/>
      <c r="BJ21" s="785"/>
      <c r="BK21" s="785"/>
      <c r="BL21" s="785"/>
      <c r="BM21" s="785"/>
      <c r="BN21" s="785"/>
      <c r="BO21" s="785"/>
      <c r="BP21" s="785"/>
      <c r="BQ21" s="785"/>
      <c r="BR21" s="785"/>
      <c r="BS21" s="785"/>
      <c r="BT21" s="785"/>
    </row>
    <row r="22" spans="1:72">
      <c r="A22" s="786"/>
      <c r="B22" s="786"/>
      <c r="C22" s="786"/>
      <c r="D22" s="786"/>
      <c r="E22" s="786"/>
      <c r="F22" s="786"/>
      <c r="G22" s="786"/>
      <c r="H22" s="786"/>
      <c r="I22" s="786"/>
      <c r="J22" s="786"/>
      <c r="K22" s="786"/>
      <c r="L22" s="786"/>
      <c r="M22" s="786"/>
      <c r="N22" s="786"/>
      <c r="O22" s="786"/>
      <c r="P22" s="786"/>
      <c r="Q22" s="786"/>
      <c r="R22" s="786"/>
      <c r="S22" s="786"/>
      <c r="T22" s="786"/>
      <c r="U22" s="785"/>
      <c r="V22" s="785"/>
      <c r="W22" s="785"/>
      <c r="X22" s="785"/>
      <c r="Y22" s="785"/>
      <c r="Z22" s="785"/>
      <c r="AA22" s="785"/>
      <c r="AB22" s="785"/>
      <c r="AC22" s="785"/>
      <c r="AD22" s="785"/>
      <c r="AE22" s="785"/>
      <c r="AF22" s="785"/>
      <c r="AG22" s="785"/>
      <c r="AH22" s="785"/>
      <c r="AI22" s="785"/>
      <c r="AJ22" s="785"/>
      <c r="AK22" s="785"/>
      <c r="AL22" s="785"/>
      <c r="AM22" s="785"/>
      <c r="AN22" s="785"/>
      <c r="AO22" s="785"/>
      <c r="AP22" s="785"/>
      <c r="AQ22" s="785"/>
      <c r="AR22" s="785"/>
      <c r="AS22" s="785"/>
      <c r="AT22" s="785"/>
      <c r="AU22" s="785"/>
      <c r="AV22" s="785"/>
      <c r="AW22" s="785"/>
      <c r="AX22" s="785"/>
      <c r="AY22" s="785"/>
      <c r="AZ22" s="785"/>
      <c r="BA22" s="785"/>
      <c r="BB22" s="785"/>
      <c r="BC22" s="785"/>
      <c r="BD22" s="785"/>
      <c r="BE22" s="785"/>
      <c r="BF22" s="785"/>
      <c r="BG22" s="785"/>
      <c r="BH22" s="785"/>
      <c r="BI22" s="785"/>
      <c r="BJ22" s="785"/>
      <c r="BK22" s="785"/>
      <c r="BL22" s="785"/>
      <c r="BM22" s="785"/>
      <c r="BN22" s="785"/>
      <c r="BO22" s="785"/>
      <c r="BP22" s="785"/>
      <c r="BQ22" s="785"/>
      <c r="BR22" s="785"/>
      <c r="BS22" s="785"/>
      <c r="BT22" s="785"/>
    </row>
    <row r="23" spans="1:72" ht="42.75" customHeight="1">
      <c r="A23" s="1575" t="s">
        <v>755</v>
      </c>
      <c r="B23" s="1575"/>
      <c r="C23" s="1575"/>
      <c r="D23" s="1575"/>
      <c r="E23" s="1575"/>
      <c r="F23" s="1575"/>
      <c r="G23" s="1575"/>
      <c r="H23" s="1575"/>
      <c r="I23" s="1575"/>
      <c r="J23" s="1575"/>
      <c r="K23" s="1575"/>
      <c r="L23" s="1575"/>
      <c r="M23" s="1575"/>
      <c r="N23" s="1575"/>
      <c r="O23" s="1575"/>
      <c r="P23" s="1575"/>
      <c r="Q23" s="1575"/>
      <c r="R23" s="1575"/>
      <c r="S23" s="1575"/>
      <c r="T23" s="1575"/>
      <c r="U23" s="785"/>
      <c r="V23" s="785"/>
      <c r="W23" s="785"/>
      <c r="X23" s="785"/>
      <c r="Y23" s="785"/>
      <c r="Z23" s="785"/>
      <c r="AA23" s="785"/>
      <c r="AB23" s="785"/>
      <c r="AC23" s="785"/>
      <c r="AD23" s="785"/>
      <c r="AE23" s="785"/>
      <c r="AF23" s="785"/>
      <c r="AG23" s="785"/>
      <c r="AH23" s="785"/>
      <c r="AI23" s="785"/>
      <c r="AJ23" s="785"/>
      <c r="AK23" s="785"/>
      <c r="AL23" s="785"/>
      <c r="AM23" s="785"/>
      <c r="AN23" s="785"/>
      <c r="AO23" s="785"/>
      <c r="AP23" s="785"/>
      <c r="AQ23" s="785"/>
      <c r="AR23" s="785"/>
      <c r="AS23" s="785"/>
      <c r="AT23" s="785"/>
      <c r="AU23" s="785"/>
      <c r="AV23" s="785"/>
      <c r="AW23" s="785"/>
      <c r="AX23" s="785"/>
      <c r="AY23" s="785"/>
      <c r="AZ23" s="785"/>
      <c r="BA23" s="785"/>
      <c r="BB23" s="785"/>
      <c r="BC23" s="785"/>
      <c r="BD23" s="785"/>
      <c r="BE23" s="785"/>
      <c r="BF23" s="785"/>
      <c r="BG23" s="785"/>
      <c r="BH23" s="785"/>
      <c r="BI23" s="785"/>
      <c r="BJ23" s="785"/>
      <c r="BK23" s="785"/>
      <c r="BL23" s="785"/>
      <c r="BM23" s="785"/>
      <c r="BN23" s="785"/>
      <c r="BO23" s="785"/>
      <c r="BP23" s="785"/>
      <c r="BQ23" s="785"/>
      <c r="BR23" s="785"/>
      <c r="BS23" s="785"/>
      <c r="BT23" s="785"/>
    </row>
    <row r="24" spans="1:72">
      <c r="A24" s="785"/>
      <c r="B24" s="785"/>
      <c r="C24" s="785"/>
      <c r="D24" s="785"/>
      <c r="E24" s="785"/>
      <c r="F24" s="785"/>
      <c r="G24" s="785"/>
      <c r="H24" s="785"/>
      <c r="I24" s="785"/>
      <c r="J24" s="785"/>
      <c r="K24" s="785"/>
      <c r="L24" s="785"/>
      <c r="M24" s="785"/>
      <c r="N24" s="785"/>
      <c r="O24" s="785"/>
      <c r="P24" s="785"/>
      <c r="Q24" s="785"/>
      <c r="R24" s="785"/>
      <c r="S24" s="785"/>
      <c r="T24" s="785"/>
      <c r="U24" s="785"/>
      <c r="V24" s="785"/>
      <c r="W24" s="785"/>
      <c r="X24" s="785"/>
      <c r="Y24" s="785"/>
      <c r="Z24" s="785"/>
      <c r="AA24" s="785"/>
      <c r="AB24" s="785"/>
      <c r="AC24" s="785"/>
      <c r="AD24" s="785"/>
      <c r="AE24" s="785"/>
      <c r="AF24" s="785"/>
      <c r="AG24" s="785"/>
      <c r="AH24" s="785"/>
      <c r="AI24" s="785"/>
      <c r="AJ24" s="785"/>
      <c r="AK24" s="785"/>
      <c r="AL24" s="785"/>
      <c r="AM24" s="785"/>
      <c r="AN24" s="785"/>
      <c r="AO24" s="785"/>
      <c r="AP24" s="785"/>
      <c r="AQ24" s="785"/>
      <c r="AR24" s="785"/>
      <c r="AS24" s="785"/>
      <c r="AT24" s="785"/>
      <c r="AU24" s="785"/>
      <c r="AV24" s="785"/>
      <c r="AW24" s="785"/>
      <c r="AX24" s="785"/>
      <c r="AY24" s="785"/>
      <c r="AZ24" s="785"/>
      <c r="BA24" s="785"/>
      <c r="BB24" s="785"/>
      <c r="BC24" s="785"/>
      <c r="BD24" s="785"/>
      <c r="BE24" s="785"/>
      <c r="BF24" s="785"/>
      <c r="BG24" s="785"/>
      <c r="BH24" s="785"/>
      <c r="BI24" s="785"/>
      <c r="BJ24" s="785"/>
      <c r="BK24" s="785"/>
      <c r="BL24" s="785"/>
      <c r="BM24" s="785"/>
      <c r="BN24" s="785"/>
      <c r="BO24" s="785"/>
      <c r="BP24" s="785"/>
      <c r="BQ24" s="785"/>
      <c r="BR24" s="785"/>
      <c r="BS24" s="785"/>
      <c r="BT24" s="785"/>
    </row>
    <row r="25" spans="1:72" ht="16">
      <c r="A25" s="1593" t="s">
        <v>1110</v>
      </c>
      <c r="B25" s="1593"/>
      <c r="C25" s="1593"/>
      <c r="D25" s="1593"/>
      <c r="E25" s="1593"/>
      <c r="F25" s="1593"/>
      <c r="G25" s="1593"/>
      <c r="H25" s="1593"/>
      <c r="I25" s="1593"/>
      <c r="J25" s="1593"/>
      <c r="K25" s="1593"/>
      <c r="L25" s="785"/>
      <c r="M25" s="785"/>
      <c r="N25" s="785"/>
      <c r="O25" s="785"/>
      <c r="P25" s="785"/>
      <c r="Q25" s="785"/>
      <c r="R25" s="785"/>
      <c r="S25" s="785"/>
      <c r="T25" s="785"/>
      <c r="U25" s="785"/>
      <c r="V25" s="785"/>
      <c r="W25" s="785"/>
      <c r="X25" s="785"/>
      <c r="Y25" s="785"/>
      <c r="Z25" s="785"/>
      <c r="AA25" s="785"/>
      <c r="AB25" s="785"/>
      <c r="AC25" s="785"/>
      <c r="AD25" s="785"/>
      <c r="AE25" s="785"/>
      <c r="AF25" s="785"/>
      <c r="AG25" s="785"/>
      <c r="AH25" s="785"/>
      <c r="AI25" s="785"/>
      <c r="AJ25" s="785"/>
      <c r="AK25" s="785"/>
      <c r="AL25" s="785"/>
      <c r="AM25" s="785"/>
      <c r="AN25" s="785"/>
      <c r="AO25" s="785"/>
      <c r="AP25" s="785"/>
      <c r="AQ25" s="785"/>
      <c r="AR25" s="785"/>
      <c r="AS25" s="785"/>
      <c r="AT25" s="785"/>
      <c r="AU25" s="785"/>
      <c r="AV25" s="785"/>
      <c r="AW25" s="785"/>
      <c r="AX25" s="785"/>
      <c r="AY25" s="785"/>
      <c r="AZ25" s="785"/>
      <c r="BA25" s="785"/>
      <c r="BB25" s="785"/>
      <c r="BC25" s="785"/>
      <c r="BD25" s="785"/>
      <c r="BE25" s="785"/>
      <c r="BF25" s="785"/>
      <c r="BG25" s="785"/>
      <c r="BH25" s="785"/>
      <c r="BI25" s="785"/>
      <c r="BJ25" s="785"/>
      <c r="BK25" s="785"/>
      <c r="BL25" s="785"/>
      <c r="BM25" s="785"/>
      <c r="BN25" s="785"/>
      <c r="BO25" s="785"/>
      <c r="BP25" s="785"/>
      <c r="BQ25" s="785"/>
      <c r="BR25" s="785"/>
      <c r="BS25" s="785"/>
      <c r="BT25" s="785"/>
    </row>
    <row r="26" spans="1:72" ht="14" thickBot="1">
      <c r="A26" s="1594"/>
      <c r="B26" s="1594"/>
      <c r="C26" s="1594"/>
      <c r="D26" s="1594"/>
      <c r="E26" s="1594"/>
      <c r="F26" s="1594"/>
      <c r="G26" s="1594"/>
      <c r="H26" s="1594"/>
      <c r="I26" s="1594"/>
      <c r="J26" s="1594"/>
      <c r="K26" s="1594"/>
      <c r="L26" s="785"/>
      <c r="M26" s="785"/>
      <c r="N26" s="785"/>
      <c r="O26" s="785"/>
      <c r="P26" s="785"/>
      <c r="Q26" s="785"/>
      <c r="R26" s="785"/>
      <c r="S26" s="785"/>
      <c r="T26" s="785"/>
      <c r="U26" s="785"/>
      <c r="V26" s="785"/>
      <c r="W26" s="785"/>
      <c r="X26" s="785"/>
      <c r="Y26" s="785"/>
      <c r="Z26" s="785"/>
      <c r="AA26" s="785"/>
      <c r="AB26" s="785"/>
      <c r="AC26" s="785"/>
      <c r="AD26" s="785"/>
      <c r="AE26" s="785"/>
      <c r="AF26" s="785"/>
      <c r="AG26" s="785"/>
      <c r="AH26" s="785"/>
      <c r="AI26" s="785"/>
      <c r="AJ26" s="785"/>
      <c r="AK26" s="785"/>
      <c r="AL26" s="785"/>
      <c r="AM26" s="785"/>
      <c r="AN26" s="785"/>
      <c r="AO26" s="785"/>
      <c r="AP26" s="785"/>
      <c r="AQ26" s="785"/>
      <c r="AR26" s="785"/>
      <c r="AS26" s="785"/>
      <c r="AT26" s="785"/>
      <c r="AU26" s="785"/>
      <c r="AV26" s="785"/>
      <c r="AW26" s="785"/>
      <c r="AX26" s="785"/>
      <c r="AY26" s="785"/>
      <c r="AZ26" s="785"/>
      <c r="BA26" s="785"/>
      <c r="BB26" s="785"/>
      <c r="BC26" s="785"/>
      <c r="BD26" s="785"/>
      <c r="BE26" s="785"/>
      <c r="BF26" s="785"/>
      <c r="BG26" s="785"/>
      <c r="BH26" s="785"/>
      <c r="BI26" s="785"/>
      <c r="BJ26" s="785"/>
      <c r="BK26" s="785"/>
      <c r="BL26" s="785"/>
      <c r="BM26" s="785"/>
      <c r="BN26" s="785"/>
      <c r="BO26" s="785"/>
      <c r="BP26" s="785"/>
      <c r="BQ26" s="785"/>
      <c r="BR26" s="785"/>
      <c r="BS26" s="785"/>
      <c r="BT26" s="785"/>
    </row>
    <row r="27" spans="1:72" ht="42">
      <c r="A27" s="787"/>
      <c r="B27" s="788" t="s">
        <v>756</v>
      </c>
      <c r="C27" s="788" t="s">
        <v>757</v>
      </c>
      <c r="D27" s="788" t="s">
        <v>1112</v>
      </c>
      <c r="E27" s="1595"/>
      <c r="F27" s="1595"/>
      <c r="G27" s="1595"/>
      <c r="H27" s="1595"/>
      <c r="I27" s="1595"/>
      <c r="J27" s="1561" t="s">
        <v>758</v>
      </c>
      <c r="K27" s="1562"/>
      <c r="L27" s="785"/>
      <c r="M27" s="785"/>
      <c r="N27" s="785"/>
      <c r="O27" s="785"/>
      <c r="P27" s="785"/>
      <c r="Q27" s="785"/>
      <c r="R27" s="785"/>
      <c r="S27" s="785"/>
      <c r="T27" s="785"/>
      <c r="U27" s="785"/>
      <c r="V27" s="785"/>
      <c r="W27" s="785"/>
      <c r="X27" s="785"/>
      <c r="Y27" s="785"/>
      <c r="Z27" s="785"/>
      <c r="AA27" s="785"/>
      <c r="AB27" s="785"/>
      <c r="AC27" s="785"/>
      <c r="AD27" s="785"/>
      <c r="AE27" s="785"/>
      <c r="AF27" s="785"/>
      <c r="AG27" s="785"/>
      <c r="AH27" s="785"/>
      <c r="AI27" s="785"/>
      <c r="AJ27" s="785"/>
      <c r="AK27" s="785"/>
      <c r="AL27" s="785"/>
      <c r="AM27" s="785"/>
      <c r="AN27" s="785"/>
      <c r="AO27" s="785"/>
      <c r="AP27" s="785"/>
      <c r="AQ27" s="785"/>
      <c r="AR27" s="785"/>
      <c r="AS27" s="785"/>
      <c r="AT27" s="785"/>
      <c r="AU27" s="785"/>
      <c r="AV27" s="785"/>
      <c r="AW27" s="785"/>
      <c r="AX27" s="785"/>
      <c r="AY27" s="785"/>
      <c r="AZ27" s="785"/>
      <c r="BA27" s="785"/>
      <c r="BB27" s="785"/>
      <c r="BC27" s="785"/>
      <c r="BD27" s="785"/>
      <c r="BE27" s="785"/>
      <c r="BF27" s="785"/>
      <c r="BG27" s="785"/>
      <c r="BH27" s="785"/>
      <c r="BI27" s="785"/>
      <c r="BJ27" s="785"/>
      <c r="BK27" s="785"/>
      <c r="BL27" s="785"/>
      <c r="BM27" s="785"/>
      <c r="BN27" s="785"/>
      <c r="BO27" s="785"/>
      <c r="BP27" s="785"/>
      <c r="BQ27" s="785"/>
      <c r="BR27" s="785"/>
      <c r="BS27" s="785"/>
      <c r="BT27" s="785"/>
    </row>
    <row r="28" spans="1:72">
      <c r="A28" s="789" t="s">
        <v>567</v>
      </c>
      <c r="B28" s="790">
        <f>G40/F40</f>
        <v>1.0482288241385485</v>
      </c>
      <c r="C28" s="790">
        <f>H40/G40</f>
        <v>1.0526415477404851</v>
      </c>
      <c r="D28" s="790">
        <f>I40/H40</f>
        <v>1.0160295046377366</v>
      </c>
      <c r="E28" s="1563"/>
      <c r="F28" s="1563"/>
      <c r="G28" s="1563"/>
      <c r="H28" s="1563"/>
      <c r="I28" s="1563"/>
      <c r="J28" s="1563" t="s">
        <v>1081</v>
      </c>
      <c r="K28" s="1564" t="s">
        <v>1089</v>
      </c>
      <c r="L28" s="785"/>
      <c r="M28" s="785"/>
      <c r="N28" s="785"/>
      <c r="O28" s="785"/>
      <c r="P28" s="785"/>
      <c r="Q28" s="785"/>
      <c r="R28" s="785"/>
      <c r="S28" s="785"/>
      <c r="T28" s="785"/>
      <c r="U28" s="785"/>
      <c r="V28" s="785"/>
      <c r="W28" s="785"/>
      <c r="X28" s="785"/>
      <c r="Y28" s="785"/>
      <c r="Z28" s="785"/>
      <c r="AA28" s="785"/>
      <c r="AB28" s="785"/>
      <c r="AC28" s="785"/>
      <c r="AD28" s="785"/>
      <c r="AE28" s="785"/>
      <c r="AF28" s="785"/>
      <c r="AG28" s="785"/>
      <c r="AH28" s="785"/>
      <c r="AI28" s="785"/>
      <c r="AJ28" s="785"/>
      <c r="AK28" s="785"/>
      <c r="AL28" s="785"/>
      <c r="AM28" s="785"/>
      <c r="AN28" s="785"/>
      <c r="AO28" s="785"/>
      <c r="AP28" s="785"/>
      <c r="AQ28" s="785"/>
      <c r="AR28" s="785"/>
      <c r="AS28" s="785"/>
      <c r="AT28" s="785"/>
      <c r="AU28" s="785"/>
      <c r="AV28" s="785"/>
      <c r="AW28" s="785"/>
      <c r="AX28" s="785"/>
      <c r="AY28" s="785"/>
      <c r="AZ28" s="785"/>
      <c r="BA28" s="785"/>
      <c r="BB28" s="785"/>
      <c r="BC28" s="785"/>
      <c r="BD28" s="785"/>
      <c r="BE28" s="785"/>
      <c r="BF28" s="785"/>
      <c r="BG28" s="785"/>
      <c r="BH28" s="785"/>
      <c r="BI28" s="785"/>
      <c r="BJ28" s="785"/>
      <c r="BK28" s="785"/>
      <c r="BL28" s="785"/>
      <c r="BM28" s="785"/>
      <c r="BN28" s="785"/>
      <c r="BO28" s="785"/>
      <c r="BP28" s="785"/>
      <c r="BQ28" s="785"/>
      <c r="BR28" s="785"/>
      <c r="BS28" s="785"/>
      <c r="BT28" s="785"/>
    </row>
    <row r="29" spans="1:72">
      <c r="A29" s="791" t="s">
        <v>568</v>
      </c>
      <c r="B29" s="792">
        <f t="shared" ref="B29:B35" si="0">G41/F41</f>
        <v>1.1441282284851997</v>
      </c>
      <c r="C29" s="792">
        <f t="shared" ref="C29:C35" si="1">H41/G41</f>
        <v>1.1360328119345371</v>
      </c>
      <c r="D29" s="792">
        <f t="shared" ref="D29:D35" si="2">I41/H41</f>
        <v>1.0363018547359477</v>
      </c>
      <c r="E29" s="1563"/>
      <c r="F29" s="1563"/>
      <c r="G29" s="1563"/>
      <c r="H29" s="1563"/>
      <c r="I29" s="1563"/>
      <c r="J29" s="1563"/>
      <c r="K29" s="1564"/>
      <c r="L29" s="785"/>
      <c r="M29" s="785"/>
      <c r="N29" s="785"/>
      <c r="O29" s="785"/>
      <c r="P29" s="785"/>
      <c r="Q29" s="785"/>
      <c r="R29" s="785"/>
      <c r="S29" s="785"/>
      <c r="T29" s="785"/>
      <c r="U29" s="785"/>
      <c r="V29" s="785"/>
      <c r="W29" s="785"/>
      <c r="X29" s="785"/>
      <c r="Y29" s="785"/>
      <c r="Z29" s="785"/>
      <c r="AA29" s="785"/>
      <c r="AB29" s="785"/>
      <c r="AC29" s="785"/>
      <c r="AD29" s="785"/>
      <c r="AE29" s="785"/>
      <c r="AF29" s="785"/>
      <c r="AG29" s="785"/>
      <c r="AH29" s="785"/>
      <c r="AI29" s="785"/>
      <c r="AJ29" s="785"/>
      <c r="AK29" s="785"/>
      <c r="AL29" s="785"/>
      <c r="AM29" s="785"/>
      <c r="AN29" s="785"/>
      <c r="AO29" s="785"/>
      <c r="AP29" s="785"/>
      <c r="AQ29" s="785"/>
      <c r="AR29" s="785"/>
      <c r="AS29" s="785"/>
      <c r="AT29" s="785"/>
      <c r="AU29" s="785"/>
      <c r="AV29" s="785"/>
      <c r="AW29" s="785"/>
      <c r="AX29" s="785"/>
      <c r="AY29" s="785"/>
      <c r="AZ29" s="785"/>
      <c r="BA29" s="785"/>
      <c r="BB29" s="785"/>
      <c r="BC29" s="785"/>
      <c r="BD29" s="785"/>
      <c r="BE29" s="785"/>
      <c r="BF29" s="785"/>
      <c r="BG29" s="785"/>
      <c r="BH29" s="785"/>
      <c r="BI29" s="785"/>
      <c r="BJ29" s="785"/>
      <c r="BK29" s="785"/>
      <c r="BL29" s="785"/>
      <c r="BM29" s="785"/>
      <c r="BN29" s="785"/>
      <c r="BO29" s="785"/>
      <c r="BP29" s="785"/>
      <c r="BQ29" s="785"/>
      <c r="BR29" s="785"/>
      <c r="BS29" s="785"/>
      <c r="BT29" s="785"/>
    </row>
    <row r="30" spans="1:72">
      <c r="A30" s="789" t="s">
        <v>569</v>
      </c>
      <c r="B30" s="790">
        <f t="shared" si="0"/>
        <v>1.1252277801242987</v>
      </c>
      <c r="C30" s="790">
        <f t="shared" si="1"/>
        <v>1.1222249629995065</v>
      </c>
      <c r="D30" s="790">
        <f t="shared" si="2"/>
        <v>1.0285793469898747</v>
      </c>
      <c r="E30" s="1563"/>
      <c r="F30" s="1563"/>
      <c r="G30" s="1563"/>
      <c r="H30" s="1563"/>
      <c r="I30" s="1563"/>
      <c r="J30" s="793">
        <v>1991</v>
      </c>
      <c r="K30" s="794">
        <v>84.5</v>
      </c>
      <c r="L30" s="785"/>
      <c r="M30" s="785"/>
      <c r="N30" s="785"/>
      <c r="O30" s="785"/>
      <c r="P30" s="785"/>
      <c r="Q30" s="785"/>
      <c r="R30" s="785"/>
      <c r="S30" s="785"/>
      <c r="T30" s="785"/>
      <c r="U30" s="785"/>
      <c r="V30" s="785"/>
      <c r="W30" s="785"/>
      <c r="X30" s="785"/>
      <c r="Y30" s="785"/>
      <c r="Z30" s="785"/>
      <c r="AA30" s="785"/>
      <c r="AB30" s="785"/>
      <c r="AC30" s="785"/>
      <c r="AD30" s="785"/>
      <c r="AE30" s="785"/>
      <c r="AF30" s="785"/>
      <c r="AG30" s="785"/>
      <c r="AH30" s="785"/>
      <c r="AI30" s="785"/>
      <c r="AJ30" s="785"/>
      <c r="AK30" s="785"/>
      <c r="AL30" s="785"/>
      <c r="AM30" s="785"/>
      <c r="AN30" s="785"/>
      <c r="AO30" s="785"/>
      <c r="AP30" s="785"/>
      <c r="AQ30" s="785"/>
      <c r="AR30" s="785"/>
      <c r="AS30" s="785"/>
      <c r="AT30" s="785"/>
      <c r="AU30" s="785"/>
      <c r="AV30" s="785"/>
      <c r="AW30" s="785"/>
      <c r="AX30" s="785"/>
      <c r="AY30" s="785"/>
      <c r="AZ30" s="785"/>
      <c r="BA30" s="785"/>
      <c r="BB30" s="785"/>
      <c r="BC30" s="785"/>
      <c r="BD30" s="785"/>
      <c r="BE30" s="785"/>
      <c r="BF30" s="785"/>
      <c r="BG30" s="785"/>
      <c r="BH30" s="785"/>
      <c r="BI30" s="785"/>
      <c r="BJ30" s="785"/>
      <c r="BK30" s="785"/>
      <c r="BL30" s="785"/>
      <c r="BM30" s="785"/>
      <c r="BN30" s="785"/>
      <c r="BO30" s="785"/>
      <c r="BP30" s="785"/>
      <c r="BQ30" s="785"/>
      <c r="BR30" s="785"/>
      <c r="BS30" s="785"/>
      <c r="BT30" s="785"/>
    </row>
    <row r="31" spans="1:72">
      <c r="A31" s="791" t="s">
        <v>570</v>
      </c>
      <c r="B31" s="792">
        <f t="shared" si="0"/>
        <v>1.0687839040840581</v>
      </c>
      <c r="C31" s="792">
        <f t="shared" si="1"/>
        <v>1.0213566498986533</v>
      </c>
      <c r="D31" s="792">
        <f t="shared" si="2"/>
        <v>1.0031375164207406</v>
      </c>
      <c r="E31" s="1563"/>
      <c r="F31" s="1563"/>
      <c r="G31" s="1563"/>
      <c r="H31" s="1563"/>
      <c r="I31" s="1563"/>
      <c r="J31" s="795">
        <v>1992</v>
      </c>
      <c r="K31" s="796">
        <v>86.4</v>
      </c>
      <c r="L31" s="785"/>
      <c r="M31" s="785"/>
      <c r="N31" s="785"/>
      <c r="O31" s="785"/>
      <c r="P31" s="785"/>
      <c r="Q31" s="785"/>
      <c r="R31" s="785"/>
      <c r="S31" s="785"/>
      <c r="T31" s="785"/>
      <c r="U31" s="785"/>
      <c r="V31" s="785"/>
      <c r="W31" s="785"/>
      <c r="X31" s="785"/>
      <c r="Y31" s="785"/>
      <c r="Z31" s="785"/>
      <c r="AA31" s="785"/>
      <c r="AB31" s="785"/>
      <c r="AC31" s="785"/>
      <c r="AD31" s="785"/>
      <c r="AE31" s="785"/>
      <c r="AF31" s="785"/>
      <c r="AG31" s="785"/>
      <c r="AH31" s="785"/>
      <c r="AI31" s="785"/>
      <c r="AJ31" s="785"/>
      <c r="AK31" s="785"/>
      <c r="AL31" s="785"/>
      <c r="AM31" s="785"/>
      <c r="AN31" s="785"/>
      <c r="AO31" s="785"/>
      <c r="AP31" s="785"/>
      <c r="AQ31" s="785"/>
      <c r="AR31" s="785"/>
      <c r="AS31" s="785"/>
      <c r="AT31" s="785"/>
      <c r="AU31" s="785"/>
      <c r="AV31" s="785"/>
      <c r="AW31" s="785"/>
      <c r="AX31" s="785"/>
      <c r="AY31" s="785"/>
      <c r="AZ31" s="785"/>
      <c r="BA31" s="785"/>
      <c r="BB31" s="785"/>
      <c r="BC31" s="785"/>
      <c r="BD31" s="785"/>
      <c r="BE31" s="785"/>
      <c r="BF31" s="785"/>
      <c r="BG31" s="785"/>
      <c r="BH31" s="785"/>
      <c r="BI31" s="785"/>
      <c r="BJ31" s="785"/>
      <c r="BK31" s="785"/>
      <c r="BL31" s="785"/>
      <c r="BM31" s="785"/>
      <c r="BN31" s="785"/>
      <c r="BO31" s="785"/>
      <c r="BP31" s="785"/>
      <c r="BQ31" s="785"/>
      <c r="BR31" s="785"/>
      <c r="BS31" s="785"/>
      <c r="BT31" s="785"/>
    </row>
    <row r="32" spans="1:72">
      <c r="A32" s="789" t="s">
        <v>571</v>
      </c>
      <c r="B32" s="790">
        <f t="shared" si="0"/>
        <v>1.03736526166104</v>
      </c>
      <c r="C32" s="790">
        <f t="shared" si="1"/>
        <v>1.0084486821562659</v>
      </c>
      <c r="D32" s="790">
        <f t="shared" si="2"/>
        <v>1.0010687685088917</v>
      </c>
      <c r="E32" s="1563"/>
      <c r="F32" s="1563"/>
      <c r="G32" s="1563"/>
      <c r="H32" s="1563"/>
      <c r="I32" s="1563"/>
      <c r="J32" s="793">
        <v>1993</v>
      </c>
      <c r="K32" s="794">
        <v>88.4</v>
      </c>
      <c r="L32" s="785"/>
      <c r="M32" s="785"/>
      <c r="N32" s="785"/>
      <c r="O32" s="785"/>
      <c r="P32" s="785"/>
      <c r="Q32" s="785"/>
      <c r="R32" s="785"/>
      <c r="S32" s="785"/>
      <c r="T32" s="785"/>
      <c r="U32" s="785"/>
      <c r="V32" s="785"/>
      <c r="W32" s="785"/>
      <c r="X32" s="785"/>
      <c r="Y32" s="785"/>
      <c r="Z32" s="785"/>
      <c r="AA32" s="785"/>
      <c r="AB32" s="785"/>
      <c r="AC32" s="785"/>
      <c r="AD32" s="785"/>
      <c r="AE32" s="785"/>
      <c r="AF32" s="785"/>
      <c r="AG32" s="785"/>
      <c r="AH32" s="785"/>
      <c r="AI32" s="785"/>
      <c r="AJ32" s="785"/>
      <c r="AK32" s="785"/>
      <c r="AL32" s="785"/>
      <c r="AM32" s="785"/>
      <c r="AN32" s="785"/>
      <c r="AO32" s="785"/>
      <c r="AP32" s="785"/>
      <c r="AQ32" s="785"/>
      <c r="AR32" s="785"/>
      <c r="AS32" s="785"/>
      <c r="AT32" s="785"/>
      <c r="AU32" s="785"/>
      <c r="AV32" s="785"/>
      <c r="AW32" s="785"/>
      <c r="AX32" s="785"/>
      <c r="AY32" s="785"/>
      <c r="AZ32" s="785"/>
      <c r="BA32" s="785"/>
      <c r="BB32" s="785"/>
      <c r="BC32" s="785"/>
      <c r="BD32" s="785"/>
      <c r="BE32" s="785"/>
      <c r="BF32" s="785"/>
      <c r="BG32" s="785"/>
      <c r="BH32" s="785"/>
      <c r="BI32" s="785"/>
      <c r="BJ32" s="785"/>
      <c r="BK32" s="785"/>
      <c r="BL32" s="785"/>
      <c r="BM32" s="785"/>
      <c r="BN32" s="785"/>
      <c r="BO32" s="785"/>
      <c r="BP32" s="785"/>
      <c r="BQ32" s="785"/>
      <c r="BR32" s="785"/>
      <c r="BS32" s="785"/>
      <c r="BT32" s="785"/>
    </row>
    <row r="33" spans="1:72">
      <c r="A33" s="791" t="s">
        <v>572</v>
      </c>
      <c r="B33" s="792">
        <f t="shared" si="0"/>
        <v>0.975071533164794</v>
      </c>
      <c r="C33" s="792">
        <f t="shared" si="1"/>
        <v>1.0087393571750138</v>
      </c>
      <c r="D33" s="792">
        <f t="shared" si="2"/>
        <v>0.99663324890666094</v>
      </c>
      <c r="E33" s="1563"/>
      <c r="F33" s="1563"/>
      <c r="G33" s="1563"/>
      <c r="H33" s="1563"/>
      <c r="I33" s="1563"/>
      <c r="J33" s="795">
        <v>1994</v>
      </c>
      <c r="K33" s="796">
        <v>90.3</v>
      </c>
      <c r="L33" s="785"/>
      <c r="M33" s="785"/>
      <c r="N33" s="785"/>
      <c r="O33" s="785"/>
      <c r="P33" s="785"/>
      <c r="Q33" s="785"/>
      <c r="R33" s="785"/>
      <c r="S33" s="785"/>
      <c r="T33" s="785"/>
      <c r="U33" s="785"/>
      <c r="V33" s="785"/>
      <c r="W33" s="785"/>
      <c r="X33" s="785"/>
      <c r="Y33" s="785"/>
      <c r="Z33" s="785"/>
      <c r="AA33" s="785"/>
      <c r="AB33" s="785"/>
      <c r="AC33" s="785"/>
      <c r="AD33" s="785"/>
      <c r="AE33" s="785"/>
      <c r="AF33" s="785"/>
      <c r="AG33" s="785"/>
      <c r="AH33" s="785"/>
      <c r="AI33" s="785"/>
      <c r="AJ33" s="785"/>
      <c r="AK33" s="785"/>
      <c r="AL33" s="785"/>
      <c r="AM33" s="785"/>
      <c r="AN33" s="785"/>
      <c r="AO33" s="785"/>
      <c r="AP33" s="785"/>
      <c r="AQ33" s="785"/>
      <c r="AR33" s="785"/>
      <c r="AS33" s="785"/>
      <c r="AT33" s="785"/>
      <c r="AU33" s="785"/>
      <c r="AV33" s="785"/>
      <c r="AW33" s="785"/>
      <c r="AX33" s="785"/>
      <c r="AY33" s="785"/>
      <c r="AZ33" s="785"/>
      <c r="BA33" s="785"/>
      <c r="BB33" s="785"/>
      <c r="BC33" s="785"/>
      <c r="BD33" s="785"/>
      <c r="BE33" s="785"/>
      <c r="BF33" s="785"/>
      <c r="BG33" s="785"/>
      <c r="BH33" s="785"/>
      <c r="BI33" s="785"/>
      <c r="BJ33" s="785"/>
      <c r="BK33" s="785"/>
      <c r="BL33" s="785"/>
      <c r="BM33" s="785"/>
      <c r="BN33" s="785"/>
      <c r="BO33" s="785"/>
      <c r="BP33" s="785"/>
      <c r="BQ33" s="785"/>
      <c r="BR33" s="785"/>
      <c r="BS33" s="785"/>
      <c r="BT33" s="785"/>
    </row>
    <row r="34" spans="1:72">
      <c r="A34" s="789" t="s">
        <v>573</v>
      </c>
      <c r="B34" s="790">
        <f t="shared" si="0"/>
        <v>1.0938371922267365</v>
      </c>
      <c r="C34" s="790">
        <f t="shared" si="1"/>
        <v>1.0852680569229392</v>
      </c>
      <c r="D34" s="790">
        <f t="shared" si="2"/>
        <v>1.0142672175626977</v>
      </c>
      <c r="E34" s="1563"/>
      <c r="F34" s="1563"/>
      <c r="G34" s="1563"/>
      <c r="H34" s="1563"/>
      <c r="I34" s="1563"/>
      <c r="J34" s="793">
        <v>1995</v>
      </c>
      <c r="K34" s="794">
        <v>92.1</v>
      </c>
      <c r="L34" s="785"/>
      <c r="M34" s="785"/>
      <c r="N34" s="785"/>
      <c r="O34" s="785"/>
      <c r="P34" s="785"/>
      <c r="Q34" s="785"/>
      <c r="R34" s="785"/>
      <c r="S34" s="785"/>
      <c r="T34" s="785"/>
      <c r="U34" s="785"/>
      <c r="V34" s="785"/>
      <c r="W34" s="785"/>
      <c r="X34" s="785"/>
      <c r="Y34" s="785"/>
      <c r="Z34" s="785"/>
      <c r="AA34" s="785"/>
      <c r="AB34" s="785"/>
      <c r="AC34" s="785"/>
      <c r="AD34" s="785"/>
      <c r="AE34" s="785"/>
      <c r="AF34" s="785"/>
      <c r="AG34" s="785"/>
      <c r="AH34" s="785"/>
      <c r="AI34" s="785"/>
      <c r="AJ34" s="785"/>
      <c r="AK34" s="785"/>
      <c r="AL34" s="785"/>
      <c r="AM34" s="785"/>
      <c r="AN34" s="785"/>
      <c r="AO34" s="785"/>
      <c r="AP34" s="785"/>
      <c r="AQ34" s="785"/>
      <c r="AR34" s="785"/>
      <c r="AS34" s="785"/>
      <c r="AT34" s="785"/>
      <c r="AU34" s="785"/>
      <c r="AV34" s="785"/>
      <c r="AW34" s="785"/>
      <c r="AX34" s="785"/>
      <c r="AY34" s="785"/>
      <c r="AZ34" s="785"/>
      <c r="BA34" s="785"/>
      <c r="BB34" s="785"/>
      <c r="BC34" s="785"/>
      <c r="BD34" s="785"/>
      <c r="BE34" s="785"/>
      <c r="BF34" s="785"/>
      <c r="BG34" s="785"/>
      <c r="BH34" s="785"/>
      <c r="BI34" s="785"/>
      <c r="BJ34" s="785"/>
      <c r="BK34" s="785"/>
      <c r="BL34" s="785"/>
      <c r="BM34" s="785"/>
      <c r="BN34" s="785"/>
      <c r="BO34" s="785"/>
      <c r="BP34" s="785"/>
      <c r="BQ34" s="785"/>
      <c r="BR34" s="785"/>
      <c r="BS34" s="785"/>
      <c r="BT34" s="785"/>
    </row>
    <row r="35" spans="1:72">
      <c r="A35" s="791" t="s">
        <v>312</v>
      </c>
      <c r="B35" s="792">
        <f t="shared" si="0"/>
        <v>1.0046194107582356</v>
      </c>
      <c r="C35" s="792">
        <f t="shared" si="1"/>
        <v>1.003094645903579</v>
      </c>
      <c r="D35" s="792">
        <f t="shared" si="2"/>
        <v>0.99710816742279029</v>
      </c>
      <c r="E35" s="1563"/>
      <c r="F35" s="1563"/>
      <c r="G35" s="1563"/>
      <c r="H35" s="1563"/>
      <c r="I35" s="1563"/>
      <c r="J35" s="795">
        <v>1996</v>
      </c>
      <c r="K35" s="796">
        <v>93.9</v>
      </c>
      <c r="L35" s="785"/>
      <c r="M35" s="785"/>
      <c r="N35" s="785"/>
      <c r="O35" s="785"/>
      <c r="P35" s="785"/>
      <c r="Q35" s="785"/>
      <c r="R35" s="785"/>
      <c r="S35" s="785"/>
      <c r="T35" s="785"/>
      <c r="U35" s="785"/>
      <c r="V35" s="785"/>
      <c r="W35" s="785"/>
      <c r="X35" s="785"/>
      <c r="Y35" s="785"/>
      <c r="Z35" s="785"/>
      <c r="AA35" s="785"/>
      <c r="AB35" s="785"/>
      <c r="AC35" s="785"/>
      <c r="AD35" s="785"/>
      <c r="AE35" s="785"/>
      <c r="AF35" s="785"/>
      <c r="AG35" s="785"/>
      <c r="AH35" s="785"/>
      <c r="AI35" s="785"/>
      <c r="AJ35" s="785"/>
      <c r="AK35" s="785"/>
      <c r="AL35" s="785"/>
      <c r="AM35" s="785"/>
      <c r="AN35" s="785"/>
      <c r="AO35" s="785"/>
      <c r="AP35" s="785"/>
      <c r="AQ35" s="785"/>
      <c r="AR35" s="785"/>
      <c r="AS35" s="785"/>
      <c r="AT35" s="785"/>
      <c r="AU35" s="785"/>
      <c r="AV35" s="785"/>
      <c r="AW35" s="785"/>
      <c r="AX35" s="785"/>
      <c r="AY35" s="785"/>
      <c r="AZ35" s="785"/>
      <c r="BA35" s="785"/>
      <c r="BB35" s="785"/>
      <c r="BC35" s="785"/>
      <c r="BD35" s="785"/>
      <c r="BE35" s="785"/>
      <c r="BF35" s="785"/>
      <c r="BG35" s="785"/>
      <c r="BH35" s="785"/>
      <c r="BI35" s="785"/>
      <c r="BJ35" s="785"/>
      <c r="BK35" s="785"/>
      <c r="BL35" s="785"/>
      <c r="BM35" s="785"/>
      <c r="BN35" s="785"/>
      <c r="BO35" s="785"/>
      <c r="BP35" s="785"/>
      <c r="BQ35" s="785"/>
      <c r="BR35" s="785"/>
      <c r="BS35" s="785"/>
      <c r="BT35" s="785"/>
    </row>
    <row r="36" spans="1:72">
      <c r="A36" s="1565"/>
      <c r="B36" s="1566"/>
      <c r="C36" s="1566"/>
      <c r="D36" s="1566"/>
      <c r="E36" s="1563"/>
      <c r="F36" s="1563"/>
      <c r="G36" s="1563"/>
      <c r="H36" s="1563"/>
      <c r="I36" s="1563"/>
      <c r="J36" s="793">
        <v>1997</v>
      </c>
      <c r="K36" s="794">
        <v>95.4</v>
      </c>
      <c r="L36" s="785"/>
      <c r="M36" s="785"/>
      <c r="N36" s="785"/>
      <c r="O36" s="785"/>
      <c r="P36" s="785"/>
      <c r="Q36" s="785"/>
      <c r="R36" s="785"/>
      <c r="S36" s="785"/>
      <c r="T36" s="785"/>
      <c r="U36" s="785"/>
      <c r="V36" s="785"/>
      <c r="W36" s="785"/>
      <c r="X36" s="785"/>
      <c r="Y36" s="785"/>
      <c r="Z36" s="785"/>
      <c r="AA36" s="785"/>
      <c r="AB36" s="785"/>
      <c r="AC36" s="785"/>
      <c r="AD36" s="785"/>
      <c r="AE36" s="785"/>
      <c r="AF36" s="785"/>
      <c r="AG36" s="785"/>
      <c r="AH36" s="785"/>
      <c r="AI36" s="785"/>
      <c r="AJ36" s="785"/>
      <c r="AK36" s="785"/>
      <c r="AL36" s="785"/>
      <c r="AM36" s="785"/>
      <c r="AN36" s="785"/>
      <c r="AO36" s="785"/>
      <c r="AP36" s="785"/>
      <c r="AQ36" s="785"/>
      <c r="AR36" s="785"/>
      <c r="AS36" s="785"/>
      <c r="AT36" s="785"/>
      <c r="AU36" s="785"/>
      <c r="AV36" s="785"/>
      <c r="AW36" s="785"/>
      <c r="AX36" s="785"/>
      <c r="AY36" s="785"/>
      <c r="AZ36" s="785"/>
      <c r="BA36" s="785"/>
      <c r="BB36" s="785"/>
      <c r="BC36" s="785"/>
      <c r="BD36" s="785"/>
      <c r="BE36" s="785"/>
      <c r="BF36" s="785"/>
      <c r="BG36" s="785"/>
      <c r="BH36" s="785"/>
      <c r="BI36" s="785"/>
      <c r="BJ36" s="785"/>
      <c r="BK36" s="785"/>
      <c r="BL36" s="785"/>
      <c r="BM36" s="785"/>
      <c r="BN36" s="785"/>
      <c r="BO36" s="785"/>
      <c r="BP36" s="785"/>
      <c r="BQ36" s="785"/>
      <c r="BR36" s="785"/>
      <c r="BS36" s="785"/>
      <c r="BT36" s="785"/>
    </row>
    <row r="37" spans="1:72">
      <c r="A37" s="1565"/>
      <c r="B37" s="1566"/>
      <c r="C37" s="1566"/>
      <c r="D37" s="1566"/>
      <c r="E37" s="1563"/>
      <c r="F37" s="1563"/>
      <c r="G37" s="1563"/>
      <c r="H37" s="1563"/>
      <c r="I37" s="1563"/>
      <c r="J37" s="795">
        <v>1998</v>
      </c>
      <c r="K37" s="796">
        <v>96.5</v>
      </c>
      <c r="L37" s="785"/>
      <c r="M37" s="785"/>
      <c r="N37" s="785"/>
      <c r="O37" s="785"/>
      <c r="P37" s="785"/>
      <c r="Q37" s="785"/>
      <c r="R37" s="785"/>
      <c r="S37" s="785"/>
      <c r="T37" s="785"/>
      <c r="U37" s="785"/>
      <c r="V37" s="785"/>
      <c r="W37" s="785"/>
      <c r="X37" s="785"/>
      <c r="Y37" s="785"/>
      <c r="Z37" s="785"/>
      <c r="AA37" s="785"/>
      <c r="AB37" s="785"/>
      <c r="AC37" s="785"/>
      <c r="AD37" s="785"/>
      <c r="AE37" s="785"/>
      <c r="AF37" s="785"/>
      <c r="AG37" s="785"/>
      <c r="AH37" s="785"/>
      <c r="AI37" s="785"/>
      <c r="AJ37" s="785"/>
      <c r="AK37" s="785"/>
      <c r="AL37" s="785"/>
      <c r="AM37" s="785"/>
      <c r="AN37" s="785"/>
      <c r="AO37" s="785"/>
      <c r="AP37" s="785"/>
      <c r="AQ37" s="785"/>
      <c r="AR37" s="785"/>
      <c r="AS37" s="785"/>
      <c r="AT37" s="785"/>
      <c r="AU37" s="785"/>
      <c r="AV37" s="785"/>
      <c r="AW37" s="785"/>
      <c r="AX37" s="785"/>
      <c r="AY37" s="785"/>
      <c r="AZ37" s="785"/>
      <c r="BA37" s="785"/>
      <c r="BB37" s="785"/>
      <c r="BC37" s="785"/>
      <c r="BD37" s="785"/>
      <c r="BE37" s="785"/>
      <c r="BF37" s="785"/>
      <c r="BG37" s="785"/>
      <c r="BH37" s="785"/>
      <c r="BI37" s="785"/>
      <c r="BJ37" s="785"/>
      <c r="BK37" s="785"/>
      <c r="BL37" s="785"/>
      <c r="BM37" s="785"/>
      <c r="BN37" s="785"/>
      <c r="BO37" s="785"/>
      <c r="BP37" s="785"/>
      <c r="BQ37" s="785"/>
      <c r="BR37" s="785"/>
      <c r="BS37" s="785"/>
      <c r="BT37" s="785"/>
    </row>
    <row r="38" spans="1:72">
      <c r="A38" s="1570" t="s">
        <v>575</v>
      </c>
      <c r="B38" s="1571"/>
      <c r="C38" s="797" t="s">
        <v>576</v>
      </c>
      <c r="D38" s="797" t="s">
        <v>576</v>
      </c>
      <c r="E38" s="1571" t="s">
        <v>1111</v>
      </c>
      <c r="F38" s="1571"/>
      <c r="G38" s="1571"/>
      <c r="H38" s="1571"/>
      <c r="I38" s="1571"/>
      <c r="J38" s="793">
        <v>1999</v>
      </c>
      <c r="K38" s="794">
        <v>97.9</v>
      </c>
      <c r="L38" s="785"/>
      <c r="M38" s="785"/>
      <c r="N38" s="785"/>
      <c r="O38" s="785"/>
      <c r="P38" s="785"/>
      <c r="Q38" s="785"/>
      <c r="R38" s="785"/>
      <c r="S38" s="785"/>
      <c r="T38" s="785"/>
      <c r="U38" s="785"/>
      <c r="V38" s="785"/>
      <c r="W38" s="785"/>
      <c r="X38" s="785"/>
      <c r="Y38" s="785"/>
      <c r="Z38" s="785"/>
      <c r="AA38" s="785"/>
      <c r="AB38" s="785"/>
      <c r="AC38" s="785"/>
      <c r="AD38" s="785"/>
      <c r="AE38" s="785"/>
      <c r="AF38" s="785"/>
      <c r="AG38" s="785"/>
      <c r="AH38" s="785"/>
      <c r="AI38" s="785"/>
      <c r="AJ38" s="785"/>
      <c r="AK38" s="785"/>
      <c r="AL38" s="785"/>
      <c r="AM38" s="785"/>
      <c r="AN38" s="785"/>
      <c r="AO38" s="785"/>
      <c r="AP38" s="785"/>
      <c r="AQ38" s="785"/>
      <c r="AR38" s="785"/>
      <c r="AS38" s="785"/>
      <c r="AT38" s="785"/>
      <c r="AU38" s="785"/>
      <c r="AV38" s="785"/>
      <c r="AW38" s="785"/>
      <c r="AX38" s="785"/>
      <c r="AY38" s="785"/>
      <c r="AZ38" s="785"/>
      <c r="BA38" s="785"/>
      <c r="BB38" s="785"/>
      <c r="BC38" s="785"/>
      <c r="BD38" s="785"/>
      <c r="BE38" s="785"/>
      <c r="BF38" s="785"/>
      <c r="BG38" s="785"/>
      <c r="BH38" s="785"/>
      <c r="BI38" s="785"/>
      <c r="BJ38" s="785"/>
      <c r="BK38" s="785"/>
      <c r="BL38" s="785"/>
      <c r="BM38" s="785"/>
      <c r="BN38" s="785"/>
      <c r="BO38" s="785"/>
      <c r="BP38" s="785"/>
      <c r="BQ38" s="785"/>
      <c r="BR38" s="785"/>
      <c r="BS38" s="785"/>
      <c r="BT38" s="785"/>
    </row>
    <row r="39" spans="1:72">
      <c r="A39" s="791"/>
      <c r="B39" s="1" t="s">
        <v>1046</v>
      </c>
      <c r="C39" s="795">
        <v>2000</v>
      </c>
      <c r="D39" s="795">
        <v>2005</v>
      </c>
      <c r="E39" s="795">
        <v>2020</v>
      </c>
      <c r="F39" s="795">
        <v>2035</v>
      </c>
      <c r="G39" s="795">
        <v>2050</v>
      </c>
      <c r="H39" s="795">
        <v>2065</v>
      </c>
      <c r="I39" s="795">
        <v>2070</v>
      </c>
      <c r="J39" s="795">
        <v>2000</v>
      </c>
      <c r="K39" s="796">
        <v>100</v>
      </c>
      <c r="L39" s="785"/>
      <c r="M39" s="785"/>
      <c r="N39" s="785"/>
      <c r="O39" s="785"/>
      <c r="P39" s="785"/>
      <c r="Q39" s="785"/>
      <c r="R39" s="785"/>
      <c r="S39" s="785"/>
      <c r="T39" s="785"/>
      <c r="U39" s="785"/>
      <c r="V39" s="785"/>
      <c r="W39" s="785"/>
      <c r="X39" s="785"/>
      <c r="Y39" s="785"/>
      <c r="Z39" s="785"/>
      <c r="AA39" s="785"/>
      <c r="AB39" s="785"/>
      <c r="AC39" s="785"/>
      <c r="AD39" s="785"/>
      <c r="AE39" s="785"/>
      <c r="AF39" s="785"/>
      <c r="AG39" s="785"/>
      <c r="AH39" s="785"/>
      <c r="AI39" s="785"/>
      <c r="AJ39" s="785"/>
      <c r="AK39" s="785"/>
      <c r="AL39" s="785"/>
      <c r="AM39" s="785"/>
      <c r="AN39" s="785"/>
      <c r="AO39" s="785"/>
      <c r="AP39" s="785"/>
      <c r="AQ39" s="785"/>
      <c r="AR39" s="785"/>
      <c r="AS39" s="785"/>
      <c r="AT39" s="785"/>
      <c r="AU39" s="785"/>
      <c r="AV39" s="785"/>
      <c r="AW39" s="785"/>
      <c r="AX39" s="785"/>
      <c r="AY39" s="785"/>
      <c r="AZ39" s="785"/>
      <c r="BA39" s="785"/>
      <c r="BB39" s="785"/>
      <c r="BC39" s="785"/>
      <c r="BD39" s="785"/>
      <c r="BE39" s="785"/>
      <c r="BF39" s="785"/>
      <c r="BG39" s="785"/>
      <c r="BH39" s="785"/>
      <c r="BI39" s="785"/>
      <c r="BJ39" s="785"/>
      <c r="BK39" s="785"/>
      <c r="BL39" s="785"/>
      <c r="BM39" s="785"/>
      <c r="BN39" s="785"/>
      <c r="BO39" s="785"/>
      <c r="BP39" s="785"/>
      <c r="BQ39" s="785"/>
      <c r="BR39" s="785"/>
      <c r="BS39" s="785"/>
      <c r="BT39" s="785"/>
    </row>
    <row r="40" spans="1:72">
      <c r="A40" s="789" t="s">
        <v>567</v>
      </c>
      <c r="B40" s="798" t="s">
        <v>577</v>
      </c>
      <c r="C40" s="793">
        <v>25.276500000000002</v>
      </c>
      <c r="D40" s="793">
        <v>25.071000000000002</v>
      </c>
      <c r="E40" s="793">
        <v>49.911552427759986</v>
      </c>
      <c r="F40" s="793">
        <v>51.73380738099187</v>
      </c>
      <c r="G40" s="793">
        <v>54.228868079187265</v>
      </c>
      <c r="H40" s="793">
        <v>57.083559627090274</v>
      </c>
      <c r="I40" s="793">
        <v>57.998580810871225</v>
      </c>
      <c r="J40" s="793">
        <v>2001</v>
      </c>
      <c r="K40" s="794">
        <v>102.4</v>
      </c>
      <c r="L40" s="785"/>
      <c r="M40" s="785"/>
      <c r="N40" s="785"/>
      <c r="O40" s="785"/>
      <c r="P40" s="785"/>
      <c r="Q40" s="785"/>
      <c r="R40" s="785"/>
      <c r="S40" s="785"/>
      <c r="T40" s="785"/>
      <c r="U40" s="785"/>
      <c r="V40" s="785"/>
      <c r="W40" s="785"/>
      <c r="X40" s="785"/>
      <c r="Y40" s="785"/>
      <c r="Z40" s="785"/>
      <c r="AA40" s="785"/>
      <c r="AB40" s="785"/>
      <c r="AC40" s="785"/>
      <c r="AD40" s="785"/>
      <c r="AE40" s="785"/>
      <c r="AF40" s="785"/>
      <c r="AG40" s="785"/>
      <c r="AH40" s="785"/>
      <c r="AI40" s="785"/>
      <c r="AJ40" s="785"/>
      <c r="AK40" s="785"/>
      <c r="AL40" s="785"/>
      <c r="AM40" s="785"/>
      <c r="AN40" s="785"/>
      <c r="AO40" s="785"/>
      <c r="AP40" s="785"/>
      <c r="AQ40" s="785"/>
      <c r="AR40" s="785"/>
      <c r="AS40" s="785"/>
      <c r="AT40" s="785"/>
      <c r="AU40" s="785"/>
      <c r="AV40" s="785"/>
      <c r="AW40" s="785"/>
      <c r="AX40" s="785"/>
      <c r="AY40" s="785"/>
      <c r="AZ40" s="785"/>
      <c r="BA40" s="785"/>
      <c r="BB40" s="785"/>
      <c r="BC40" s="785"/>
      <c r="BD40" s="785"/>
      <c r="BE40" s="785"/>
      <c r="BF40" s="785"/>
      <c r="BG40" s="785"/>
      <c r="BH40" s="785"/>
      <c r="BI40" s="785"/>
      <c r="BJ40" s="785"/>
      <c r="BK40" s="785"/>
      <c r="BL40" s="785"/>
      <c r="BM40" s="785"/>
      <c r="BN40" s="785"/>
      <c r="BO40" s="785"/>
      <c r="BP40" s="785"/>
      <c r="BQ40" s="785"/>
      <c r="BR40" s="785"/>
      <c r="BS40" s="785"/>
      <c r="BT40" s="785"/>
    </row>
    <row r="41" spans="1:72">
      <c r="A41" s="791" t="s">
        <v>568</v>
      </c>
      <c r="B41" s="786" t="s">
        <v>578</v>
      </c>
      <c r="C41" s="795">
        <v>3.83</v>
      </c>
      <c r="D41" s="795">
        <v>2.88</v>
      </c>
      <c r="E41" s="795">
        <v>3.4820792312666162</v>
      </c>
      <c r="F41" s="795">
        <v>3.718467288972283</v>
      </c>
      <c r="G41" s="795">
        <v>4.254403392012021</v>
      </c>
      <c r="H41" s="795">
        <v>4.8331418485312492</v>
      </c>
      <c r="I41" s="795">
        <v>5.0085938618348607</v>
      </c>
      <c r="J41" s="795">
        <v>2002</v>
      </c>
      <c r="K41" s="796">
        <v>104.1</v>
      </c>
      <c r="L41" s="785"/>
      <c r="M41" s="785"/>
      <c r="N41" s="785"/>
      <c r="O41" s="785"/>
      <c r="P41" s="785"/>
      <c r="Q41" s="785"/>
      <c r="R41" s="785"/>
      <c r="S41" s="785"/>
      <c r="T41" s="785"/>
      <c r="U41" s="785"/>
      <c r="V41" s="785"/>
      <c r="W41" s="785"/>
      <c r="X41" s="785"/>
      <c r="Y41" s="785"/>
      <c r="Z41" s="785"/>
      <c r="AA41" s="785"/>
      <c r="AB41" s="785"/>
      <c r="AC41" s="785"/>
      <c r="AD41" s="785"/>
      <c r="AE41" s="785"/>
      <c r="AF41" s="785"/>
      <c r="AG41" s="785"/>
      <c r="AH41" s="785"/>
      <c r="AI41" s="785"/>
      <c r="AJ41" s="785"/>
      <c r="AK41" s="785"/>
      <c r="AL41" s="785"/>
      <c r="AM41" s="785"/>
      <c r="AN41" s="785"/>
      <c r="AO41" s="785"/>
      <c r="AP41" s="785"/>
      <c r="AQ41" s="785"/>
      <c r="AR41" s="785"/>
      <c r="AS41" s="785"/>
      <c r="AT41" s="785"/>
      <c r="AU41" s="785"/>
      <c r="AV41" s="785"/>
      <c r="AW41" s="785"/>
      <c r="AX41" s="785"/>
      <c r="AY41" s="785"/>
      <c r="AZ41" s="785"/>
      <c r="BA41" s="785"/>
      <c r="BB41" s="785"/>
      <c r="BC41" s="785"/>
      <c r="BD41" s="785"/>
      <c r="BE41" s="785"/>
      <c r="BF41" s="785"/>
      <c r="BG41" s="785"/>
      <c r="BH41" s="785"/>
      <c r="BI41" s="785"/>
      <c r="BJ41" s="785"/>
      <c r="BK41" s="785"/>
      <c r="BL41" s="785"/>
      <c r="BM41" s="785"/>
      <c r="BN41" s="785"/>
      <c r="BO41" s="785"/>
      <c r="BP41" s="785"/>
      <c r="BQ41" s="785"/>
      <c r="BR41" s="785"/>
      <c r="BS41" s="785"/>
      <c r="BT41" s="785"/>
    </row>
    <row r="42" spans="1:72">
      <c r="A42" s="789" t="s">
        <v>569</v>
      </c>
      <c r="B42" s="798" t="s">
        <v>578</v>
      </c>
      <c r="C42" s="793">
        <v>4.333333333333333</v>
      </c>
      <c r="D42" s="793">
        <v>3.2058823529411766</v>
      </c>
      <c r="E42" s="793">
        <v>5.3135477999345282</v>
      </c>
      <c r="F42" s="793">
        <v>5.6703709369749671</v>
      </c>
      <c r="G42" s="793">
        <v>6.3804589018936815</v>
      </c>
      <c r="H42" s="793">
        <v>7.1603102550975084</v>
      </c>
      <c r="I42" s="793">
        <v>7.3649472464330987</v>
      </c>
      <c r="J42" s="793">
        <v>2003</v>
      </c>
      <c r="K42" s="794">
        <v>106</v>
      </c>
      <c r="L42" s="785"/>
      <c r="M42" s="785"/>
      <c r="N42" s="785"/>
      <c r="O42" s="785"/>
      <c r="P42" s="785"/>
      <c r="Q42" s="785"/>
      <c r="R42" s="785"/>
      <c r="S42" s="785"/>
      <c r="T42" s="785"/>
      <c r="U42" s="785"/>
      <c r="V42" s="785"/>
      <c r="W42" s="785"/>
      <c r="X42" s="785"/>
      <c r="Y42" s="785"/>
      <c r="Z42" s="785"/>
      <c r="AA42" s="785"/>
      <c r="AB42" s="785"/>
      <c r="AC42" s="785"/>
      <c r="AD42" s="785"/>
      <c r="AE42" s="785"/>
      <c r="AF42" s="785"/>
      <c r="AG42" s="785"/>
      <c r="AH42" s="785"/>
      <c r="AI42" s="785"/>
      <c r="AJ42" s="785"/>
      <c r="AK42" s="785"/>
      <c r="AL42" s="785"/>
      <c r="AM42" s="785"/>
      <c r="AN42" s="785"/>
      <c r="AO42" s="785"/>
      <c r="AP42" s="785"/>
      <c r="AQ42" s="785"/>
      <c r="AR42" s="785"/>
      <c r="AS42" s="785"/>
      <c r="AT42" s="785"/>
      <c r="AU42" s="785"/>
      <c r="AV42" s="785"/>
      <c r="AW42" s="785"/>
      <c r="AX42" s="785"/>
      <c r="AY42" s="785"/>
      <c r="AZ42" s="785"/>
      <c r="BA42" s="785"/>
      <c r="BB42" s="785"/>
      <c r="BC42" s="785"/>
      <c r="BD42" s="785"/>
      <c r="BE42" s="785"/>
      <c r="BF42" s="785"/>
      <c r="BG42" s="785"/>
      <c r="BH42" s="785"/>
      <c r="BI42" s="785"/>
      <c r="BJ42" s="785"/>
      <c r="BK42" s="785"/>
      <c r="BL42" s="785"/>
      <c r="BM42" s="785"/>
      <c r="BN42" s="785"/>
      <c r="BO42" s="785"/>
      <c r="BP42" s="785"/>
      <c r="BQ42" s="785"/>
      <c r="BR42" s="785"/>
      <c r="BS42" s="785"/>
      <c r="BT42" s="785"/>
    </row>
    <row r="43" spans="1:72">
      <c r="A43" s="791" t="s">
        <v>570</v>
      </c>
      <c r="B43" s="786" t="s">
        <v>579</v>
      </c>
      <c r="C43" s="795">
        <v>28.35</v>
      </c>
      <c r="D43" s="795">
        <v>23.27</v>
      </c>
      <c r="E43" s="795">
        <v>38.166254666132858</v>
      </c>
      <c r="F43" s="795">
        <v>44.018296607182357</v>
      </c>
      <c r="G43" s="795">
        <v>47.046046898954408</v>
      </c>
      <c r="H43" s="795">
        <v>48.050792851691</v>
      </c>
      <c r="I43" s="795">
        <v>48.201553003292787</v>
      </c>
      <c r="J43" s="795">
        <v>2004</v>
      </c>
      <c r="K43" s="799">
        <v>108.3</v>
      </c>
      <c r="L43" s="785"/>
      <c r="M43" s="785"/>
      <c r="N43" s="785"/>
      <c r="O43" s="785"/>
      <c r="P43" s="785"/>
      <c r="Q43" s="785"/>
      <c r="R43" s="785"/>
      <c r="S43" s="785"/>
      <c r="T43" s="785"/>
      <c r="U43" s="785"/>
      <c r="V43" s="785"/>
      <c r="W43" s="785"/>
      <c r="X43" s="785"/>
      <c r="Y43" s="785"/>
      <c r="Z43" s="785"/>
      <c r="AA43" s="785"/>
      <c r="AB43" s="785"/>
      <c r="AC43" s="785"/>
      <c r="AD43" s="785"/>
      <c r="AE43" s="785"/>
      <c r="AF43" s="785"/>
      <c r="AG43" s="785"/>
      <c r="AH43" s="785"/>
      <c r="AI43" s="785"/>
      <c r="AJ43" s="785"/>
      <c r="AK43" s="785"/>
      <c r="AL43" s="785"/>
      <c r="AM43" s="785"/>
      <c r="AN43" s="785"/>
      <c r="AO43" s="785"/>
      <c r="AP43" s="785"/>
      <c r="AQ43" s="785"/>
      <c r="AR43" s="785"/>
      <c r="AS43" s="785"/>
      <c r="AT43" s="785"/>
      <c r="AU43" s="785"/>
      <c r="AV43" s="785"/>
      <c r="AW43" s="785"/>
      <c r="AX43" s="785"/>
      <c r="AY43" s="785"/>
      <c r="AZ43" s="785"/>
      <c r="BA43" s="785"/>
      <c r="BB43" s="785"/>
      <c r="BC43" s="785"/>
      <c r="BD43" s="785"/>
      <c r="BE43" s="785"/>
      <c r="BF43" s="785"/>
      <c r="BG43" s="785"/>
      <c r="BH43" s="785"/>
      <c r="BI43" s="785"/>
      <c r="BJ43" s="785"/>
      <c r="BK43" s="785"/>
      <c r="BL43" s="785"/>
      <c r="BM43" s="785"/>
      <c r="BN43" s="785"/>
      <c r="BO43" s="785"/>
      <c r="BP43" s="785"/>
      <c r="BQ43" s="785"/>
      <c r="BR43" s="785"/>
      <c r="BS43" s="785"/>
      <c r="BT43" s="785"/>
    </row>
    <row r="44" spans="1:72">
      <c r="A44" s="789" t="s">
        <v>571</v>
      </c>
      <c r="B44" s="798" t="s">
        <v>580</v>
      </c>
      <c r="C44" s="793">
        <v>1.5176666666666667</v>
      </c>
      <c r="D44" s="793">
        <v>1.2925714285714285</v>
      </c>
      <c r="E44" s="793">
        <v>1.9428327208531595</v>
      </c>
      <c r="F44" s="793">
        <v>2.1262391061548653</v>
      </c>
      <c r="G44" s="793">
        <v>2.2056865867102777</v>
      </c>
      <c r="H44" s="793">
        <v>2.2243217316177319</v>
      </c>
      <c r="I44" s="793">
        <v>2.2266990166381286</v>
      </c>
      <c r="J44" s="793">
        <v>2005</v>
      </c>
      <c r="K44" s="800">
        <v>110.5</v>
      </c>
      <c r="L44" s="785"/>
      <c r="M44" s="785"/>
      <c r="N44" s="785"/>
      <c r="O44" s="785"/>
      <c r="P44" s="785"/>
      <c r="Q44" s="785"/>
      <c r="R44" s="785"/>
      <c r="S44" s="785"/>
      <c r="T44" s="785"/>
      <c r="U44" s="785"/>
      <c r="V44" s="785"/>
      <c r="W44" s="785"/>
      <c r="X44" s="785"/>
      <c r="Y44" s="785"/>
      <c r="Z44" s="785"/>
      <c r="AA44" s="785"/>
      <c r="AB44" s="785"/>
      <c r="AC44" s="785"/>
      <c r="AD44" s="785"/>
      <c r="AE44" s="785"/>
      <c r="AF44" s="785"/>
      <c r="AG44" s="785"/>
      <c r="AH44" s="785"/>
      <c r="AI44" s="785"/>
      <c r="AJ44" s="785"/>
      <c r="AK44" s="785"/>
      <c r="AL44" s="785"/>
      <c r="AM44" s="785"/>
      <c r="AN44" s="785"/>
      <c r="AO44" s="785"/>
      <c r="AP44" s="785"/>
      <c r="AQ44" s="785"/>
      <c r="AR44" s="785"/>
      <c r="AS44" s="785"/>
      <c r="AT44" s="785"/>
      <c r="AU44" s="785"/>
      <c r="AV44" s="785"/>
      <c r="AW44" s="785"/>
      <c r="AX44" s="785"/>
      <c r="AY44" s="785"/>
      <c r="AZ44" s="785"/>
      <c r="BA44" s="785"/>
      <c r="BB44" s="785"/>
      <c r="BC44" s="785"/>
      <c r="BD44" s="785"/>
      <c r="BE44" s="785"/>
      <c r="BF44" s="785"/>
      <c r="BG44" s="785"/>
      <c r="BH44" s="785"/>
      <c r="BI44" s="785"/>
      <c r="BJ44" s="785"/>
      <c r="BK44" s="785"/>
      <c r="BL44" s="785"/>
      <c r="BM44" s="785"/>
      <c r="BN44" s="785"/>
      <c r="BO44" s="785"/>
      <c r="BP44" s="785"/>
      <c r="BQ44" s="785"/>
      <c r="BR44" s="785"/>
      <c r="BS44" s="785"/>
      <c r="BT44" s="785"/>
    </row>
    <row r="45" spans="1:72">
      <c r="A45" s="791" t="s">
        <v>572</v>
      </c>
      <c r="B45" s="786" t="s">
        <v>581</v>
      </c>
      <c r="C45" s="795">
        <v>6.9</v>
      </c>
      <c r="D45" s="795">
        <v>6.4</v>
      </c>
      <c r="E45" s="795">
        <v>7.2674708046079139</v>
      </c>
      <c r="F45" s="795">
        <v>7.0885496188632935</v>
      </c>
      <c r="G45" s="795">
        <v>6.9118429447797478</v>
      </c>
      <c r="H45" s="795">
        <v>6.9722480090117775</v>
      </c>
      <c r="I45" s="795">
        <v>6.9487741854044058</v>
      </c>
      <c r="J45" s="1572" t="s">
        <v>759</v>
      </c>
      <c r="K45" s="1573"/>
      <c r="L45" s="785"/>
      <c r="M45" s="785"/>
      <c r="N45" s="785"/>
      <c r="O45" s="785"/>
      <c r="P45" s="785"/>
      <c r="Q45" s="785"/>
      <c r="R45" s="785"/>
      <c r="S45" s="785"/>
      <c r="T45" s="785"/>
      <c r="U45" s="785"/>
      <c r="V45" s="785"/>
      <c r="W45" s="785"/>
      <c r="X45" s="785"/>
      <c r="Y45" s="785"/>
      <c r="Z45" s="785"/>
      <c r="AA45" s="785"/>
      <c r="AB45" s="785"/>
      <c r="AC45" s="785"/>
      <c r="AD45" s="785"/>
      <c r="AE45" s="785"/>
      <c r="AF45" s="785"/>
      <c r="AG45" s="785"/>
      <c r="AH45" s="785"/>
      <c r="AI45" s="785"/>
      <c r="AJ45" s="785"/>
      <c r="AK45" s="785"/>
      <c r="AL45" s="785"/>
      <c r="AM45" s="785"/>
      <c r="AN45" s="785"/>
      <c r="AO45" s="785"/>
      <c r="AP45" s="785"/>
      <c r="AQ45" s="785"/>
      <c r="AR45" s="785"/>
      <c r="AS45" s="785"/>
      <c r="AT45" s="785"/>
      <c r="AU45" s="785"/>
      <c r="AV45" s="785"/>
      <c r="AW45" s="785"/>
      <c r="AX45" s="785"/>
      <c r="AY45" s="785"/>
      <c r="AZ45" s="785"/>
      <c r="BA45" s="785"/>
      <c r="BB45" s="785"/>
      <c r="BC45" s="785"/>
      <c r="BD45" s="785"/>
      <c r="BE45" s="785"/>
      <c r="BF45" s="785"/>
      <c r="BG45" s="785"/>
      <c r="BH45" s="785"/>
      <c r="BI45" s="785"/>
      <c r="BJ45" s="785"/>
      <c r="BK45" s="785"/>
      <c r="BL45" s="785"/>
      <c r="BM45" s="785"/>
      <c r="BN45" s="785"/>
      <c r="BO45" s="785"/>
      <c r="BP45" s="785"/>
      <c r="BQ45" s="785"/>
      <c r="BR45" s="785"/>
      <c r="BS45" s="785"/>
      <c r="BT45" s="785"/>
    </row>
    <row r="46" spans="1:72">
      <c r="A46" s="789" t="s">
        <v>573</v>
      </c>
      <c r="B46" s="798" t="s">
        <v>582</v>
      </c>
      <c r="C46" s="793"/>
      <c r="D46" s="793"/>
      <c r="E46" s="793">
        <v>3.9267286033597717</v>
      </c>
      <c r="F46" s="793">
        <v>3.4025762910602637</v>
      </c>
      <c r="G46" s="793">
        <v>3.7218644965506216</v>
      </c>
      <c r="H46" s="793">
        <v>4.0392206503019663</v>
      </c>
      <c r="I46" s="793">
        <v>4.0968490901035652</v>
      </c>
      <c r="J46" s="1572"/>
      <c r="K46" s="1573"/>
      <c r="L46" s="785"/>
      <c r="M46" s="785"/>
      <c r="N46" s="785"/>
      <c r="O46" s="785"/>
      <c r="P46" s="785"/>
      <c r="Q46" s="785"/>
      <c r="R46" s="785"/>
      <c r="S46" s="785"/>
      <c r="T46" s="785"/>
      <c r="U46" s="785"/>
      <c r="V46" s="785"/>
      <c r="W46" s="785"/>
      <c r="X46" s="785"/>
      <c r="Y46" s="785"/>
      <c r="Z46" s="785"/>
      <c r="AA46" s="785"/>
      <c r="AB46" s="785"/>
      <c r="AC46" s="785"/>
      <c r="AD46" s="785"/>
      <c r="AE46" s="785"/>
      <c r="AF46" s="785"/>
      <c r="AG46" s="785"/>
      <c r="AH46" s="785"/>
      <c r="AI46" s="785"/>
      <c r="AJ46" s="785"/>
      <c r="AK46" s="785"/>
      <c r="AL46" s="785"/>
      <c r="AM46" s="785"/>
      <c r="AN46" s="785"/>
      <c r="AO46" s="785"/>
      <c r="AP46" s="785"/>
      <c r="AQ46" s="785"/>
      <c r="AR46" s="785"/>
      <c r="AS46" s="785"/>
      <c r="AT46" s="785"/>
      <c r="AU46" s="785"/>
      <c r="AV46" s="785"/>
      <c r="AW46" s="785"/>
      <c r="AX46" s="785"/>
      <c r="AY46" s="785"/>
      <c r="AZ46" s="785"/>
      <c r="BA46" s="785"/>
      <c r="BB46" s="785"/>
      <c r="BC46" s="785"/>
      <c r="BD46" s="785"/>
      <c r="BE46" s="785"/>
      <c r="BF46" s="785"/>
      <c r="BG46" s="785"/>
      <c r="BH46" s="785"/>
      <c r="BI46" s="785"/>
      <c r="BJ46" s="785"/>
      <c r="BK46" s="785"/>
      <c r="BL46" s="785"/>
      <c r="BM46" s="785"/>
      <c r="BN46" s="785"/>
      <c r="BO46" s="785"/>
      <c r="BP46" s="785"/>
      <c r="BQ46" s="785"/>
      <c r="BR46" s="785"/>
      <c r="BS46" s="785"/>
      <c r="BT46" s="785"/>
    </row>
    <row r="47" spans="1:72">
      <c r="A47" s="791" t="s">
        <v>312</v>
      </c>
      <c r="B47" s="786" t="s">
        <v>582</v>
      </c>
      <c r="C47" s="795"/>
      <c r="D47" s="795"/>
      <c r="E47" s="795">
        <v>24.686324737923844</v>
      </c>
      <c r="F47" s="795">
        <v>23.090083577893328</v>
      </c>
      <c r="G47" s="795">
        <v>23.196746158381607</v>
      </c>
      <c r="H47" s="795">
        <v>23.268531873857007</v>
      </c>
      <c r="I47" s="795">
        <v>23.201243175360347</v>
      </c>
      <c r="J47" s="1572"/>
      <c r="K47" s="1573"/>
      <c r="L47" s="785"/>
      <c r="M47" s="785"/>
      <c r="N47" s="785"/>
      <c r="O47" s="785"/>
      <c r="P47" s="785"/>
      <c r="Q47" s="785"/>
      <c r="R47" s="785"/>
      <c r="S47" s="785"/>
      <c r="T47" s="785"/>
      <c r="U47" s="785"/>
      <c r="V47" s="785"/>
      <c r="W47" s="785"/>
      <c r="X47" s="785"/>
      <c r="Y47" s="785"/>
      <c r="Z47" s="785"/>
      <c r="AA47" s="785"/>
      <c r="AB47" s="785"/>
      <c r="AC47" s="785"/>
      <c r="AD47" s="785"/>
      <c r="AE47" s="785"/>
      <c r="AF47" s="785"/>
      <c r="AG47" s="785"/>
      <c r="AH47" s="785"/>
      <c r="AI47" s="785"/>
      <c r="AJ47" s="785"/>
      <c r="AK47" s="785"/>
      <c r="AL47" s="785"/>
      <c r="AM47" s="785"/>
      <c r="AN47" s="785"/>
      <c r="AO47" s="785"/>
      <c r="AP47" s="785"/>
      <c r="AQ47" s="785"/>
      <c r="AR47" s="785"/>
      <c r="AS47" s="785"/>
      <c r="AT47" s="785"/>
      <c r="AU47" s="785"/>
      <c r="AV47" s="785"/>
      <c r="AW47" s="785"/>
      <c r="AX47" s="785"/>
      <c r="AY47" s="785"/>
      <c r="AZ47" s="785"/>
      <c r="BA47" s="785"/>
      <c r="BB47" s="785"/>
      <c r="BC47" s="785"/>
      <c r="BD47" s="785"/>
      <c r="BE47" s="785"/>
      <c r="BF47" s="785"/>
      <c r="BG47" s="785"/>
      <c r="BH47" s="785"/>
      <c r="BI47" s="785"/>
      <c r="BJ47" s="785"/>
      <c r="BK47" s="785"/>
      <c r="BL47" s="785"/>
      <c r="BM47" s="785"/>
      <c r="BN47" s="785"/>
      <c r="BO47" s="785"/>
      <c r="BP47" s="785"/>
      <c r="BQ47" s="785"/>
      <c r="BR47" s="785"/>
      <c r="BS47" s="785"/>
      <c r="BT47" s="785"/>
    </row>
    <row r="48" spans="1:72" ht="42">
      <c r="A48" s="805" t="s">
        <v>768</v>
      </c>
      <c r="B48" s="798" t="s">
        <v>577</v>
      </c>
      <c r="C48" s="793"/>
      <c r="D48" s="793"/>
      <c r="E48" s="793">
        <v>10</v>
      </c>
      <c r="F48" s="793">
        <v>10</v>
      </c>
      <c r="G48" s="793">
        <v>10</v>
      </c>
      <c r="H48" s="793">
        <v>10</v>
      </c>
      <c r="I48" s="793"/>
      <c r="J48" s="1572"/>
      <c r="K48" s="1573"/>
      <c r="L48" s="785"/>
      <c r="M48" s="785"/>
      <c r="N48" s="785"/>
      <c r="O48" s="785"/>
      <c r="P48" s="785"/>
      <c r="Q48" s="785"/>
      <c r="R48" s="785"/>
      <c r="S48" s="785"/>
      <c r="T48" s="785"/>
      <c r="U48" s="785"/>
      <c r="V48" s="785"/>
      <c r="W48" s="785"/>
      <c r="X48" s="785"/>
      <c r="Y48" s="785"/>
      <c r="Z48" s="785"/>
      <c r="AA48" s="785"/>
      <c r="AB48" s="785"/>
      <c r="AC48" s="785"/>
      <c r="AD48" s="785"/>
      <c r="AE48" s="785"/>
      <c r="AF48" s="785"/>
      <c r="AG48" s="785"/>
      <c r="AH48" s="785"/>
      <c r="AI48" s="785"/>
      <c r="AJ48" s="785"/>
      <c r="AK48" s="785"/>
      <c r="AL48" s="785"/>
      <c r="AM48" s="785"/>
      <c r="AN48" s="785"/>
      <c r="AO48" s="785"/>
      <c r="AP48" s="785"/>
      <c r="AQ48" s="785"/>
      <c r="AR48" s="785"/>
      <c r="AS48" s="785"/>
      <c r="AT48" s="785"/>
      <c r="AU48" s="785"/>
      <c r="AV48" s="785"/>
      <c r="AW48" s="785"/>
      <c r="AX48" s="785"/>
      <c r="AY48" s="785"/>
      <c r="AZ48" s="785"/>
      <c r="BA48" s="785"/>
      <c r="BB48" s="785"/>
      <c r="BC48" s="785"/>
      <c r="BD48" s="785"/>
      <c r="BE48" s="785"/>
      <c r="BF48" s="785"/>
      <c r="BG48" s="785"/>
      <c r="BH48" s="785"/>
      <c r="BI48" s="785"/>
      <c r="BJ48" s="785"/>
      <c r="BK48" s="785"/>
      <c r="BL48" s="785"/>
      <c r="BM48" s="785"/>
      <c r="BN48" s="785"/>
      <c r="BO48" s="785"/>
      <c r="BP48" s="785"/>
      <c r="BQ48" s="785"/>
      <c r="BR48" s="785"/>
      <c r="BS48" s="785"/>
      <c r="BT48" s="785"/>
    </row>
    <row r="49" spans="1:72" ht="14">
      <c r="B49" s="804" t="s">
        <v>767</v>
      </c>
      <c r="C49" s="802"/>
      <c r="D49" s="802"/>
      <c r="E49" s="802">
        <f>E48*$B$61</f>
        <v>0.65713983050847458</v>
      </c>
      <c r="F49" s="802">
        <f>F48*$B$61</f>
        <v>0.65713983050847458</v>
      </c>
      <c r="G49" s="802">
        <f>G48*$B$61</f>
        <v>0.65713983050847458</v>
      </c>
      <c r="H49" s="802">
        <f>H48*$B$61</f>
        <v>0.65713983050847458</v>
      </c>
      <c r="I49" s="802"/>
      <c r="J49" s="802"/>
      <c r="K49" s="803"/>
      <c r="L49" s="785"/>
      <c r="M49" s="785"/>
      <c r="N49" s="785"/>
      <c r="O49" s="785"/>
      <c r="P49" s="785"/>
      <c r="Q49" s="785"/>
      <c r="R49" s="785"/>
      <c r="S49" s="785"/>
      <c r="T49" s="785"/>
      <c r="U49" s="785"/>
      <c r="V49" s="785"/>
      <c r="W49" s="785"/>
      <c r="X49" s="785"/>
      <c r="Y49" s="785"/>
      <c r="Z49" s="785"/>
      <c r="AA49" s="785"/>
      <c r="AB49" s="785"/>
      <c r="AC49" s="785"/>
      <c r="AD49" s="785"/>
      <c r="AE49" s="785"/>
      <c r="AF49" s="785"/>
      <c r="AG49" s="785"/>
      <c r="AH49" s="785"/>
      <c r="AI49" s="785"/>
      <c r="AJ49" s="785"/>
      <c r="AK49" s="785"/>
      <c r="AL49" s="785"/>
      <c r="AM49" s="785"/>
      <c r="AN49" s="785"/>
      <c r="AO49" s="785"/>
      <c r="AP49" s="785"/>
      <c r="AQ49" s="785"/>
      <c r="AR49" s="785"/>
      <c r="AS49" s="785"/>
      <c r="AT49" s="785"/>
      <c r="AU49" s="785"/>
      <c r="AV49" s="785"/>
      <c r="AW49" s="785"/>
      <c r="AX49" s="785"/>
      <c r="AY49" s="785"/>
      <c r="AZ49" s="785"/>
      <c r="BA49" s="785"/>
      <c r="BB49" s="785"/>
      <c r="BC49" s="785"/>
      <c r="BD49" s="785"/>
      <c r="BE49" s="785"/>
      <c r="BF49" s="785"/>
      <c r="BG49" s="785"/>
      <c r="BH49" s="785"/>
      <c r="BI49" s="785"/>
      <c r="BJ49" s="785"/>
      <c r="BK49" s="785"/>
      <c r="BL49" s="785"/>
      <c r="BM49" s="785"/>
      <c r="BN49" s="785"/>
      <c r="BO49" s="785"/>
      <c r="BP49" s="785"/>
      <c r="BQ49" s="785"/>
      <c r="BR49" s="785"/>
      <c r="BS49" s="785"/>
      <c r="BT49" s="785"/>
    </row>
    <row r="50" spans="1:72" ht="14">
      <c r="A50" s="805" t="s">
        <v>769</v>
      </c>
      <c r="B50" s="688" t="s">
        <v>582</v>
      </c>
      <c r="C50" s="793"/>
      <c r="D50" s="793"/>
      <c r="E50" s="793">
        <f>E49+E46</f>
        <v>4.5838684338682461</v>
      </c>
      <c r="F50" s="793">
        <f>F49+F46</f>
        <v>4.0597161215687381</v>
      </c>
      <c r="G50" s="793">
        <f>G49+G46</f>
        <v>4.3790043270590964</v>
      </c>
      <c r="H50" s="793">
        <f>H49+H46</f>
        <v>4.6963604808104407</v>
      </c>
      <c r="I50" s="793"/>
      <c r="J50" s="802"/>
      <c r="K50" s="803"/>
      <c r="L50" s="785"/>
      <c r="M50" s="785"/>
      <c r="N50" s="785"/>
      <c r="O50" s="785"/>
      <c r="P50" s="785"/>
      <c r="Q50" s="785"/>
      <c r="R50" s="785"/>
      <c r="S50" s="785"/>
      <c r="T50" s="785"/>
      <c r="U50" s="785"/>
      <c r="V50" s="785"/>
      <c r="W50" s="785"/>
      <c r="X50" s="785"/>
      <c r="Y50" s="785"/>
      <c r="Z50" s="785"/>
      <c r="AA50" s="785"/>
      <c r="AB50" s="785"/>
      <c r="AC50" s="785"/>
      <c r="AD50" s="785"/>
      <c r="AE50" s="785"/>
      <c r="AF50" s="785"/>
      <c r="AG50" s="785"/>
      <c r="AH50" s="785"/>
      <c r="AI50" s="785"/>
      <c r="AJ50" s="785"/>
      <c r="AK50" s="785"/>
      <c r="AL50" s="785"/>
      <c r="AM50" s="785"/>
      <c r="AN50" s="785"/>
      <c r="AO50" s="785"/>
      <c r="AP50" s="785"/>
      <c r="AQ50" s="785"/>
      <c r="AR50" s="785"/>
      <c r="AS50" s="785"/>
      <c r="AT50" s="785"/>
      <c r="AU50" s="785"/>
      <c r="AV50" s="785"/>
      <c r="AW50" s="785"/>
      <c r="AX50" s="785"/>
      <c r="AY50" s="785"/>
      <c r="AZ50" s="785"/>
      <c r="BA50" s="785"/>
      <c r="BB50" s="785"/>
      <c r="BC50" s="785"/>
      <c r="BD50" s="785"/>
      <c r="BE50" s="785"/>
      <c r="BF50" s="785"/>
      <c r="BG50" s="785"/>
      <c r="BH50" s="785"/>
      <c r="BI50" s="785"/>
      <c r="BJ50" s="785"/>
      <c r="BK50" s="785"/>
      <c r="BL50" s="785"/>
      <c r="BM50" s="785"/>
      <c r="BN50" s="785"/>
      <c r="BO50" s="785"/>
      <c r="BP50" s="785"/>
      <c r="BQ50" s="785"/>
      <c r="BR50" s="785"/>
      <c r="BS50" s="785"/>
      <c r="BT50" s="785"/>
    </row>
    <row r="51" spans="1:72">
      <c r="B51" s="804"/>
      <c r="C51" s="802"/>
      <c r="D51" s="802"/>
      <c r="E51" s="802"/>
      <c r="F51" s="802"/>
      <c r="G51" s="802"/>
      <c r="H51" s="802"/>
      <c r="I51" s="802"/>
      <c r="J51" s="802"/>
      <c r="K51" s="803"/>
      <c r="L51" s="785"/>
      <c r="M51" s="785"/>
      <c r="N51" s="785"/>
      <c r="O51" s="785"/>
      <c r="P51" s="785"/>
      <c r="Q51" s="785"/>
      <c r="R51" s="785"/>
      <c r="S51" s="785"/>
      <c r="T51" s="785"/>
      <c r="U51" s="785"/>
      <c r="V51" s="785"/>
      <c r="W51" s="785"/>
      <c r="X51" s="785"/>
      <c r="Y51" s="785"/>
      <c r="Z51" s="785"/>
      <c r="AA51" s="785"/>
      <c r="AB51" s="785"/>
      <c r="AC51" s="785"/>
      <c r="AD51" s="785"/>
      <c r="AE51" s="785"/>
      <c r="AF51" s="785"/>
      <c r="AG51" s="785"/>
      <c r="AH51" s="785"/>
      <c r="AI51" s="785"/>
      <c r="AJ51" s="785"/>
      <c r="AK51" s="785"/>
      <c r="AL51" s="785"/>
      <c r="AM51" s="785"/>
      <c r="AN51" s="785"/>
      <c r="AO51" s="785"/>
      <c r="AP51" s="785"/>
      <c r="AQ51" s="785"/>
      <c r="AR51" s="785"/>
      <c r="AS51" s="785"/>
      <c r="AT51" s="785"/>
      <c r="AU51" s="785"/>
      <c r="AV51" s="785"/>
      <c r="AW51" s="785"/>
      <c r="AX51" s="785"/>
      <c r="AY51" s="785"/>
      <c r="AZ51" s="785"/>
      <c r="BA51" s="785"/>
      <c r="BB51" s="785"/>
      <c r="BC51" s="785"/>
      <c r="BD51" s="785"/>
      <c r="BE51" s="785"/>
      <c r="BF51" s="785"/>
      <c r="BG51" s="785"/>
      <c r="BH51" s="785"/>
      <c r="BI51" s="785"/>
      <c r="BJ51" s="785"/>
      <c r="BK51" s="785"/>
      <c r="BL51" s="785"/>
      <c r="BM51" s="785"/>
      <c r="BN51" s="785"/>
      <c r="BO51" s="785"/>
      <c r="BP51" s="785"/>
      <c r="BQ51" s="785"/>
      <c r="BR51" s="785"/>
      <c r="BS51" s="785"/>
      <c r="BT51" s="785"/>
    </row>
    <row r="52" spans="1:72" ht="14">
      <c r="A52" s="801" t="s">
        <v>760</v>
      </c>
      <c r="B52" s="802"/>
      <c r="C52" s="802"/>
      <c r="D52" s="802"/>
      <c r="E52" s="802"/>
      <c r="F52" s="802"/>
      <c r="G52" s="802"/>
      <c r="H52" s="802"/>
      <c r="I52" s="802"/>
      <c r="J52" s="802"/>
      <c r="K52" s="803"/>
      <c r="L52" s="785"/>
      <c r="M52" s="785"/>
      <c r="N52" s="785"/>
      <c r="O52" s="785"/>
      <c r="P52" s="785"/>
      <c r="Q52" s="785"/>
      <c r="R52" s="785"/>
      <c r="S52" s="785"/>
      <c r="T52" s="785"/>
      <c r="U52" s="785"/>
      <c r="V52" s="785"/>
      <c r="W52" s="785"/>
      <c r="X52" s="785"/>
      <c r="Y52" s="785"/>
      <c r="Z52" s="785"/>
      <c r="AA52" s="785"/>
      <c r="AB52" s="785"/>
      <c r="AC52" s="785"/>
      <c r="AD52" s="785"/>
      <c r="AE52" s="785"/>
      <c r="AF52" s="785"/>
      <c r="AG52" s="785"/>
      <c r="AH52" s="785"/>
      <c r="AI52" s="785"/>
      <c r="AJ52" s="785"/>
      <c r="AK52" s="785"/>
      <c r="AL52" s="785"/>
      <c r="AM52" s="785"/>
      <c r="AN52" s="785"/>
      <c r="AO52" s="785"/>
      <c r="AP52" s="785"/>
      <c r="AQ52" s="785"/>
      <c r="AR52" s="785"/>
      <c r="AS52" s="785"/>
      <c r="AT52" s="785"/>
      <c r="AU52" s="785"/>
      <c r="AV52" s="785"/>
      <c r="AW52" s="785"/>
      <c r="AX52" s="785"/>
      <c r="AY52" s="785"/>
      <c r="AZ52" s="785"/>
      <c r="BA52" s="785"/>
      <c r="BB52" s="785"/>
      <c r="BC52" s="785"/>
      <c r="BD52" s="785"/>
      <c r="BE52" s="785"/>
      <c r="BF52" s="785"/>
      <c r="BG52" s="785"/>
      <c r="BH52" s="785"/>
      <c r="BI52" s="785"/>
      <c r="BJ52" s="785"/>
      <c r="BK52" s="785"/>
      <c r="BL52" s="785"/>
      <c r="BM52" s="785"/>
      <c r="BN52" s="785"/>
      <c r="BO52" s="785"/>
      <c r="BP52" s="785"/>
      <c r="BQ52" s="785"/>
      <c r="BR52" s="785"/>
      <c r="BS52" s="785"/>
      <c r="BT52" s="785"/>
    </row>
    <row r="53" spans="1:72">
      <c r="A53" s="1574" t="s">
        <v>761</v>
      </c>
      <c r="B53" s="1575"/>
      <c r="C53" s="1575"/>
      <c r="D53" s="1575"/>
      <c r="E53" s="1575"/>
      <c r="F53" s="1575"/>
      <c r="G53" s="1575"/>
      <c r="H53" s="1575"/>
      <c r="I53" s="1575"/>
      <c r="J53" s="1575"/>
      <c r="K53" s="1576"/>
      <c r="L53" s="785"/>
      <c r="M53" s="785"/>
      <c r="N53" s="785"/>
      <c r="O53" s="785"/>
      <c r="P53" s="785"/>
      <c r="Q53" s="785"/>
      <c r="R53" s="785"/>
      <c r="S53" s="785"/>
      <c r="T53" s="785"/>
      <c r="U53" s="785"/>
      <c r="V53" s="785"/>
      <c r="W53" s="785"/>
      <c r="X53" s="785"/>
      <c r="Y53" s="785"/>
      <c r="Z53" s="785"/>
      <c r="AA53" s="785"/>
      <c r="AB53" s="785"/>
      <c r="AC53" s="785"/>
      <c r="AD53" s="785"/>
      <c r="AE53" s="785"/>
      <c r="AF53" s="785"/>
      <c r="AG53" s="785"/>
      <c r="AH53" s="785"/>
      <c r="AI53" s="785"/>
      <c r="AJ53" s="785"/>
      <c r="AK53" s="785"/>
      <c r="AL53" s="785"/>
      <c r="AM53" s="785"/>
      <c r="AN53" s="785"/>
      <c r="AO53" s="785"/>
      <c r="AP53" s="785"/>
      <c r="AQ53" s="785"/>
      <c r="AR53" s="785"/>
      <c r="AS53" s="785"/>
      <c r="AT53" s="785"/>
      <c r="AU53" s="785"/>
      <c r="AV53" s="785"/>
      <c r="AW53" s="785"/>
      <c r="AX53" s="785"/>
      <c r="AY53" s="785"/>
      <c r="AZ53" s="785"/>
      <c r="BA53" s="785"/>
      <c r="BB53" s="785"/>
      <c r="BC53" s="785"/>
      <c r="BD53" s="785"/>
      <c r="BE53" s="785"/>
      <c r="BF53" s="785"/>
      <c r="BG53" s="785"/>
      <c r="BH53" s="785"/>
      <c r="BI53" s="785"/>
      <c r="BJ53" s="785"/>
      <c r="BK53" s="785"/>
      <c r="BL53" s="785"/>
      <c r="BM53" s="785"/>
      <c r="BN53" s="785"/>
      <c r="BO53" s="785"/>
      <c r="BP53" s="785"/>
      <c r="BQ53" s="785"/>
      <c r="BR53" s="785"/>
      <c r="BS53" s="785"/>
      <c r="BT53" s="785"/>
    </row>
    <row r="54" spans="1:72">
      <c r="A54" s="1577" t="s">
        <v>320</v>
      </c>
      <c r="B54" s="1578"/>
      <c r="C54" s="1578"/>
      <c r="D54" s="1578"/>
      <c r="E54" s="1578"/>
      <c r="F54" s="1578"/>
      <c r="G54" s="1578"/>
      <c r="H54" s="1578"/>
      <c r="I54" s="1578"/>
      <c r="J54" s="1578"/>
      <c r="K54" s="1579"/>
      <c r="L54" s="785"/>
      <c r="M54" s="785"/>
      <c r="N54" s="785"/>
      <c r="O54" s="785"/>
      <c r="P54" s="785"/>
      <c r="Q54" s="785"/>
      <c r="R54" s="785"/>
      <c r="S54" s="785"/>
      <c r="T54" s="785"/>
      <c r="U54" s="785"/>
      <c r="V54" s="785"/>
      <c r="W54" s="785"/>
      <c r="X54" s="785"/>
      <c r="Y54" s="785"/>
      <c r="Z54" s="785"/>
      <c r="AA54" s="785"/>
      <c r="AB54" s="785"/>
      <c r="AC54" s="785"/>
      <c r="AD54" s="785"/>
      <c r="AE54" s="785"/>
      <c r="AF54" s="785"/>
      <c r="AG54" s="785"/>
      <c r="AH54" s="785"/>
      <c r="AI54" s="785"/>
      <c r="AJ54" s="785"/>
      <c r="AK54" s="785"/>
      <c r="AL54" s="785"/>
      <c r="AM54" s="785"/>
      <c r="AN54" s="785"/>
      <c r="AO54" s="785"/>
      <c r="AP54" s="785"/>
      <c r="AQ54" s="785"/>
      <c r="AR54" s="785"/>
      <c r="AS54" s="785"/>
      <c r="AT54" s="785"/>
      <c r="AU54" s="785"/>
      <c r="AV54" s="785"/>
      <c r="AW54" s="785"/>
      <c r="AX54" s="785"/>
      <c r="AY54" s="785"/>
      <c r="AZ54" s="785"/>
      <c r="BA54" s="785"/>
      <c r="BB54" s="785"/>
      <c r="BC54" s="785"/>
      <c r="BD54" s="785"/>
      <c r="BE54" s="785"/>
      <c r="BF54" s="785"/>
      <c r="BG54" s="785"/>
      <c r="BH54" s="785"/>
      <c r="BI54" s="785"/>
      <c r="BJ54" s="785"/>
      <c r="BK54" s="785"/>
      <c r="BL54" s="785"/>
      <c r="BM54" s="785"/>
      <c r="BN54" s="785"/>
      <c r="BO54" s="785"/>
      <c r="BP54" s="785"/>
      <c r="BQ54" s="785"/>
      <c r="BR54" s="785"/>
      <c r="BS54" s="785"/>
      <c r="BT54" s="785"/>
    </row>
    <row r="55" spans="1:72">
      <c r="A55" s="1577"/>
      <c r="B55" s="1578"/>
      <c r="C55" s="1578"/>
      <c r="D55" s="1578"/>
      <c r="E55" s="1578"/>
      <c r="F55" s="1578"/>
      <c r="G55" s="1578"/>
      <c r="H55" s="1578"/>
      <c r="I55" s="1578"/>
      <c r="J55" s="1578"/>
      <c r="K55" s="1579"/>
      <c r="L55" s="785"/>
      <c r="M55" s="785"/>
      <c r="N55" s="785"/>
      <c r="O55" s="785"/>
      <c r="P55" s="785"/>
      <c r="Q55" s="785"/>
      <c r="R55" s="785"/>
      <c r="S55" s="785"/>
      <c r="T55" s="785"/>
      <c r="U55" s="785"/>
      <c r="V55" s="785"/>
      <c r="W55" s="785"/>
      <c r="X55" s="785"/>
      <c r="Y55" s="785"/>
      <c r="Z55" s="785"/>
      <c r="AA55" s="785"/>
      <c r="AB55" s="785"/>
      <c r="AC55" s="785"/>
      <c r="AD55" s="785"/>
      <c r="AE55" s="785"/>
      <c r="AF55" s="785"/>
      <c r="AG55" s="785"/>
      <c r="AH55" s="785"/>
      <c r="AI55" s="785"/>
      <c r="AJ55" s="785"/>
      <c r="AK55" s="785"/>
      <c r="AL55" s="785"/>
      <c r="AM55" s="785"/>
      <c r="AN55" s="785"/>
      <c r="AO55" s="785"/>
      <c r="AP55" s="785"/>
      <c r="AQ55" s="785"/>
      <c r="AR55" s="785"/>
      <c r="AS55" s="785"/>
      <c r="AT55" s="785"/>
      <c r="AU55" s="785"/>
      <c r="AV55" s="785"/>
      <c r="AW55" s="785"/>
      <c r="AX55" s="785"/>
      <c r="AY55" s="785"/>
      <c r="AZ55" s="785"/>
      <c r="BA55" s="785"/>
      <c r="BB55" s="785"/>
      <c r="BC55" s="785"/>
      <c r="BD55" s="785"/>
      <c r="BE55" s="785"/>
      <c r="BF55" s="785"/>
      <c r="BG55" s="785"/>
      <c r="BH55" s="785"/>
      <c r="BI55" s="785"/>
      <c r="BJ55" s="785"/>
      <c r="BK55" s="785"/>
      <c r="BL55" s="785"/>
      <c r="BM55" s="785"/>
      <c r="BN55" s="785"/>
      <c r="BO55" s="785"/>
      <c r="BP55" s="785"/>
      <c r="BQ55" s="785"/>
      <c r="BR55" s="785"/>
      <c r="BS55" s="785"/>
      <c r="BT55" s="785"/>
    </row>
    <row r="56" spans="1:72" ht="14" thickBot="1">
      <c r="A56" s="1567" t="s">
        <v>762</v>
      </c>
      <c r="B56" s="1568"/>
      <c r="C56" s="1568"/>
      <c r="D56" s="1568"/>
      <c r="E56" s="1568"/>
      <c r="F56" s="1568"/>
      <c r="G56" s="1568"/>
      <c r="H56" s="1568"/>
      <c r="I56" s="1568"/>
      <c r="J56" s="1568"/>
      <c r="K56" s="1569"/>
      <c r="L56" s="785"/>
      <c r="M56" s="785"/>
      <c r="N56" s="785"/>
      <c r="O56" s="785"/>
      <c r="P56" s="785"/>
      <c r="Q56" s="785"/>
      <c r="R56" s="785"/>
      <c r="S56" s="785"/>
      <c r="T56" s="785"/>
      <c r="U56" s="785"/>
      <c r="V56" s="785"/>
      <c r="W56" s="785"/>
      <c r="X56" s="785"/>
      <c r="Y56" s="785"/>
      <c r="Z56" s="785"/>
      <c r="AA56" s="785"/>
      <c r="AB56" s="785"/>
      <c r="AC56" s="785"/>
      <c r="AD56" s="785"/>
      <c r="AE56" s="785"/>
      <c r="AF56" s="785"/>
      <c r="AG56" s="785"/>
      <c r="AH56" s="785"/>
      <c r="AI56" s="785"/>
      <c r="AJ56" s="785"/>
      <c r="AK56" s="785"/>
      <c r="AL56" s="785"/>
      <c r="AM56" s="785"/>
      <c r="AN56" s="785"/>
      <c r="AO56" s="785"/>
      <c r="AP56" s="785"/>
      <c r="AQ56" s="785"/>
      <c r="AR56" s="785"/>
      <c r="AS56" s="785"/>
      <c r="AT56" s="785"/>
      <c r="AU56" s="785"/>
      <c r="AV56" s="785"/>
      <c r="AW56" s="785"/>
      <c r="AX56" s="785"/>
      <c r="AY56" s="785"/>
      <c r="AZ56" s="785"/>
      <c r="BA56" s="785"/>
      <c r="BB56" s="785"/>
      <c r="BC56" s="785"/>
      <c r="BD56" s="785"/>
      <c r="BE56" s="785"/>
      <c r="BF56" s="785"/>
      <c r="BG56" s="785"/>
      <c r="BH56" s="785"/>
      <c r="BI56" s="785"/>
      <c r="BJ56" s="785"/>
      <c r="BK56" s="785"/>
      <c r="BL56" s="785"/>
      <c r="BM56" s="785"/>
      <c r="BN56" s="785"/>
      <c r="BO56" s="785"/>
      <c r="BP56" s="785"/>
      <c r="BQ56" s="785"/>
      <c r="BR56" s="785"/>
      <c r="BS56" s="785"/>
      <c r="BT56" s="785"/>
    </row>
    <row r="57" spans="1:72">
      <c r="A57" s="786"/>
      <c r="B57" s="786"/>
      <c r="C57" s="786"/>
      <c r="D57" s="786"/>
      <c r="E57" s="786"/>
      <c r="F57" s="786"/>
      <c r="G57" s="786"/>
      <c r="H57" s="786"/>
      <c r="I57" s="786"/>
      <c r="J57" s="786"/>
      <c r="K57" s="786"/>
      <c r="L57" s="785"/>
      <c r="M57" s="785"/>
      <c r="N57" s="785"/>
      <c r="O57" s="785"/>
      <c r="P57" s="785"/>
      <c r="Q57" s="785"/>
      <c r="R57" s="785"/>
      <c r="S57" s="785"/>
      <c r="T57" s="785"/>
      <c r="U57" s="785"/>
      <c r="V57" s="785"/>
      <c r="W57" s="785"/>
      <c r="X57" s="785"/>
      <c r="Y57" s="785"/>
      <c r="Z57" s="785"/>
      <c r="AA57" s="785"/>
      <c r="AB57" s="785"/>
      <c r="AC57" s="785"/>
      <c r="AD57" s="785"/>
      <c r="AE57" s="785"/>
      <c r="AF57" s="785"/>
      <c r="AG57" s="785"/>
      <c r="AH57" s="785"/>
      <c r="AI57" s="785"/>
      <c r="AJ57" s="785"/>
      <c r="AK57" s="785"/>
      <c r="AL57" s="785"/>
      <c r="AM57" s="785"/>
      <c r="AN57" s="785"/>
      <c r="AO57" s="785"/>
      <c r="AP57" s="785"/>
      <c r="AQ57" s="785"/>
      <c r="AR57" s="785"/>
      <c r="AS57" s="785"/>
      <c r="AT57" s="785"/>
      <c r="AU57" s="785"/>
      <c r="AV57" s="785"/>
      <c r="AW57" s="785"/>
      <c r="AX57" s="785"/>
      <c r="AY57" s="785"/>
      <c r="AZ57" s="785"/>
      <c r="BA57" s="785"/>
      <c r="BB57" s="785"/>
      <c r="BC57" s="785"/>
      <c r="BD57" s="785"/>
      <c r="BE57" s="785"/>
      <c r="BF57" s="785"/>
      <c r="BG57" s="785"/>
      <c r="BH57" s="785"/>
      <c r="BI57" s="785"/>
      <c r="BJ57" s="785"/>
      <c r="BK57" s="785"/>
      <c r="BL57" s="785"/>
      <c r="BM57" s="785"/>
      <c r="BN57" s="785"/>
      <c r="BO57" s="785"/>
      <c r="BP57" s="785"/>
      <c r="BQ57" s="785"/>
      <c r="BR57" s="785"/>
      <c r="BS57" s="785"/>
      <c r="BT57" s="785"/>
    </row>
    <row r="58" spans="1:72">
      <c r="A58" s="785" t="s">
        <v>765</v>
      </c>
      <c r="B58" s="785"/>
      <c r="C58" s="785"/>
      <c r="D58" s="785"/>
      <c r="E58" s="785"/>
      <c r="F58" s="785"/>
      <c r="G58" s="785"/>
      <c r="H58" s="785"/>
      <c r="I58" s="785"/>
      <c r="J58" s="785"/>
      <c r="K58" s="785"/>
      <c r="L58" s="785"/>
      <c r="M58" s="785"/>
      <c r="N58" s="785"/>
      <c r="O58" s="785"/>
      <c r="P58" s="785"/>
      <c r="Q58" s="785"/>
      <c r="R58" s="785"/>
      <c r="S58" s="785"/>
      <c r="T58" s="785"/>
      <c r="U58" s="785"/>
      <c r="V58" s="785"/>
      <c r="W58" s="785"/>
      <c r="X58" s="785"/>
      <c r="Y58" s="785"/>
      <c r="Z58" s="785"/>
      <c r="AA58" s="785"/>
      <c r="AB58" s="785"/>
      <c r="AC58" s="785"/>
      <c r="AD58" s="785"/>
      <c r="AE58" s="785"/>
      <c r="AF58" s="785"/>
      <c r="AG58" s="785"/>
      <c r="AH58" s="785"/>
      <c r="AI58" s="785"/>
      <c r="AJ58" s="785"/>
      <c r="AK58" s="785"/>
      <c r="AL58" s="785"/>
      <c r="AM58" s="785"/>
      <c r="AN58" s="785"/>
      <c r="AO58" s="785"/>
      <c r="AP58" s="785"/>
      <c r="AQ58" s="785"/>
      <c r="AR58" s="785"/>
      <c r="AS58" s="785"/>
      <c r="AT58" s="785"/>
      <c r="AU58" s="785"/>
      <c r="AV58" s="785"/>
      <c r="AW58" s="785"/>
      <c r="AX58" s="785"/>
      <c r="AY58" s="785"/>
      <c r="AZ58" s="785"/>
      <c r="BA58" s="785"/>
      <c r="BB58" s="785"/>
      <c r="BC58" s="785"/>
      <c r="BD58" s="785"/>
      <c r="BE58" s="785"/>
      <c r="BF58" s="785"/>
      <c r="BG58" s="785"/>
      <c r="BH58" s="785"/>
      <c r="BI58" s="785"/>
      <c r="BJ58" s="785"/>
      <c r="BK58" s="785"/>
      <c r="BL58" s="785"/>
      <c r="BM58" s="785"/>
      <c r="BN58" s="785"/>
      <c r="BO58" s="785"/>
      <c r="BP58" s="785"/>
      <c r="BQ58" s="785"/>
      <c r="BR58" s="785"/>
      <c r="BS58" s="785"/>
      <c r="BT58" s="785"/>
    </row>
    <row r="59" spans="1:72">
      <c r="A59" s="785" t="s">
        <v>764</v>
      </c>
      <c r="B59" s="785">
        <v>19022</v>
      </c>
      <c r="C59" s="785"/>
      <c r="D59" s="785"/>
      <c r="E59" s="785"/>
      <c r="F59" s="785"/>
      <c r="G59" s="785"/>
      <c r="H59" s="785"/>
      <c r="I59" s="785"/>
      <c r="J59" s="785"/>
      <c r="K59" s="785"/>
      <c r="L59" s="785"/>
      <c r="M59" s="785"/>
      <c r="N59" s="785"/>
      <c r="O59" s="785"/>
      <c r="P59" s="785"/>
      <c r="Q59" s="785"/>
      <c r="R59" s="785"/>
      <c r="S59" s="785"/>
      <c r="T59" s="785"/>
      <c r="U59" s="785"/>
      <c r="V59" s="785"/>
      <c r="W59" s="785"/>
      <c r="X59" s="785"/>
      <c r="Y59" s="785"/>
      <c r="Z59" s="785"/>
      <c r="AA59" s="785"/>
      <c r="AB59" s="785"/>
      <c r="AC59" s="785"/>
      <c r="AD59" s="785"/>
      <c r="AE59" s="785"/>
      <c r="AF59" s="785"/>
      <c r="AG59" s="785"/>
      <c r="AH59" s="785"/>
      <c r="AI59" s="785"/>
      <c r="AJ59" s="785"/>
      <c r="AK59" s="785"/>
      <c r="AL59" s="785"/>
      <c r="AM59" s="785"/>
      <c r="AN59" s="785"/>
      <c r="AO59" s="785"/>
      <c r="AP59" s="785"/>
      <c r="AQ59" s="785"/>
      <c r="AR59" s="785"/>
      <c r="AS59" s="785"/>
      <c r="AT59" s="785"/>
      <c r="AU59" s="785"/>
      <c r="AV59" s="785"/>
      <c r="AW59" s="785"/>
      <c r="AX59" s="785"/>
      <c r="AY59" s="785"/>
      <c r="AZ59" s="785"/>
      <c r="BA59" s="785"/>
      <c r="BB59" s="785"/>
      <c r="BC59" s="785"/>
      <c r="BD59" s="785"/>
      <c r="BE59" s="785"/>
      <c r="BF59" s="785"/>
      <c r="BG59" s="785"/>
      <c r="BH59" s="785"/>
      <c r="BI59" s="785"/>
      <c r="BJ59" s="785"/>
      <c r="BK59" s="785"/>
      <c r="BL59" s="785"/>
      <c r="BM59" s="785"/>
      <c r="BN59" s="785"/>
      <c r="BO59" s="785"/>
      <c r="BP59" s="785"/>
      <c r="BQ59" s="785"/>
      <c r="BR59" s="785"/>
      <c r="BS59" s="785"/>
      <c r="BT59" s="785"/>
    </row>
    <row r="60" spans="1:72">
      <c r="A60" s="785" t="s">
        <v>763</v>
      </c>
      <c r="B60" s="785">
        <v>17700</v>
      </c>
      <c r="C60" s="785"/>
      <c r="D60" s="785"/>
      <c r="E60" s="785"/>
      <c r="F60" s="785"/>
      <c r="G60" s="785"/>
      <c r="H60" s="785"/>
      <c r="I60" s="785"/>
      <c r="J60" s="785"/>
      <c r="K60" s="785"/>
      <c r="L60" s="785"/>
      <c r="M60" s="785"/>
      <c r="N60" s="785"/>
      <c r="O60" s="785"/>
      <c r="P60" s="785"/>
      <c r="Q60" s="785"/>
      <c r="R60" s="785"/>
      <c r="S60" s="785"/>
      <c r="T60" s="785"/>
      <c r="U60" s="785"/>
      <c r="V60" s="785"/>
      <c r="W60" s="785"/>
      <c r="X60" s="785"/>
      <c r="Y60" s="785"/>
      <c r="Z60" s="785"/>
      <c r="AA60" s="785"/>
      <c r="AB60" s="785"/>
      <c r="AC60" s="785"/>
      <c r="AD60" s="785"/>
      <c r="AE60" s="785"/>
      <c r="AF60" s="785"/>
      <c r="AG60" s="785"/>
      <c r="AH60" s="785"/>
      <c r="AI60" s="785"/>
      <c r="AJ60" s="785"/>
      <c r="AK60" s="785"/>
      <c r="AL60" s="785"/>
      <c r="AM60" s="785"/>
      <c r="AN60" s="785"/>
      <c r="AO60" s="785"/>
      <c r="AP60" s="785"/>
      <c r="AQ60" s="785"/>
      <c r="AR60" s="785"/>
      <c r="AS60" s="785"/>
      <c r="AT60" s="785"/>
      <c r="AU60" s="785"/>
      <c r="AV60" s="785"/>
      <c r="AW60" s="785"/>
      <c r="AX60" s="785"/>
      <c r="AY60" s="785"/>
      <c r="AZ60" s="785"/>
      <c r="BA60" s="785"/>
      <c r="BB60" s="785"/>
      <c r="BC60" s="785"/>
      <c r="BD60" s="785"/>
      <c r="BE60" s="785"/>
      <c r="BF60" s="785"/>
      <c r="BG60" s="785"/>
      <c r="BH60" s="785"/>
      <c r="BI60" s="785"/>
      <c r="BJ60" s="785"/>
      <c r="BK60" s="785"/>
      <c r="BL60" s="785"/>
      <c r="BM60" s="785"/>
      <c r="BN60" s="785"/>
      <c r="BO60" s="785"/>
      <c r="BP60" s="785"/>
      <c r="BQ60" s="785"/>
      <c r="BR60" s="785"/>
      <c r="BS60" s="785"/>
      <c r="BT60" s="785"/>
    </row>
    <row r="61" spans="1:72">
      <c r="A61" s="785" t="s">
        <v>766</v>
      </c>
      <c r="B61" s="785">
        <f>2.205/2000/B60*mmBTU_to_GJ*1000000</f>
        <v>6.5713983050847455E-2</v>
      </c>
      <c r="C61" s="785"/>
      <c r="D61" s="785"/>
      <c r="E61" s="785"/>
      <c r="F61" s="785"/>
      <c r="G61" s="785"/>
      <c r="H61" s="785"/>
      <c r="I61" s="785"/>
      <c r="J61" s="785"/>
      <c r="K61" s="785"/>
      <c r="L61" s="785"/>
      <c r="M61" s="785"/>
      <c r="N61" s="785"/>
      <c r="O61" s="785"/>
      <c r="P61" s="785"/>
      <c r="Q61" s="785"/>
      <c r="R61" s="785"/>
      <c r="S61" s="785"/>
      <c r="T61" s="785"/>
      <c r="U61" s="785"/>
      <c r="V61" s="785"/>
      <c r="W61" s="785"/>
      <c r="X61" s="785"/>
      <c r="Y61" s="785"/>
      <c r="Z61" s="785"/>
      <c r="AA61" s="785"/>
      <c r="AB61" s="785"/>
      <c r="AC61" s="785"/>
      <c r="AD61" s="785"/>
      <c r="AE61" s="785"/>
      <c r="AF61" s="785"/>
      <c r="AG61" s="785"/>
      <c r="AH61" s="785"/>
      <c r="AI61" s="785"/>
      <c r="AJ61" s="785"/>
      <c r="AK61" s="785"/>
      <c r="AL61" s="785"/>
      <c r="AM61" s="785"/>
      <c r="AN61" s="785"/>
      <c r="AO61" s="785"/>
      <c r="AP61" s="785"/>
      <c r="AQ61" s="785"/>
      <c r="AR61" s="785"/>
      <c r="AS61" s="785"/>
      <c r="AT61" s="785"/>
      <c r="AU61" s="785"/>
      <c r="AV61" s="785"/>
      <c r="AW61" s="785"/>
      <c r="AX61" s="785"/>
      <c r="AY61" s="785"/>
      <c r="AZ61" s="785"/>
      <c r="BA61" s="785"/>
      <c r="BB61" s="785"/>
      <c r="BC61" s="785"/>
      <c r="BD61" s="785"/>
      <c r="BE61" s="785"/>
      <c r="BF61" s="785"/>
      <c r="BG61" s="785"/>
      <c r="BH61" s="785"/>
      <c r="BI61" s="785"/>
      <c r="BJ61" s="785"/>
      <c r="BK61" s="785"/>
      <c r="BL61" s="785"/>
      <c r="BM61" s="785"/>
      <c r="BN61" s="785"/>
      <c r="BO61" s="785"/>
      <c r="BP61" s="785"/>
      <c r="BQ61" s="785"/>
      <c r="BR61" s="785"/>
      <c r="BS61" s="785"/>
      <c r="BT61" s="785"/>
    </row>
    <row r="62" spans="1:72">
      <c r="A62" s="785"/>
      <c r="B62" s="785"/>
      <c r="C62" s="785"/>
      <c r="D62" s="785"/>
      <c r="E62" s="785"/>
      <c r="F62" s="785"/>
      <c r="G62" s="785"/>
      <c r="H62" s="785"/>
      <c r="I62" s="785"/>
      <c r="J62" s="785"/>
      <c r="K62" s="785"/>
      <c r="L62" s="785"/>
      <c r="M62" s="785"/>
      <c r="N62" s="785"/>
      <c r="O62" s="785"/>
      <c r="P62" s="785"/>
      <c r="Q62" s="785"/>
      <c r="R62" s="785"/>
      <c r="S62" s="785"/>
      <c r="T62" s="785"/>
      <c r="U62" s="785"/>
      <c r="V62" s="785"/>
      <c r="W62" s="785"/>
      <c r="X62" s="785"/>
      <c r="Y62" s="785"/>
      <c r="Z62" s="785"/>
      <c r="AA62" s="785"/>
      <c r="AB62" s="785"/>
      <c r="AC62" s="785"/>
      <c r="AD62" s="785"/>
      <c r="AE62" s="785"/>
      <c r="AF62" s="785"/>
      <c r="AG62" s="785"/>
      <c r="AH62" s="785"/>
      <c r="AI62" s="785"/>
      <c r="AJ62" s="785"/>
      <c r="AK62" s="785"/>
      <c r="AL62" s="785"/>
      <c r="AM62" s="785"/>
      <c r="AN62" s="785"/>
      <c r="AO62" s="785"/>
      <c r="AP62" s="785"/>
      <c r="AQ62" s="785"/>
      <c r="AR62" s="785"/>
      <c r="AS62" s="785"/>
      <c r="AT62" s="785"/>
      <c r="AU62" s="785"/>
      <c r="AV62" s="785"/>
      <c r="AW62" s="785"/>
      <c r="AX62" s="785"/>
      <c r="AY62" s="785"/>
      <c r="AZ62" s="785"/>
      <c r="BA62" s="785"/>
      <c r="BB62" s="785"/>
      <c r="BC62" s="785"/>
      <c r="BD62" s="785"/>
      <c r="BE62" s="785"/>
      <c r="BF62" s="785"/>
      <c r="BG62" s="785"/>
      <c r="BH62" s="785"/>
      <c r="BI62" s="785"/>
      <c r="BJ62" s="785"/>
      <c r="BK62" s="785"/>
      <c r="BL62" s="785"/>
      <c r="BM62" s="785"/>
      <c r="BN62" s="785"/>
      <c r="BO62" s="785"/>
      <c r="BP62" s="785"/>
      <c r="BQ62" s="785"/>
      <c r="BR62" s="785"/>
      <c r="BS62" s="785"/>
      <c r="BT62" s="785"/>
    </row>
    <row r="63" spans="1:72">
      <c r="A63" s="785"/>
      <c r="B63" s="785"/>
      <c r="C63" s="785"/>
      <c r="D63" s="785"/>
      <c r="E63" s="785"/>
      <c r="F63" s="785"/>
      <c r="G63" s="785"/>
      <c r="H63" s="785"/>
      <c r="I63" s="785"/>
      <c r="J63" s="785"/>
      <c r="K63" s="785"/>
      <c r="L63" s="785"/>
      <c r="M63" s="785"/>
      <c r="N63" s="785"/>
      <c r="O63" s="785"/>
      <c r="P63" s="785"/>
      <c r="Q63" s="785"/>
      <c r="R63" s="785"/>
      <c r="S63" s="785"/>
      <c r="T63" s="785"/>
      <c r="U63" s="785"/>
      <c r="V63" s="785"/>
      <c r="W63" s="785"/>
      <c r="X63" s="785"/>
      <c r="Y63" s="785"/>
      <c r="Z63" s="785"/>
      <c r="AA63" s="785"/>
      <c r="AB63" s="785"/>
      <c r="AC63" s="785"/>
      <c r="AD63" s="785"/>
      <c r="AE63" s="785"/>
      <c r="AF63" s="785"/>
      <c r="AG63" s="785"/>
      <c r="AH63" s="785"/>
      <c r="AI63" s="785"/>
      <c r="AJ63" s="785"/>
      <c r="AK63" s="785"/>
      <c r="AL63" s="785"/>
      <c r="AM63" s="785"/>
      <c r="AN63" s="785"/>
      <c r="AO63" s="785"/>
      <c r="AP63" s="785"/>
      <c r="AQ63" s="785"/>
      <c r="AR63" s="785"/>
      <c r="AS63" s="785"/>
      <c r="AT63" s="785"/>
      <c r="AU63" s="785"/>
      <c r="AV63" s="785"/>
      <c r="AW63" s="785"/>
      <c r="AX63" s="785"/>
      <c r="AY63" s="785"/>
      <c r="AZ63" s="785"/>
      <c r="BA63" s="785"/>
      <c r="BB63" s="785"/>
      <c r="BC63" s="785"/>
      <c r="BD63" s="785"/>
      <c r="BE63" s="785"/>
      <c r="BF63" s="785"/>
      <c r="BG63" s="785"/>
      <c r="BH63" s="785"/>
      <c r="BI63" s="785"/>
      <c r="BJ63" s="785"/>
      <c r="BK63" s="785"/>
      <c r="BL63" s="785"/>
      <c r="BM63" s="785"/>
      <c r="BN63" s="785"/>
      <c r="BO63" s="785"/>
      <c r="BP63" s="785"/>
      <c r="BQ63" s="785"/>
      <c r="BR63" s="785"/>
      <c r="BS63" s="785"/>
      <c r="BT63" s="785"/>
    </row>
    <row r="64" spans="1:72">
      <c r="A64" s="785"/>
      <c r="B64" s="785" t="s">
        <v>772</v>
      </c>
      <c r="C64" s="785" t="s">
        <v>773</v>
      </c>
      <c r="D64" s="785"/>
      <c r="E64" s="785"/>
      <c r="F64" s="785"/>
      <c r="G64" s="785"/>
      <c r="H64" s="785"/>
      <c r="I64" s="785"/>
      <c r="J64" s="785"/>
      <c r="K64" s="785"/>
      <c r="L64" s="785"/>
      <c r="M64" s="785"/>
      <c r="N64" s="785"/>
      <c r="O64" s="785"/>
      <c r="P64" s="785"/>
      <c r="Q64" s="785"/>
      <c r="R64" s="785"/>
      <c r="S64" s="785"/>
      <c r="T64" s="785"/>
      <c r="U64" s="785"/>
      <c r="V64" s="785"/>
      <c r="W64" s="785"/>
      <c r="X64" s="785"/>
      <c r="Y64" s="785"/>
      <c r="Z64" s="785"/>
      <c r="AA64" s="785"/>
      <c r="AB64" s="785"/>
      <c r="AC64" s="785"/>
      <c r="AD64" s="785"/>
      <c r="AE64" s="785"/>
      <c r="AF64" s="785"/>
      <c r="AG64" s="785"/>
      <c r="AH64" s="785"/>
      <c r="AI64" s="785"/>
      <c r="AJ64" s="785"/>
      <c r="AK64" s="785"/>
      <c r="AL64" s="785"/>
      <c r="AM64" s="785"/>
      <c r="AN64" s="785"/>
      <c r="AO64" s="785"/>
      <c r="AP64" s="785"/>
      <c r="AQ64" s="785"/>
      <c r="AR64" s="785"/>
      <c r="AS64" s="785"/>
      <c r="AT64" s="785"/>
      <c r="AU64" s="785"/>
      <c r="AV64" s="785"/>
      <c r="AW64" s="785"/>
      <c r="AX64" s="785"/>
      <c r="AY64" s="785"/>
      <c r="AZ64" s="785"/>
      <c r="BA64" s="785"/>
      <c r="BB64" s="785"/>
      <c r="BC64" s="785"/>
      <c r="BD64" s="785"/>
      <c r="BE64" s="785"/>
      <c r="BF64" s="785"/>
      <c r="BG64" s="785"/>
      <c r="BH64" s="785"/>
      <c r="BI64" s="785"/>
      <c r="BJ64" s="785"/>
      <c r="BK64" s="785"/>
      <c r="BL64" s="785"/>
      <c r="BM64" s="785"/>
      <c r="BN64" s="785"/>
      <c r="BO64" s="785"/>
      <c r="BP64" s="785"/>
      <c r="BQ64" s="785"/>
      <c r="BR64" s="785"/>
      <c r="BS64" s="785"/>
      <c r="BT64" s="785"/>
    </row>
    <row r="65" spans="1:72">
      <c r="A65" s="785"/>
      <c r="B65" s="785" t="s">
        <v>774</v>
      </c>
      <c r="C65" s="785" t="s">
        <v>775</v>
      </c>
      <c r="D65" s="785"/>
      <c r="E65" s="785"/>
      <c r="F65" s="785" t="s">
        <v>776</v>
      </c>
      <c r="G65" s="785"/>
      <c r="H65" s="785"/>
      <c r="I65" s="785"/>
      <c r="J65" s="785"/>
      <c r="K65" s="785"/>
      <c r="L65" s="785"/>
      <c r="M65" s="785"/>
      <c r="N65" s="785"/>
      <c r="O65" s="785"/>
      <c r="P65" s="785"/>
      <c r="Q65" s="785"/>
      <c r="R65" s="785"/>
      <c r="S65" s="785"/>
      <c r="T65" s="785"/>
      <c r="U65" s="785"/>
      <c r="V65" s="785"/>
      <c r="W65" s="785"/>
      <c r="X65" s="785"/>
      <c r="Y65" s="785"/>
      <c r="Z65" s="785"/>
      <c r="AA65" s="785"/>
      <c r="AB65" s="785"/>
      <c r="AC65" s="785"/>
      <c r="AD65" s="785"/>
      <c r="AE65" s="785"/>
      <c r="AF65" s="785"/>
      <c r="AG65" s="785"/>
      <c r="AH65" s="785"/>
      <c r="AI65" s="785"/>
      <c r="AJ65" s="785"/>
      <c r="AK65" s="785"/>
      <c r="AL65" s="785"/>
      <c r="AM65" s="785"/>
      <c r="AN65" s="785"/>
      <c r="AO65" s="785"/>
      <c r="AP65" s="785"/>
      <c r="AQ65" s="785"/>
      <c r="AR65" s="785"/>
      <c r="AS65" s="785"/>
      <c r="AT65" s="785"/>
      <c r="AU65" s="785"/>
      <c r="AV65" s="785"/>
      <c r="AW65" s="785"/>
      <c r="AX65" s="785"/>
      <c r="AY65" s="785"/>
      <c r="AZ65" s="785"/>
      <c r="BA65" s="785"/>
      <c r="BB65" s="785"/>
      <c r="BC65" s="785"/>
      <c r="BD65" s="785"/>
      <c r="BE65" s="785"/>
      <c r="BF65" s="785"/>
      <c r="BG65" s="785"/>
      <c r="BH65" s="785"/>
      <c r="BI65" s="785"/>
      <c r="BJ65" s="785"/>
      <c r="BK65" s="785"/>
      <c r="BL65" s="785"/>
      <c r="BM65" s="785"/>
      <c r="BN65" s="785"/>
      <c r="BO65" s="785"/>
      <c r="BP65" s="785"/>
      <c r="BQ65" s="785"/>
      <c r="BR65" s="785"/>
      <c r="BS65" s="785"/>
      <c r="BT65" s="785"/>
    </row>
    <row r="66" spans="1:72">
      <c r="A66" s="785"/>
      <c r="B66" s="785" t="s">
        <v>777</v>
      </c>
      <c r="C66" s="785" t="s">
        <v>778</v>
      </c>
      <c r="D66" s="785"/>
      <c r="E66" s="785"/>
      <c r="F66" s="785"/>
      <c r="G66" s="785"/>
      <c r="H66" s="785"/>
      <c r="I66" s="785"/>
      <c r="J66" s="785"/>
      <c r="K66" s="785"/>
      <c r="L66" s="785"/>
      <c r="M66" s="785"/>
      <c r="N66" s="785"/>
      <c r="O66" s="785"/>
      <c r="P66" s="785"/>
      <c r="Q66" s="785"/>
      <c r="R66" s="785"/>
      <c r="S66" s="785"/>
      <c r="T66" s="785"/>
      <c r="U66" s="785"/>
      <c r="V66" s="785"/>
      <c r="W66" s="785"/>
      <c r="X66" s="785"/>
      <c r="Y66" s="785"/>
      <c r="Z66" s="785"/>
      <c r="AA66" s="785"/>
      <c r="AB66" s="785"/>
      <c r="AC66" s="785"/>
      <c r="AD66" s="785"/>
      <c r="AE66" s="785"/>
      <c r="AF66" s="785"/>
      <c r="AG66" s="785"/>
      <c r="AH66" s="785"/>
      <c r="AI66" s="785"/>
      <c r="AJ66" s="785"/>
      <c r="AK66" s="785"/>
      <c r="AL66" s="785"/>
      <c r="AM66" s="785"/>
      <c r="AN66" s="785"/>
      <c r="AO66" s="785"/>
      <c r="AP66" s="785"/>
      <c r="AQ66" s="785"/>
      <c r="AR66" s="785"/>
      <c r="AS66" s="785"/>
      <c r="AT66" s="785"/>
      <c r="AU66" s="785"/>
      <c r="AV66" s="785"/>
      <c r="AW66" s="785"/>
      <c r="AX66" s="785"/>
      <c r="AY66" s="785"/>
      <c r="AZ66" s="785"/>
      <c r="BA66" s="785"/>
      <c r="BB66" s="785"/>
      <c r="BC66" s="785"/>
      <c r="BD66" s="785"/>
      <c r="BE66" s="785"/>
      <c r="BF66" s="785"/>
      <c r="BG66" s="785"/>
      <c r="BH66" s="785"/>
      <c r="BI66" s="785"/>
      <c r="BJ66" s="785"/>
      <c r="BK66" s="785"/>
      <c r="BL66" s="785"/>
      <c r="BM66" s="785"/>
      <c r="BN66" s="785"/>
      <c r="BO66" s="785"/>
      <c r="BP66" s="785"/>
      <c r="BQ66" s="785"/>
      <c r="BR66" s="785"/>
      <c r="BS66" s="785"/>
      <c r="BT66" s="785"/>
    </row>
    <row r="67" spans="1:72">
      <c r="A67" s="785"/>
      <c r="B67" s="785" t="s">
        <v>779</v>
      </c>
      <c r="C67" s="785"/>
      <c r="D67" s="785" t="s">
        <v>780</v>
      </c>
      <c r="E67" s="785"/>
      <c r="F67" s="785"/>
      <c r="G67" s="785"/>
      <c r="H67" s="785"/>
      <c r="I67" s="785"/>
      <c r="J67" s="785"/>
      <c r="K67" s="785"/>
      <c r="L67" s="785"/>
      <c r="M67" s="785"/>
      <c r="N67" s="785"/>
      <c r="O67" s="785"/>
      <c r="P67" s="785"/>
      <c r="Q67" s="785"/>
      <c r="R67" s="785"/>
      <c r="S67" s="785"/>
      <c r="T67" s="785"/>
      <c r="U67" s="785"/>
      <c r="V67" s="785"/>
      <c r="W67" s="785"/>
      <c r="X67" s="785"/>
      <c r="Y67" s="785"/>
      <c r="Z67" s="785"/>
      <c r="AA67" s="785"/>
      <c r="AB67" s="785"/>
      <c r="AC67" s="785"/>
      <c r="AD67" s="785"/>
      <c r="AE67" s="785"/>
      <c r="AF67" s="785"/>
      <c r="AG67" s="785"/>
      <c r="AH67" s="785"/>
      <c r="AI67" s="785"/>
      <c r="AJ67" s="785"/>
      <c r="AK67" s="785"/>
      <c r="AL67" s="785"/>
      <c r="AM67" s="785"/>
      <c r="AN67" s="785"/>
      <c r="AO67" s="785"/>
      <c r="AP67" s="785"/>
      <c r="AQ67" s="785"/>
      <c r="AR67" s="785"/>
      <c r="AS67" s="785"/>
      <c r="AT67" s="785"/>
      <c r="AU67" s="785"/>
      <c r="AV67" s="785"/>
      <c r="AW67" s="785"/>
      <c r="AX67" s="785"/>
      <c r="AY67" s="785"/>
      <c r="AZ67" s="785"/>
      <c r="BA67" s="785"/>
      <c r="BB67" s="785"/>
      <c r="BC67" s="785"/>
      <c r="BD67" s="785"/>
      <c r="BE67" s="785"/>
      <c r="BF67" s="785"/>
      <c r="BG67" s="785"/>
      <c r="BH67" s="785"/>
      <c r="BI67" s="785"/>
      <c r="BJ67" s="785"/>
      <c r="BK67" s="785"/>
      <c r="BL67" s="785"/>
      <c r="BM67" s="785"/>
      <c r="BN67" s="785"/>
      <c r="BO67" s="785"/>
      <c r="BP67" s="785"/>
      <c r="BQ67" s="785"/>
      <c r="BR67" s="785"/>
      <c r="BS67" s="785"/>
      <c r="BT67" s="785"/>
    </row>
    <row r="68" spans="1:72">
      <c r="A68" s="785"/>
      <c r="B68" s="785"/>
      <c r="C68" s="785"/>
      <c r="D68" s="785"/>
      <c r="E68" s="785"/>
      <c r="F68" s="785"/>
      <c r="G68" s="785"/>
      <c r="H68" s="785"/>
      <c r="I68" s="785"/>
      <c r="J68" s="785"/>
      <c r="K68" s="785"/>
      <c r="L68" s="785"/>
      <c r="M68" s="785"/>
      <c r="N68" s="785"/>
      <c r="O68" s="785"/>
      <c r="P68" s="785"/>
      <c r="Q68" s="785"/>
      <c r="R68" s="785"/>
      <c r="S68" s="785"/>
      <c r="T68" s="785"/>
      <c r="U68" s="785"/>
      <c r="V68" s="785"/>
      <c r="W68" s="785"/>
      <c r="X68" s="785"/>
      <c r="Y68" s="785"/>
      <c r="Z68" s="785"/>
      <c r="AA68" s="785"/>
      <c r="AB68" s="785"/>
      <c r="AC68" s="785"/>
      <c r="AD68" s="785"/>
      <c r="AE68" s="785"/>
      <c r="AF68" s="785"/>
      <c r="AG68" s="785"/>
      <c r="AH68" s="785"/>
      <c r="AI68" s="785"/>
      <c r="AJ68" s="785"/>
      <c r="AK68" s="785"/>
      <c r="AL68" s="785"/>
      <c r="AM68" s="785"/>
      <c r="AN68" s="785"/>
      <c r="AO68" s="785"/>
      <c r="AP68" s="785"/>
      <c r="AQ68" s="785"/>
      <c r="AR68" s="785"/>
      <c r="AS68" s="785"/>
      <c r="AT68" s="785"/>
      <c r="AU68" s="785"/>
      <c r="AV68" s="785"/>
      <c r="AW68" s="785"/>
      <c r="AX68" s="785"/>
      <c r="AY68" s="785"/>
      <c r="AZ68" s="785"/>
      <c r="BA68" s="785"/>
      <c r="BB68" s="785"/>
      <c r="BC68" s="785"/>
      <c r="BD68" s="785"/>
      <c r="BE68" s="785"/>
      <c r="BF68" s="785"/>
      <c r="BG68" s="785"/>
      <c r="BH68" s="785"/>
      <c r="BI68" s="785"/>
      <c r="BJ68" s="785"/>
      <c r="BK68" s="785"/>
      <c r="BL68" s="785"/>
      <c r="BM68" s="785"/>
      <c r="BN68" s="785"/>
      <c r="BO68" s="785"/>
      <c r="BP68" s="785"/>
      <c r="BQ68" s="785"/>
      <c r="BR68" s="785"/>
      <c r="BS68" s="785"/>
      <c r="BT68" s="785"/>
    </row>
    <row r="69" spans="1:72">
      <c r="A69" s="785"/>
      <c r="B69" s="785"/>
      <c r="C69" s="785"/>
      <c r="D69" s="785"/>
      <c r="E69" s="785"/>
      <c r="F69" s="785"/>
      <c r="G69" s="785"/>
      <c r="H69" s="785"/>
      <c r="I69" s="785"/>
      <c r="J69" s="785"/>
      <c r="K69" s="785"/>
      <c r="L69" s="785"/>
      <c r="M69" s="785"/>
      <c r="N69" s="785"/>
      <c r="O69" s="785"/>
      <c r="P69" s="785"/>
      <c r="Q69" s="785"/>
      <c r="R69" s="785"/>
      <c r="S69" s="785"/>
      <c r="T69" s="785"/>
      <c r="U69" s="785"/>
      <c r="V69" s="785"/>
      <c r="W69" s="785"/>
      <c r="X69" s="785"/>
      <c r="Y69" s="785"/>
      <c r="Z69" s="785"/>
      <c r="AA69" s="785"/>
      <c r="AB69" s="785"/>
      <c r="AC69" s="785"/>
      <c r="AD69" s="785"/>
      <c r="AE69" s="785"/>
      <c r="AF69" s="785"/>
      <c r="AG69" s="785"/>
      <c r="AH69" s="785"/>
      <c r="AI69" s="785"/>
      <c r="AJ69" s="785"/>
      <c r="AK69" s="785"/>
      <c r="AL69" s="785"/>
      <c r="AM69" s="785"/>
      <c r="AN69" s="785"/>
      <c r="AO69" s="785"/>
      <c r="AP69" s="785"/>
      <c r="AQ69" s="785"/>
      <c r="AR69" s="785"/>
      <c r="AS69" s="785"/>
      <c r="AT69" s="785"/>
      <c r="AU69" s="785"/>
      <c r="AV69" s="785"/>
      <c r="AW69" s="785"/>
      <c r="AX69" s="785"/>
      <c r="AY69" s="785"/>
      <c r="AZ69" s="785"/>
      <c r="BA69" s="785"/>
      <c r="BB69" s="785"/>
      <c r="BC69" s="785"/>
      <c r="BD69" s="785"/>
      <c r="BE69" s="785"/>
      <c r="BF69" s="785"/>
      <c r="BG69" s="785"/>
      <c r="BH69" s="785"/>
      <c r="BI69" s="785"/>
      <c r="BJ69" s="785"/>
      <c r="BK69" s="785"/>
      <c r="BL69" s="785"/>
      <c r="BM69" s="785"/>
      <c r="BN69" s="785"/>
      <c r="BO69" s="785"/>
      <c r="BP69" s="785"/>
      <c r="BQ69" s="785"/>
      <c r="BR69" s="785"/>
      <c r="BS69" s="785"/>
      <c r="BT69" s="785"/>
    </row>
    <row r="70" spans="1:72">
      <c r="A70" s="785"/>
      <c r="B70" s="785"/>
      <c r="C70" s="785"/>
      <c r="D70" s="785"/>
      <c r="E70" s="785"/>
      <c r="F70" s="785"/>
      <c r="G70" s="785"/>
      <c r="H70" s="785"/>
      <c r="I70" s="785"/>
      <c r="J70" s="785"/>
      <c r="K70" s="785"/>
      <c r="L70" s="785"/>
      <c r="M70" s="785"/>
      <c r="N70" s="785"/>
      <c r="O70" s="785"/>
      <c r="P70" s="785"/>
      <c r="Q70" s="785"/>
      <c r="R70" s="785"/>
      <c r="S70" s="785"/>
      <c r="T70" s="785"/>
      <c r="U70" s="785"/>
      <c r="V70" s="785"/>
      <c r="W70" s="785"/>
      <c r="X70" s="785"/>
      <c r="Y70" s="785"/>
      <c r="Z70" s="785"/>
      <c r="AA70" s="785"/>
      <c r="AB70" s="785"/>
      <c r="AC70" s="785"/>
      <c r="AD70" s="785"/>
      <c r="AE70" s="785"/>
      <c r="AF70" s="785"/>
      <c r="AG70" s="785"/>
      <c r="AH70" s="785"/>
      <c r="AI70" s="785"/>
      <c r="AJ70" s="785"/>
      <c r="AK70" s="785"/>
      <c r="AL70" s="785"/>
      <c r="AM70" s="785"/>
      <c r="AN70" s="785"/>
      <c r="AO70" s="785"/>
      <c r="AP70" s="785"/>
      <c r="AQ70" s="785"/>
      <c r="AR70" s="785"/>
      <c r="AS70" s="785"/>
      <c r="AT70" s="785"/>
      <c r="AU70" s="785"/>
      <c r="AV70" s="785"/>
      <c r="AW70" s="785"/>
      <c r="AX70" s="785"/>
      <c r="AY70" s="785"/>
      <c r="AZ70" s="785"/>
      <c r="BA70" s="785"/>
      <c r="BB70" s="785"/>
      <c r="BC70" s="785"/>
      <c r="BD70" s="785"/>
      <c r="BE70" s="785"/>
      <c r="BF70" s="785"/>
      <c r="BG70" s="785"/>
      <c r="BH70" s="785"/>
      <c r="BI70" s="785"/>
      <c r="BJ70" s="785"/>
      <c r="BK70" s="785"/>
      <c r="BL70" s="785"/>
      <c r="BM70" s="785"/>
      <c r="BN70" s="785"/>
      <c r="BO70" s="785"/>
      <c r="BP70" s="785"/>
      <c r="BQ70" s="785"/>
      <c r="BR70" s="785"/>
      <c r="BS70" s="785"/>
      <c r="BT70" s="785"/>
    </row>
    <row r="71" spans="1:72">
      <c r="A71" s="785"/>
      <c r="B71" s="785"/>
      <c r="C71" s="785"/>
      <c r="D71" s="785"/>
      <c r="E71" s="785"/>
      <c r="F71" s="785"/>
      <c r="G71" s="785"/>
      <c r="H71" s="785"/>
      <c r="I71" s="785"/>
      <c r="J71" s="785"/>
      <c r="K71" s="785"/>
      <c r="L71" s="785"/>
      <c r="M71" s="785"/>
      <c r="N71" s="785"/>
      <c r="O71" s="785"/>
      <c r="P71" s="785"/>
      <c r="Q71" s="785"/>
      <c r="R71" s="785"/>
      <c r="S71" s="785"/>
      <c r="T71" s="785"/>
      <c r="U71" s="785"/>
      <c r="V71" s="785"/>
      <c r="W71" s="785"/>
      <c r="X71" s="785"/>
      <c r="Y71" s="785"/>
      <c r="Z71" s="785"/>
      <c r="AA71" s="785"/>
      <c r="AB71" s="785"/>
      <c r="AC71" s="785"/>
      <c r="AD71" s="785"/>
      <c r="AE71" s="785"/>
      <c r="AF71" s="785"/>
      <c r="AG71" s="785"/>
      <c r="AH71" s="785"/>
      <c r="AI71" s="785"/>
      <c r="AJ71" s="785"/>
      <c r="AK71" s="785"/>
      <c r="AL71" s="785"/>
      <c r="AM71" s="785"/>
      <c r="AN71" s="785"/>
      <c r="AO71" s="785"/>
      <c r="AP71" s="785"/>
      <c r="AQ71" s="785"/>
      <c r="AR71" s="785"/>
      <c r="AS71" s="785"/>
      <c r="AT71" s="785"/>
      <c r="AU71" s="785"/>
      <c r="AV71" s="785"/>
      <c r="AW71" s="785"/>
      <c r="AX71" s="785"/>
      <c r="AY71" s="785"/>
      <c r="AZ71" s="785"/>
      <c r="BA71" s="785"/>
      <c r="BB71" s="785"/>
      <c r="BC71" s="785"/>
      <c r="BD71" s="785"/>
      <c r="BE71" s="785"/>
      <c r="BF71" s="785"/>
      <c r="BG71" s="785"/>
      <c r="BH71" s="785"/>
      <c r="BI71" s="785"/>
      <c r="BJ71" s="785"/>
      <c r="BK71" s="785"/>
      <c r="BL71" s="785"/>
      <c r="BM71" s="785"/>
      <c r="BN71" s="785"/>
      <c r="BO71" s="785"/>
      <c r="BP71" s="785"/>
      <c r="BQ71" s="785"/>
      <c r="BR71" s="785"/>
      <c r="BS71" s="785"/>
      <c r="BT71" s="785"/>
    </row>
    <row r="72" spans="1:72">
      <c r="A72" s="785" t="s">
        <v>781</v>
      </c>
      <c r="B72" s="785"/>
      <c r="C72" s="785"/>
      <c r="D72" s="785"/>
      <c r="E72" s="785"/>
      <c r="F72" s="785"/>
      <c r="G72" s="785"/>
      <c r="H72" s="785"/>
      <c r="I72" s="785"/>
      <c r="J72" s="785"/>
      <c r="K72" s="785"/>
      <c r="L72" s="785"/>
      <c r="M72" s="785"/>
      <c r="N72" s="785"/>
      <c r="O72" s="785"/>
      <c r="P72" s="785"/>
      <c r="Q72" s="785"/>
      <c r="R72" s="785"/>
      <c r="S72" s="785"/>
      <c r="T72" s="785"/>
      <c r="U72" s="785"/>
      <c r="V72" s="785"/>
      <c r="W72" s="785"/>
      <c r="X72" s="785"/>
      <c r="Y72" s="785"/>
      <c r="Z72" s="785"/>
      <c r="AA72" s="785"/>
      <c r="AB72" s="785"/>
      <c r="AC72" s="785"/>
      <c r="AD72" s="785"/>
      <c r="AE72" s="785"/>
      <c r="AF72" s="785"/>
      <c r="AG72" s="785"/>
      <c r="AH72" s="785"/>
      <c r="AI72" s="785"/>
      <c r="AJ72" s="785"/>
      <c r="AK72" s="785"/>
      <c r="AL72" s="785"/>
      <c r="AM72" s="785"/>
      <c r="AN72" s="785"/>
      <c r="AO72" s="785"/>
      <c r="AP72" s="785"/>
      <c r="AQ72" s="785"/>
      <c r="AR72" s="785"/>
      <c r="AS72" s="785"/>
      <c r="AT72" s="785"/>
      <c r="AU72" s="785"/>
      <c r="AV72" s="785"/>
      <c r="AW72" s="785"/>
      <c r="AX72" s="785"/>
      <c r="AY72" s="785"/>
      <c r="AZ72" s="785"/>
      <c r="BA72" s="785"/>
      <c r="BB72" s="785"/>
      <c r="BC72" s="785"/>
      <c r="BD72" s="785"/>
      <c r="BE72" s="785"/>
      <c r="BF72" s="785"/>
      <c r="BG72" s="785"/>
      <c r="BH72" s="785"/>
      <c r="BI72" s="785"/>
      <c r="BJ72" s="785"/>
      <c r="BK72" s="785"/>
      <c r="BL72" s="785"/>
      <c r="BM72" s="785"/>
      <c r="BN72" s="785"/>
      <c r="BO72" s="785"/>
      <c r="BP72" s="785"/>
      <c r="BQ72" s="785"/>
      <c r="BR72" s="785"/>
      <c r="BS72" s="785"/>
      <c r="BT72" s="785"/>
    </row>
    <row r="73" spans="1:72">
      <c r="A73" s="785"/>
      <c r="B73" s="785"/>
      <c r="C73" s="785"/>
      <c r="D73" s="785"/>
      <c r="E73" s="785"/>
      <c r="F73" s="785"/>
      <c r="G73" s="785"/>
      <c r="H73" s="785"/>
      <c r="I73" s="785"/>
      <c r="J73" s="785"/>
      <c r="K73" s="785"/>
      <c r="L73" s="785"/>
      <c r="M73" s="785"/>
      <c r="N73" s="785"/>
      <c r="O73" s="785"/>
      <c r="P73" s="785"/>
      <c r="Q73" s="785"/>
      <c r="R73" s="785"/>
      <c r="S73" s="785"/>
      <c r="T73" s="785"/>
      <c r="U73" s="785"/>
      <c r="V73" s="785"/>
      <c r="W73" s="785"/>
      <c r="X73" s="785"/>
      <c r="Y73" s="785"/>
      <c r="Z73" s="785"/>
      <c r="AA73" s="785"/>
      <c r="AB73" s="785"/>
      <c r="AC73" s="785"/>
      <c r="AD73" s="785"/>
      <c r="AE73" s="785"/>
      <c r="AF73" s="785"/>
      <c r="AG73" s="785"/>
      <c r="AH73" s="785"/>
      <c r="AI73" s="785"/>
      <c r="AJ73" s="785"/>
      <c r="AK73" s="785"/>
      <c r="AL73" s="785"/>
      <c r="AM73" s="785"/>
      <c r="AN73" s="785"/>
      <c r="AO73" s="785"/>
      <c r="AP73" s="785"/>
      <c r="AQ73" s="785"/>
      <c r="AR73" s="785"/>
      <c r="AS73" s="785"/>
      <c r="AT73" s="785"/>
      <c r="AU73" s="785"/>
      <c r="AV73" s="785"/>
      <c r="AW73" s="785"/>
      <c r="AX73" s="785"/>
      <c r="AY73" s="785"/>
      <c r="AZ73" s="785"/>
      <c r="BA73" s="785"/>
      <c r="BB73" s="785"/>
      <c r="BC73" s="785"/>
      <c r="BD73" s="785"/>
      <c r="BE73" s="785"/>
      <c r="BF73" s="785"/>
      <c r="BG73" s="785"/>
      <c r="BH73" s="785"/>
      <c r="BI73" s="785"/>
      <c r="BJ73" s="785"/>
      <c r="BK73" s="785"/>
      <c r="BL73" s="785"/>
      <c r="BM73" s="785"/>
      <c r="BN73" s="785"/>
      <c r="BO73" s="785"/>
      <c r="BP73" s="785"/>
      <c r="BQ73" s="785"/>
      <c r="BR73" s="785"/>
      <c r="BS73" s="785"/>
      <c r="BT73" s="785"/>
    </row>
    <row r="74" spans="1:72">
      <c r="A74" s="785" t="s">
        <v>782</v>
      </c>
      <c r="B74" s="785"/>
      <c r="C74" s="785"/>
      <c r="D74" s="785"/>
      <c r="E74" s="785"/>
      <c r="F74" s="785"/>
      <c r="G74" s="785"/>
      <c r="H74" s="785"/>
      <c r="I74" s="785"/>
      <c r="J74" s="785"/>
      <c r="K74" s="785"/>
      <c r="L74" s="785"/>
      <c r="M74" s="785"/>
      <c r="N74" s="785"/>
      <c r="O74" s="785"/>
      <c r="P74" s="785"/>
      <c r="Q74" s="785"/>
      <c r="R74" s="785"/>
      <c r="S74" s="785"/>
      <c r="T74" s="785"/>
      <c r="U74" s="785"/>
      <c r="V74" s="785"/>
      <c r="W74" s="785"/>
      <c r="X74" s="785"/>
      <c r="Y74" s="785"/>
      <c r="Z74" s="785"/>
      <c r="AA74" s="785"/>
      <c r="AB74" s="785"/>
      <c r="AC74" s="785"/>
      <c r="AD74" s="785"/>
      <c r="AE74" s="785"/>
      <c r="AF74" s="785"/>
      <c r="AG74" s="785"/>
      <c r="AH74" s="785"/>
      <c r="AI74" s="785"/>
      <c r="AJ74" s="785"/>
      <c r="AK74" s="785"/>
      <c r="AL74" s="785"/>
      <c r="AM74" s="785"/>
      <c r="AN74" s="785"/>
      <c r="AO74" s="785"/>
      <c r="AP74" s="785"/>
      <c r="AQ74" s="785"/>
      <c r="AR74" s="785"/>
      <c r="AS74" s="785"/>
      <c r="AT74" s="785"/>
      <c r="AU74" s="785"/>
      <c r="AV74" s="785"/>
      <c r="AW74" s="785"/>
      <c r="AX74" s="785"/>
      <c r="AY74" s="785"/>
      <c r="AZ74" s="785"/>
      <c r="BA74" s="785"/>
      <c r="BB74" s="785"/>
      <c r="BC74" s="785"/>
      <c r="BD74" s="785"/>
      <c r="BE74" s="785"/>
      <c r="BF74" s="785"/>
      <c r="BG74" s="785"/>
      <c r="BH74" s="785"/>
      <c r="BI74" s="785"/>
      <c r="BJ74" s="785"/>
      <c r="BK74" s="785"/>
      <c r="BL74" s="785"/>
      <c r="BM74" s="785"/>
      <c r="BN74" s="785"/>
      <c r="BO74" s="785"/>
      <c r="BP74" s="785"/>
      <c r="BQ74" s="785"/>
      <c r="BR74" s="785"/>
      <c r="BS74" s="785"/>
      <c r="BT74" s="785"/>
    </row>
    <row r="75" spans="1:72">
      <c r="A75" s="785" t="s">
        <v>783</v>
      </c>
      <c r="B75" s="785"/>
      <c r="C75" s="785"/>
      <c r="D75" s="785"/>
      <c r="E75" s="785"/>
      <c r="F75" s="785"/>
      <c r="G75" s="785"/>
      <c r="H75" s="785"/>
      <c r="I75" s="785"/>
      <c r="J75" s="785"/>
      <c r="K75" s="785"/>
      <c r="L75" s="785"/>
      <c r="M75" s="785"/>
      <c r="N75" s="785"/>
      <c r="O75" s="785"/>
      <c r="P75" s="785"/>
      <c r="Q75" s="785"/>
      <c r="R75" s="785"/>
      <c r="S75" s="785"/>
      <c r="T75" s="785"/>
      <c r="U75" s="785"/>
      <c r="V75" s="785"/>
      <c r="W75" s="785"/>
      <c r="X75" s="785"/>
      <c r="Y75" s="785"/>
      <c r="Z75" s="785"/>
      <c r="AA75" s="785"/>
      <c r="AB75" s="785"/>
      <c r="AC75" s="785"/>
      <c r="AD75" s="785"/>
      <c r="AE75" s="785"/>
      <c r="AF75" s="785"/>
      <c r="AG75" s="785"/>
      <c r="AH75" s="785"/>
      <c r="AI75" s="785"/>
      <c r="AJ75" s="785"/>
      <c r="AK75" s="785"/>
      <c r="AL75" s="785"/>
      <c r="AM75" s="785"/>
      <c r="AN75" s="785"/>
      <c r="AO75" s="785"/>
      <c r="AP75" s="785"/>
      <c r="AQ75" s="785"/>
      <c r="AR75" s="785"/>
      <c r="AS75" s="785"/>
      <c r="AT75" s="785"/>
      <c r="AU75" s="785"/>
      <c r="AV75" s="785"/>
      <c r="AW75" s="785"/>
      <c r="AX75" s="785"/>
      <c r="AY75" s="785"/>
      <c r="AZ75" s="785"/>
      <c r="BA75" s="785"/>
      <c r="BB75" s="785"/>
      <c r="BC75" s="785"/>
      <c r="BD75" s="785"/>
      <c r="BE75" s="785"/>
      <c r="BF75" s="785"/>
      <c r="BG75" s="785"/>
      <c r="BH75" s="785"/>
      <c r="BI75" s="785"/>
      <c r="BJ75" s="785"/>
      <c r="BK75" s="785"/>
      <c r="BL75" s="785"/>
      <c r="BM75" s="785"/>
      <c r="BN75" s="785"/>
      <c r="BO75" s="785"/>
      <c r="BP75" s="785"/>
      <c r="BQ75" s="785"/>
      <c r="BR75" s="785"/>
      <c r="BS75" s="785"/>
      <c r="BT75" s="785"/>
    </row>
    <row r="76" spans="1:72">
      <c r="A76" s="785"/>
      <c r="B76" s="785"/>
      <c r="C76" s="785"/>
      <c r="D76" s="785"/>
      <c r="E76" s="785"/>
      <c r="F76" s="785"/>
      <c r="G76" s="785"/>
      <c r="H76" s="785"/>
      <c r="I76" s="785"/>
      <c r="J76" s="785"/>
      <c r="K76" s="785"/>
      <c r="L76" s="785"/>
      <c r="M76" s="785"/>
      <c r="N76" s="785"/>
      <c r="O76" s="785"/>
      <c r="P76" s="785"/>
      <c r="Q76" s="785"/>
      <c r="R76" s="785"/>
      <c r="S76" s="785"/>
      <c r="T76" s="785"/>
      <c r="U76" s="785"/>
      <c r="V76" s="785"/>
      <c r="W76" s="785"/>
      <c r="X76" s="785"/>
      <c r="Y76" s="785"/>
      <c r="Z76" s="785"/>
      <c r="AA76" s="785"/>
      <c r="AB76" s="785"/>
      <c r="AC76" s="785"/>
      <c r="AD76" s="785"/>
      <c r="AE76" s="785" t="s">
        <v>784</v>
      </c>
      <c r="AF76" s="785"/>
      <c r="AG76" s="785"/>
      <c r="AH76" s="785"/>
      <c r="AI76" s="785"/>
      <c r="AJ76" s="785"/>
      <c r="AK76" s="785"/>
      <c r="AL76" s="785"/>
      <c r="AM76" s="785"/>
      <c r="AN76" s="785"/>
      <c r="AO76" s="785"/>
      <c r="AP76" s="785"/>
      <c r="AQ76" s="785"/>
      <c r="AR76" s="785"/>
      <c r="AS76" s="785"/>
      <c r="AT76" s="785"/>
      <c r="AU76" s="785"/>
      <c r="AV76" s="785"/>
      <c r="AW76" s="785"/>
      <c r="AX76" s="785"/>
      <c r="AY76" s="785"/>
      <c r="AZ76" s="785"/>
      <c r="BA76" s="785"/>
      <c r="BB76" s="785"/>
      <c r="BC76" s="785"/>
      <c r="BD76" s="785"/>
      <c r="BE76" s="785"/>
      <c r="BF76" s="785"/>
      <c r="BG76" s="785"/>
      <c r="BH76" s="785"/>
      <c r="BI76" s="785"/>
      <c r="BJ76" s="785"/>
      <c r="BK76" s="785"/>
      <c r="BL76" s="785"/>
      <c r="BM76" s="785"/>
      <c r="BN76" s="785"/>
      <c r="BO76" s="785"/>
      <c r="BP76" s="785"/>
      <c r="BQ76" s="785"/>
      <c r="BR76" s="785"/>
      <c r="BS76" s="785"/>
      <c r="BT76" s="785"/>
    </row>
    <row r="77" spans="1:72">
      <c r="A77" s="785" t="s">
        <v>785</v>
      </c>
      <c r="B77" s="785">
        <v>2007</v>
      </c>
      <c r="C77" s="785">
        <v>2008</v>
      </c>
      <c r="D77" s="785">
        <v>2009</v>
      </c>
      <c r="E77" s="785">
        <v>2010</v>
      </c>
      <c r="F77" s="785">
        <v>2011</v>
      </c>
      <c r="G77" s="785">
        <v>2012</v>
      </c>
      <c r="H77" s="785">
        <v>2013</v>
      </c>
      <c r="I77" s="785">
        <v>2014</v>
      </c>
      <c r="J77" s="785">
        <v>2015</v>
      </c>
      <c r="K77" s="785">
        <v>2016</v>
      </c>
      <c r="L77" s="785">
        <v>2017</v>
      </c>
      <c r="M77" s="785">
        <v>2018</v>
      </c>
      <c r="N77" s="785">
        <v>2019</v>
      </c>
      <c r="O77" s="785">
        <v>2020</v>
      </c>
      <c r="P77" s="785">
        <v>2021</v>
      </c>
      <c r="Q77" s="785">
        <v>2022</v>
      </c>
      <c r="R77" s="785">
        <v>2023</v>
      </c>
      <c r="S77" s="785">
        <v>2024</v>
      </c>
      <c r="T77" s="785">
        <v>2025</v>
      </c>
      <c r="U77" s="785">
        <v>2026</v>
      </c>
      <c r="V77" s="785">
        <v>2027</v>
      </c>
      <c r="W77" s="785">
        <v>2028</v>
      </c>
      <c r="X77" s="785">
        <v>2029</v>
      </c>
      <c r="Y77" s="785">
        <v>2030</v>
      </c>
      <c r="Z77" s="785">
        <v>2031</v>
      </c>
      <c r="AA77" s="785">
        <v>2032</v>
      </c>
      <c r="AB77" s="785">
        <v>2033</v>
      </c>
      <c r="AC77" s="785">
        <v>2034</v>
      </c>
      <c r="AD77" s="785">
        <v>2035</v>
      </c>
      <c r="AE77" s="785">
        <v>2035</v>
      </c>
      <c r="AF77" s="785"/>
      <c r="AG77" s="785"/>
      <c r="AH77" s="785"/>
      <c r="AI77" s="785"/>
      <c r="AJ77" s="785"/>
      <c r="AK77" s="785"/>
      <c r="AL77" s="785"/>
      <c r="AM77" s="785"/>
      <c r="AN77" s="785"/>
      <c r="AO77" s="785"/>
      <c r="AP77" s="785"/>
      <c r="AQ77" s="785"/>
      <c r="AR77" s="785"/>
      <c r="AS77" s="785"/>
      <c r="AT77" s="785"/>
      <c r="AU77" s="785"/>
      <c r="AV77" s="785"/>
      <c r="AW77" s="785"/>
      <c r="AX77" s="785"/>
      <c r="AY77" s="785"/>
      <c r="AZ77" s="785"/>
      <c r="BA77" s="785"/>
      <c r="BB77" s="785"/>
      <c r="BC77" s="785"/>
      <c r="BD77" s="785"/>
      <c r="BE77" s="785"/>
      <c r="BF77" s="785"/>
      <c r="BG77" s="785"/>
      <c r="BH77" s="785"/>
      <c r="BI77" s="785"/>
      <c r="BJ77" s="785"/>
      <c r="BK77" s="785"/>
      <c r="BL77" s="785"/>
      <c r="BM77" s="785"/>
      <c r="BN77" s="785"/>
      <c r="BO77" s="785"/>
      <c r="BP77" s="785"/>
      <c r="BQ77" s="785"/>
      <c r="BR77" s="785"/>
      <c r="BS77" s="785"/>
      <c r="BT77" s="785"/>
    </row>
    <row r="78" spans="1:72">
      <c r="A78" s="785"/>
      <c r="B78" s="785"/>
      <c r="C78" s="785"/>
      <c r="D78" s="785"/>
      <c r="E78" s="785"/>
      <c r="F78" s="785"/>
      <c r="G78" s="785"/>
      <c r="H78" s="785"/>
      <c r="I78" s="785"/>
      <c r="J78" s="785"/>
      <c r="K78" s="785"/>
      <c r="L78" s="785"/>
      <c r="M78" s="785"/>
      <c r="N78" s="785"/>
      <c r="O78" s="785"/>
      <c r="P78" s="785"/>
      <c r="Q78" s="785"/>
      <c r="R78" s="785"/>
      <c r="S78" s="785"/>
      <c r="T78" s="785"/>
      <c r="U78" s="785"/>
      <c r="V78" s="785"/>
      <c r="W78" s="785"/>
      <c r="X78" s="785"/>
      <c r="Y78" s="785"/>
      <c r="Z78" s="785"/>
      <c r="AA78" s="785"/>
      <c r="AB78" s="785"/>
      <c r="AC78" s="785"/>
      <c r="AD78" s="785"/>
      <c r="AE78" s="785"/>
      <c r="AF78" s="785"/>
      <c r="AG78" s="785"/>
      <c r="AH78" s="785"/>
      <c r="AI78" s="785"/>
      <c r="AJ78" s="785"/>
      <c r="AK78" s="785"/>
      <c r="AL78" s="785"/>
      <c r="AM78" s="785"/>
      <c r="AN78" s="785"/>
      <c r="AO78" s="785"/>
      <c r="AP78" s="785"/>
      <c r="AQ78" s="785"/>
      <c r="AR78" s="785"/>
      <c r="AS78" s="785"/>
      <c r="AT78" s="785"/>
      <c r="AU78" s="785"/>
      <c r="AV78" s="785"/>
      <c r="AW78" s="785"/>
      <c r="AX78" s="785"/>
      <c r="AY78" s="785"/>
      <c r="AZ78" s="785"/>
      <c r="BA78" s="785"/>
      <c r="BB78" s="785"/>
      <c r="BC78" s="785"/>
      <c r="BD78" s="785"/>
      <c r="BE78" s="785"/>
      <c r="BF78" s="785"/>
      <c r="BG78" s="785"/>
      <c r="BH78" s="785"/>
      <c r="BI78" s="785"/>
      <c r="BJ78" s="785"/>
      <c r="BK78" s="785"/>
      <c r="BL78" s="785"/>
      <c r="BM78" s="785"/>
      <c r="BN78" s="785"/>
      <c r="BO78" s="785"/>
      <c r="BP78" s="785"/>
      <c r="BQ78" s="785"/>
      <c r="BR78" s="785"/>
      <c r="BS78" s="785"/>
      <c r="BT78" s="785"/>
    </row>
    <row r="79" spans="1:72">
      <c r="A79" s="785" t="s">
        <v>471</v>
      </c>
      <c r="B79" s="785"/>
      <c r="C79" s="785"/>
      <c r="D79" s="785"/>
      <c r="E79" s="785"/>
      <c r="F79" s="785"/>
      <c r="G79" s="785"/>
      <c r="H79" s="785"/>
      <c r="I79" s="785"/>
      <c r="J79" s="785"/>
      <c r="K79" s="785"/>
      <c r="L79" s="785"/>
      <c r="M79" s="785"/>
      <c r="N79" s="785"/>
      <c r="O79" s="785"/>
      <c r="P79" s="785"/>
      <c r="Q79" s="785"/>
      <c r="R79" s="785"/>
      <c r="S79" s="785"/>
      <c r="T79" s="785"/>
      <c r="U79" s="785"/>
      <c r="V79" s="785"/>
      <c r="W79" s="785"/>
      <c r="X79" s="785"/>
      <c r="Y79" s="785"/>
      <c r="Z79" s="785"/>
      <c r="AA79" s="785"/>
      <c r="AB79" s="785"/>
      <c r="AC79" s="785"/>
      <c r="AD79" s="785"/>
      <c r="AE79" s="785"/>
      <c r="AF79" s="785"/>
      <c r="AG79" s="785"/>
      <c r="AH79" s="785"/>
      <c r="AI79" s="785"/>
      <c r="AJ79" s="785"/>
      <c r="AK79" s="785"/>
      <c r="AL79" s="785"/>
      <c r="AM79" s="785"/>
      <c r="AN79" s="785"/>
      <c r="AO79" s="785"/>
      <c r="AP79" s="785"/>
      <c r="AQ79" s="785"/>
      <c r="AR79" s="785"/>
      <c r="AS79" s="785"/>
      <c r="AT79" s="785"/>
      <c r="AU79" s="785"/>
      <c r="AV79" s="785"/>
      <c r="AW79" s="785"/>
      <c r="AX79" s="785"/>
      <c r="AY79" s="785"/>
      <c r="AZ79" s="785"/>
      <c r="BA79" s="785"/>
      <c r="BB79" s="785"/>
      <c r="BC79" s="785"/>
      <c r="BD79" s="785"/>
      <c r="BE79" s="785"/>
      <c r="BF79" s="785"/>
      <c r="BG79" s="785"/>
      <c r="BH79" s="785"/>
      <c r="BI79" s="785"/>
      <c r="BJ79" s="785"/>
      <c r="BK79" s="785"/>
      <c r="BL79" s="785"/>
      <c r="BM79" s="785"/>
      <c r="BN79" s="785"/>
      <c r="BO79" s="785"/>
      <c r="BP79" s="785"/>
      <c r="BQ79" s="785"/>
      <c r="BR79" s="785"/>
      <c r="BS79" s="785"/>
      <c r="BT79" s="785"/>
    </row>
    <row r="80" spans="1:72">
      <c r="A80" s="785" t="s">
        <v>607</v>
      </c>
      <c r="B80" s="785">
        <v>26.25</v>
      </c>
      <c r="C80" s="785">
        <v>29.35</v>
      </c>
      <c r="D80" s="785">
        <v>24.9</v>
      </c>
      <c r="E80" s="785">
        <v>24.01</v>
      </c>
      <c r="F80" s="785">
        <v>24.09</v>
      </c>
      <c r="G80" s="785">
        <v>25.25</v>
      </c>
      <c r="H80" s="785">
        <v>26.47</v>
      </c>
      <c r="I80" s="785">
        <v>27.44</v>
      </c>
      <c r="J80" s="785">
        <v>28.03</v>
      </c>
      <c r="K80" s="785">
        <v>28.67</v>
      </c>
      <c r="L80" s="785">
        <v>29.21</v>
      </c>
      <c r="M80" s="785">
        <v>29.8</v>
      </c>
      <c r="N80" s="785">
        <v>30.06</v>
      </c>
      <c r="O80" s="785">
        <v>30.29</v>
      </c>
      <c r="P80" s="785">
        <v>30.53</v>
      </c>
      <c r="Q80" s="785">
        <v>30.73</v>
      </c>
      <c r="R80" s="785">
        <v>31.01</v>
      </c>
      <c r="S80" s="785">
        <v>31.28</v>
      </c>
      <c r="T80" s="785">
        <v>31.55</v>
      </c>
      <c r="U80" s="785">
        <v>31.7</v>
      </c>
      <c r="V80" s="785">
        <v>31.98</v>
      </c>
      <c r="W80" s="785">
        <v>32.229999999999997</v>
      </c>
      <c r="X80" s="785">
        <v>32.590000000000003</v>
      </c>
      <c r="Y80" s="785">
        <v>32.81</v>
      </c>
      <c r="Z80" s="785">
        <v>33.17</v>
      </c>
      <c r="AA80" s="785">
        <v>33.51</v>
      </c>
      <c r="AB80" s="785">
        <v>33.9</v>
      </c>
      <c r="AC80" s="785">
        <v>34.26</v>
      </c>
      <c r="AD80" s="785">
        <v>34.65</v>
      </c>
      <c r="AE80" s="819">
        <v>6.0000000000000001E-3</v>
      </c>
      <c r="AF80" s="785"/>
      <c r="AG80" s="785"/>
      <c r="AH80" s="785"/>
      <c r="AI80" s="785"/>
      <c r="AJ80" s="785"/>
      <c r="AK80" s="785"/>
      <c r="AL80" s="785"/>
      <c r="AM80" s="785"/>
      <c r="AN80" s="785"/>
      <c r="AO80" s="785"/>
      <c r="AP80" s="785"/>
      <c r="AQ80" s="785"/>
      <c r="AR80" s="785"/>
      <c r="AS80" s="785"/>
      <c r="AT80" s="785"/>
      <c r="AU80" s="785"/>
      <c r="AV80" s="785"/>
      <c r="AW80" s="785"/>
      <c r="AX80" s="785"/>
      <c r="AY80" s="785"/>
      <c r="AZ80" s="785"/>
      <c r="BA80" s="785"/>
      <c r="BB80" s="785"/>
      <c r="BC80" s="785"/>
      <c r="BD80" s="785"/>
      <c r="BE80" s="785"/>
      <c r="BF80" s="785"/>
      <c r="BG80" s="785"/>
      <c r="BH80" s="785"/>
      <c r="BI80" s="785"/>
      <c r="BJ80" s="785"/>
      <c r="BK80" s="785"/>
      <c r="BL80" s="785"/>
      <c r="BM80" s="785"/>
      <c r="BN80" s="785"/>
      <c r="BO80" s="785"/>
      <c r="BP80" s="785"/>
      <c r="BQ80" s="785"/>
      <c r="BR80" s="785"/>
      <c r="BS80" s="785"/>
      <c r="BT80" s="785"/>
    </row>
    <row r="81" spans="1:72">
      <c r="A81" s="785" t="s">
        <v>608</v>
      </c>
      <c r="B81" s="785">
        <v>20.3</v>
      </c>
      <c r="C81" s="785">
        <v>24.47</v>
      </c>
      <c r="D81" s="785">
        <v>17.98</v>
      </c>
      <c r="E81" s="785">
        <v>17.57</v>
      </c>
      <c r="F81" s="785">
        <v>17.72</v>
      </c>
      <c r="G81" s="785">
        <v>18.84</v>
      </c>
      <c r="H81" s="785">
        <v>19.86</v>
      </c>
      <c r="I81" s="785">
        <v>20.58</v>
      </c>
      <c r="J81" s="785">
        <v>21.08</v>
      </c>
      <c r="K81" s="785">
        <v>22</v>
      </c>
      <c r="L81" s="785">
        <v>22.66</v>
      </c>
      <c r="M81" s="785">
        <v>23.32</v>
      </c>
      <c r="N81" s="785">
        <v>23.74</v>
      </c>
      <c r="O81" s="785">
        <v>24.1</v>
      </c>
      <c r="P81" s="785">
        <v>24.24</v>
      </c>
      <c r="Q81" s="785">
        <v>24.44</v>
      </c>
      <c r="R81" s="785">
        <v>24.76</v>
      </c>
      <c r="S81" s="785">
        <v>24.94</v>
      </c>
      <c r="T81" s="785">
        <v>25.23</v>
      </c>
      <c r="U81" s="785">
        <v>25.5</v>
      </c>
      <c r="V81" s="785">
        <v>25.72</v>
      </c>
      <c r="W81" s="785">
        <v>26.04</v>
      </c>
      <c r="X81" s="785">
        <v>26.44</v>
      </c>
      <c r="Y81" s="785">
        <v>26.61</v>
      </c>
      <c r="Z81" s="785">
        <v>27.05</v>
      </c>
      <c r="AA81" s="785">
        <v>27.45</v>
      </c>
      <c r="AB81" s="785">
        <v>27.82</v>
      </c>
      <c r="AC81" s="785">
        <v>28.24</v>
      </c>
      <c r="AD81" s="785">
        <v>28.66</v>
      </c>
      <c r="AE81" s="819">
        <v>6.0000000000000001E-3</v>
      </c>
      <c r="AF81" s="785"/>
      <c r="AG81" s="785"/>
      <c r="AH81" s="785"/>
      <c r="AI81" s="785"/>
      <c r="AJ81" s="785"/>
      <c r="AK81" s="785"/>
      <c r="AL81" s="785"/>
      <c r="AM81" s="785"/>
      <c r="AN81" s="785"/>
      <c r="AO81" s="785"/>
      <c r="AP81" s="785"/>
      <c r="AQ81" s="785"/>
      <c r="AR81" s="785"/>
      <c r="AS81" s="785"/>
      <c r="AT81" s="785"/>
      <c r="AU81" s="785"/>
      <c r="AV81" s="785"/>
      <c r="AW81" s="785"/>
      <c r="AX81" s="785"/>
      <c r="AY81" s="785"/>
      <c r="AZ81" s="785"/>
      <c r="BA81" s="785"/>
      <c r="BB81" s="785"/>
      <c r="BC81" s="785"/>
      <c r="BD81" s="785"/>
      <c r="BE81" s="785"/>
      <c r="BF81" s="785"/>
      <c r="BG81" s="785"/>
      <c r="BH81" s="785"/>
      <c r="BI81" s="785"/>
      <c r="BJ81" s="785"/>
      <c r="BK81" s="785"/>
      <c r="BL81" s="785"/>
      <c r="BM81" s="785"/>
      <c r="BN81" s="785"/>
      <c r="BO81" s="785"/>
      <c r="BP81" s="785"/>
      <c r="BQ81" s="785"/>
      <c r="BR81" s="785"/>
      <c r="BS81" s="785"/>
      <c r="BT81" s="785"/>
    </row>
    <row r="82" spans="1:72">
      <c r="A82" s="785" t="s">
        <v>508</v>
      </c>
      <c r="B82" s="785">
        <v>12.94</v>
      </c>
      <c r="C82" s="785">
        <v>13.48</v>
      </c>
      <c r="D82" s="785">
        <v>11.39</v>
      </c>
      <c r="E82" s="785">
        <v>10.89</v>
      </c>
      <c r="F82" s="785">
        <v>11.78</v>
      </c>
      <c r="G82" s="785">
        <v>11.87</v>
      </c>
      <c r="H82" s="785">
        <v>11.48</v>
      </c>
      <c r="I82" s="785">
        <v>11.41</v>
      </c>
      <c r="J82" s="785">
        <v>11.56</v>
      </c>
      <c r="K82" s="785">
        <v>11.65</v>
      </c>
      <c r="L82" s="785">
        <v>11.69</v>
      </c>
      <c r="M82" s="785">
        <v>11.76</v>
      </c>
      <c r="N82" s="785">
        <v>11.83</v>
      </c>
      <c r="O82" s="785">
        <v>11.95</v>
      </c>
      <c r="P82" s="785">
        <v>12.07</v>
      </c>
      <c r="Q82" s="785">
        <v>12.26</v>
      </c>
      <c r="R82" s="785">
        <v>12.29</v>
      </c>
      <c r="S82" s="785">
        <v>12.2</v>
      </c>
      <c r="T82" s="785">
        <v>12.29</v>
      </c>
      <c r="U82" s="785">
        <v>12.46</v>
      </c>
      <c r="V82" s="785">
        <v>12.66</v>
      </c>
      <c r="W82" s="785">
        <v>12.9</v>
      </c>
      <c r="X82" s="785">
        <v>13.16</v>
      </c>
      <c r="Y82" s="785">
        <v>13.44</v>
      </c>
      <c r="Z82" s="785">
        <v>13.78</v>
      </c>
      <c r="AA82" s="785">
        <v>13.93</v>
      </c>
      <c r="AB82" s="785">
        <v>14.03</v>
      </c>
      <c r="AC82" s="785">
        <v>14.25</v>
      </c>
      <c r="AD82" s="785">
        <v>14.4</v>
      </c>
      <c r="AE82" s="819">
        <v>2E-3</v>
      </c>
      <c r="AF82" s="785"/>
      <c r="AG82" s="785"/>
      <c r="AH82" s="785"/>
      <c r="AI82" s="785"/>
      <c r="AJ82" s="785"/>
      <c r="AK82" s="785"/>
      <c r="AL82" s="785"/>
      <c r="AM82" s="785"/>
      <c r="AN82" s="785"/>
      <c r="AO82" s="785"/>
      <c r="AP82" s="785"/>
      <c r="AQ82" s="785"/>
      <c r="AR82" s="785"/>
      <c r="AS82" s="785"/>
      <c r="AT82" s="785"/>
      <c r="AU82" s="785"/>
      <c r="AV82" s="785"/>
      <c r="AW82" s="785"/>
      <c r="AX82" s="785"/>
      <c r="AY82" s="785"/>
      <c r="AZ82" s="785"/>
      <c r="BA82" s="785"/>
      <c r="BB82" s="785"/>
      <c r="BC82" s="785"/>
      <c r="BD82" s="785"/>
      <c r="BE82" s="785"/>
      <c r="BF82" s="785"/>
      <c r="BG82" s="785"/>
      <c r="BH82" s="785"/>
      <c r="BI82" s="785"/>
      <c r="BJ82" s="785"/>
      <c r="BK82" s="785"/>
      <c r="BL82" s="785"/>
      <c r="BM82" s="785"/>
      <c r="BN82" s="785"/>
      <c r="BO82" s="785"/>
      <c r="BP82" s="785"/>
      <c r="BQ82" s="785"/>
      <c r="BR82" s="785"/>
      <c r="BS82" s="785"/>
      <c r="BT82" s="785"/>
    </row>
    <row r="83" spans="1:72">
      <c r="A83" s="785" t="s">
        <v>477</v>
      </c>
      <c r="B83" s="785">
        <v>31.82</v>
      </c>
      <c r="C83" s="785">
        <v>33.29</v>
      </c>
      <c r="D83" s="785">
        <v>32.33</v>
      </c>
      <c r="E83" s="785">
        <v>30.94</v>
      </c>
      <c r="F83" s="785">
        <v>29.9</v>
      </c>
      <c r="G83" s="785">
        <v>31.08</v>
      </c>
      <c r="H83" s="785">
        <v>31.47</v>
      </c>
      <c r="I83" s="785">
        <v>31.49</v>
      </c>
      <c r="J83" s="785">
        <v>31.43</v>
      </c>
      <c r="K83" s="785">
        <v>31.64</v>
      </c>
      <c r="L83" s="785">
        <v>31.8</v>
      </c>
      <c r="M83" s="785">
        <v>31.78</v>
      </c>
      <c r="N83" s="785">
        <v>31.68</v>
      </c>
      <c r="O83" s="785">
        <v>31.84</v>
      </c>
      <c r="P83" s="785">
        <v>32.01</v>
      </c>
      <c r="Q83" s="785">
        <v>32.08</v>
      </c>
      <c r="R83" s="785">
        <v>32.200000000000003</v>
      </c>
      <c r="S83" s="785">
        <v>32.28</v>
      </c>
      <c r="T83" s="785">
        <v>32.26</v>
      </c>
      <c r="U83" s="785">
        <v>32.4</v>
      </c>
      <c r="V83" s="785">
        <v>32.57</v>
      </c>
      <c r="W83" s="785">
        <v>32.729999999999997</v>
      </c>
      <c r="X83" s="785">
        <v>33.130000000000003</v>
      </c>
      <c r="Y83" s="785">
        <v>33.46</v>
      </c>
      <c r="Z83" s="785">
        <v>33.81</v>
      </c>
      <c r="AA83" s="785">
        <v>34.11</v>
      </c>
      <c r="AB83" s="785">
        <v>34.26</v>
      </c>
      <c r="AC83" s="785">
        <v>34.49</v>
      </c>
      <c r="AD83" s="785">
        <v>34.71</v>
      </c>
      <c r="AE83" s="819">
        <v>2E-3</v>
      </c>
      <c r="AF83" s="785"/>
      <c r="AG83" s="785"/>
      <c r="AH83" s="785"/>
      <c r="AI83" s="785"/>
      <c r="AJ83" s="785"/>
      <c r="AK83" s="785"/>
      <c r="AL83" s="785"/>
      <c r="AM83" s="785"/>
      <c r="AN83" s="785"/>
      <c r="AO83" s="785"/>
      <c r="AP83" s="785"/>
      <c r="AQ83" s="785"/>
      <c r="AR83" s="785"/>
      <c r="AS83" s="785"/>
      <c r="AT83" s="785"/>
      <c r="AU83" s="785"/>
      <c r="AV83" s="785"/>
      <c r="AW83" s="785"/>
      <c r="AX83" s="785"/>
      <c r="AY83" s="785"/>
      <c r="AZ83" s="785"/>
      <c r="BA83" s="785"/>
      <c r="BB83" s="785"/>
      <c r="BC83" s="785"/>
      <c r="BD83" s="785"/>
      <c r="BE83" s="785"/>
      <c r="BF83" s="785"/>
      <c r="BG83" s="785"/>
      <c r="BH83" s="785"/>
      <c r="BI83" s="785"/>
      <c r="BJ83" s="785"/>
      <c r="BK83" s="785"/>
      <c r="BL83" s="785"/>
      <c r="BM83" s="785"/>
      <c r="BN83" s="785"/>
      <c r="BO83" s="785"/>
      <c r="BP83" s="785"/>
      <c r="BQ83" s="785"/>
      <c r="BR83" s="785"/>
      <c r="BS83" s="785"/>
      <c r="BT83" s="785"/>
    </row>
    <row r="84" spans="1:72">
      <c r="A84" s="785"/>
      <c r="B84" s="785"/>
      <c r="C84" s="785"/>
      <c r="D84" s="785"/>
      <c r="E84" s="785"/>
      <c r="F84" s="785"/>
      <c r="G84" s="785"/>
      <c r="H84" s="785"/>
      <c r="I84" s="785"/>
      <c r="J84" s="785"/>
      <c r="K84" s="785"/>
      <c r="L84" s="785"/>
      <c r="M84" s="785"/>
      <c r="N84" s="785"/>
      <c r="O84" s="785"/>
      <c r="P84" s="785"/>
      <c r="Q84" s="785"/>
      <c r="R84" s="785"/>
      <c r="S84" s="785"/>
      <c r="T84" s="785"/>
      <c r="U84" s="785"/>
      <c r="V84" s="785"/>
      <c r="W84" s="785"/>
      <c r="X84" s="785"/>
      <c r="Y84" s="785"/>
      <c r="Z84" s="785"/>
      <c r="AA84" s="785"/>
      <c r="AB84" s="785"/>
      <c r="AC84" s="785"/>
      <c r="AD84" s="785"/>
      <c r="AE84" s="785"/>
      <c r="AF84" s="785"/>
      <c r="AG84" s="785"/>
      <c r="AH84" s="785"/>
      <c r="AI84" s="785"/>
      <c r="AJ84" s="785"/>
      <c r="AK84" s="785"/>
      <c r="AL84" s="785"/>
      <c r="AM84" s="785"/>
      <c r="AN84" s="785"/>
      <c r="AO84" s="785"/>
      <c r="AP84" s="785"/>
      <c r="AQ84" s="785"/>
      <c r="AR84" s="785"/>
      <c r="AS84" s="785"/>
      <c r="AT84" s="785"/>
      <c r="AU84" s="785"/>
      <c r="AV84" s="785"/>
      <c r="AW84" s="785"/>
      <c r="AX84" s="785"/>
      <c r="AY84" s="785"/>
      <c r="AZ84" s="785"/>
      <c r="BA84" s="785"/>
      <c r="BB84" s="785"/>
      <c r="BC84" s="785"/>
      <c r="BD84" s="785"/>
      <c r="BE84" s="785"/>
      <c r="BF84" s="785"/>
      <c r="BG84" s="785"/>
      <c r="BH84" s="785"/>
      <c r="BI84" s="785"/>
      <c r="BJ84" s="785"/>
      <c r="BK84" s="785"/>
      <c r="BL84" s="785"/>
      <c r="BM84" s="785"/>
      <c r="BN84" s="785"/>
      <c r="BO84" s="785"/>
      <c r="BP84" s="785"/>
      <c r="BQ84" s="785"/>
      <c r="BR84" s="785"/>
      <c r="BS84" s="785"/>
      <c r="BT84" s="785"/>
    </row>
    <row r="85" spans="1:72">
      <c r="A85" s="785" t="s">
        <v>478</v>
      </c>
      <c r="B85" s="785"/>
      <c r="C85" s="785"/>
      <c r="D85" s="785"/>
      <c r="E85" s="785"/>
      <c r="F85" s="785"/>
      <c r="G85" s="785"/>
      <c r="H85" s="785"/>
      <c r="I85" s="785"/>
      <c r="J85" s="785"/>
      <c r="K85" s="785"/>
      <c r="L85" s="785"/>
      <c r="M85" s="785"/>
      <c r="N85" s="785"/>
      <c r="O85" s="785"/>
      <c r="P85" s="785"/>
      <c r="Q85" s="785"/>
      <c r="R85" s="785"/>
      <c r="S85" s="785"/>
      <c r="T85" s="785"/>
      <c r="U85" s="785"/>
      <c r="V85" s="785"/>
      <c r="W85" s="785"/>
      <c r="X85" s="785"/>
      <c r="Y85" s="785"/>
      <c r="Z85" s="785"/>
      <c r="AA85" s="785"/>
      <c r="AB85" s="785"/>
      <c r="AC85" s="785"/>
      <c r="AD85" s="785"/>
      <c r="AE85" s="785"/>
      <c r="AF85" s="785"/>
      <c r="AG85" s="785"/>
      <c r="AH85" s="785"/>
      <c r="AI85" s="785"/>
      <c r="AJ85" s="785"/>
      <c r="AK85" s="785"/>
      <c r="AL85" s="785"/>
      <c r="AM85" s="785"/>
      <c r="AN85" s="785"/>
      <c r="AO85" s="785"/>
      <c r="AP85" s="785"/>
      <c r="AQ85" s="785"/>
      <c r="AR85" s="785"/>
      <c r="AS85" s="785"/>
      <c r="AT85" s="785"/>
      <c r="AU85" s="785"/>
      <c r="AV85" s="785"/>
      <c r="AW85" s="785"/>
      <c r="AX85" s="785"/>
      <c r="AY85" s="785"/>
      <c r="AZ85" s="785"/>
      <c r="BA85" s="785"/>
      <c r="BB85" s="785"/>
      <c r="BC85" s="785"/>
      <c r="BD85" s="785"/>
      <c r="BE85" s="785"/>
      <c r="BF85" s="785"/>
      <c r="BG85" s="785"/>
      <c r="BH85" s="785"/>
      <c r="BI85" s="785"/>
      <c r="BJ85" s="785"/>
      <c r="BK85" s="785"/>
      <c r="BL85" s="785"/>
      <c r="BM85" s="785"/>
      <c r="BN85" s="785"/>
      <c r="BO85" s="785"/>
      <c r="BP85" s="785"/>
      <c r="BQ85" s="785"/>
      <c r="BR85" s="785"/>
      <c r="BS85" s="785"/>
      <c r="BT85" s="785"/>
    </row>
    <row r="86" spans="1:72">
      <c r="A86" s="785" t="s">
        <v>607</v>
      </c>
      <c r="B86" s="785">
        <v>20.65</v>
      </c>
      <c r="C86" s="785">
        <v>26.15</v>
      </c>
      <c r="D86" s="785">
        <v>19.82</v>
      </c>
      <c r="E86" s="785">
        <v>20.78</v>
      </c>
      <c r="F86" s="785">
        <v>20.86</v>
      </c>
      <c r="G86" s="785">
        <v>22.02</v>
      </c>
      <c r="H86" s="785">
        <v>23.23</v>
      </c>
      <c r="I86" s="785">
        <v>24.19</v>
      </c>
      <c r="J86" s="785">
        <v>24.77</v>
      </c>
      <c r="K86" s="785">
        <v>25.41</v>
      </c>
      <c r="L86" s="785">
        <v>25.95</v>
      </c>
      <c r="M86" s="785">
        <v>26.53</v>
      </c>
      <c r="N86" s="785">
        <v>26.79</v>
      </c>
      <c r="O86" s="785">
        <v>27.02</v>
      </c>
      <c r="P86" s="785">
        <v>27.25</v>
      </c>
      <c r="Q86" s="785">
        <v>27.46</v>
      </c>
      <c r="R86" s="785">
        <v>27.73</v>
      </c>
      <c r="S86" s="785">
        <v>28</v>
      </c>
      <c r="T86" s="785">
        <v>28.26</v>
      </c>
      <c r="U86" s="785">
        <v>28.41</v>
      </c>
      <c r="V86" s="785">
        <v>28.68</v>
      </c>
      <c r="W86" s="785">
        <v>28.93</v>
      </c>
      <c r="X86" s="785">
        <v>29.28</v>
      </c>
      <c r="Y86" s="785">
        <v>29.5</v>
      </c>
      <c r="Z86" s="785">
        <v>29.86</v>
      </c>
      <c r="AA86" s="785">
        <v>30.19</v>
      </c>
      <c r="AB86" s="785">
        <v>30.58</v>
      </c>
      <c r="AC86" s="785">
        <v>30.94</v>
      </c>
      <c r="AD86" s="785">
        <v>31.32</v>
      </c>
      <c r="AE86" s="819">
        <v>7.0000000000000001E-3</v>
      </c>
      <c r="AF86" s="785"/>
      <c r="AG86" s="785"/>
      <c r="AH86" s="785"/>
      <c r="AI86" s="785"/>
      <c r="AJ86" s="785"/>
      <c r="AK86" s="785"/>
      <c r="AL86" s="785"/>
      <c r="AM86" s="785"/>
      <c r="AN86" s="785"/>
      <c r="AO86" s="785"/>
      <c r="AP86" s="785"/>
      <c r="AQ86" s="785"/>
      <c r="AR86" s="785"/>
      <c r="AS86" s="785"/>
      <c r="AT86" s="785"/>
      <c r="AU86" s="785"/>
      <c r="AV86" s="785"/>
      <c r="AW86" s="785"/>
      <c r="AX86" s="785"/>
      <c r="AY86" s="785"/>
      <c r="AZ86" s="785"/>
      <c r="BA86" s="785"/>
      <c r="BB86" s="785"/>
      <c r="BC86" s="785"/>
      <c r="BD86" s="785"/>
      <c r="BE86" s="785"/>
      <c r="BF86" s="785"/>
      <c r="BG86" s="785"/>
      <c r="BH86" s="785"/>
      <c r="BI86" s="785"/>
      <c r="BJ86" s="785"/>
      <c r="BK86" s="785"/>
      <c r="BL86" s="785"/>
      <c r="BM86" s="785"/>
      <c r="BN86" s="785"/>
      <c r="BO86" s="785"/>
      <c r="BP86" s="785"/>
      <c r="BQ86" s="785"/>
      <c r="BR86" s="785"/>
      <c r="BS86" s="785"/>
      <c r="BT86" s="785"/>
    </row>
    <row r="87" spans="1:72">
      <c r="A87" s="785" t="s">
        <v>608</v>
      </c>
      <c r="B87" s="785">
        <v>17.48</v>
      </c>
      <c r="C87" s="785">
        <v>21.5</v>
      </c>
      <c r="D87" s="785">
        <v>15.8</v>
      </c>
      <c r="E87" s="785">
        <v>14.82</v>
      </c>
      <c r="F87" s="785">
        <v>15.24</v>
      </c>
      <c r="G87" s="785">
        <v>16.38</v>
      </c>
      <c r="H87" s="785">
        <v>17.399999999999999</v>
      </c>
      <c r="I87" s="785">
        <v>18.11</v>
      </c>
      <c r="J87" s="785">
        <v>18.72</v>
      </c>
      <c r="K87" s="785">
        <v>19.559999999999999</v>
      </c>
      <c r="L87" s="785">
        <v>20.2</v>
      </c>
      <c r="M87" s="785">
        <v>20.84</v>
      </c>
      <c r="N87" s="785">
        <v>21.26</v>
      </c>
      <c r="O87" s="785">
        <v>21.6</v>
      </c>
      <c r="P87" s="785">
        <v>21.78</v>
      </c>
      <c r="Q87" s="785">
        <v>22.04</v>
      </c>
      <c r="R87" s="785">
        <v>22.29</v>
      </c>
      <c r="S87" s="785">
        <v>22.43</v>
      </c>
      <c r="T87" s="785">
        <v>22.72</v>
      </c>
      <c r="U87" s="785">
        <v>22.97</v>
      </c>
      <c r="V87" s="785">
        <v>23.21</v>
      </c>
      <c r="W87" s="785">
        <v>23.53</v>
      </c>
      <c r="X87" s="785">
        <v>23.93</v>
      </c>
      <c r="Y87" s="785">
        <v>24.11</v>
      </c>
      <c r="Z87" s="785">
        <v>24.54</v>
      </c>
      <c r="AA87" s="785">
        <v>24.94</v>
      </c>
      <c r="AB87" s="785">
        <v>25.28</v>
      </c>
      <c r="AC87" s="785">
        <v>25.69</v>
      </c>
      <c r="AD87" s="785">
        <v>26.13</v>
      </c>
      <c r="AE87" s="819">
        <v>7.0000000000000001E-3</v>
      </c>
      <c r="AF87" s="785"/>
      <c r="AG87" s="785"/>
      <c r="AH87" s="785"/>
      <c r="AI87" s="785"/>
      <c r="AJ87" s="785"/>
      <c r="AK87" s="785"/>
      <c r="AL87" s="785"/>
      <c r="AM87" s="785"/>
      <c r="AN87" s="785"/>
      <c r="AO87" s="785"/>
      <c r="AP87" s="785"/>
      <c r="AQ87" s="785"/>
      <c r="AR87" s="785"/>
      <c r="AS87" s="785"/>
      <c r="AT87" s="785"/>
      <c r="AU87" s="785"/>
      <c r="AV87" s="785"/>
      <c r="AW87" s="785"/>
      <c r="AX87" s="785"/>
      <c r="AY87" s="785"/>
      <c r="AZ87" s="785"/>
      <c r="BA87" s="785"/>
      <c r="BB87" s="785"/>
      <c r="BC87" s="785"/>
      <c r="BD87" s="785"/>
      <c r="BE87" s="785"/>
      <c r="BF87" s="785"/>
      <c r="BG87" s="785"/>
      <c r="BH87" s="785"/>
      <c r="BI87" s="785"/>
      <c r="BJ87" s="785"/>
      <c r="BK87" s="785"/>
      <c r="BL87" s="785"/>
      <c r="BM87" s="785"/>
      <c r="BN87" s="785"/>
      <c r="BO87" s="785"/>
      <c r="BP87" s="785"/>
      <c r="BQ87" s="785"/>
      <c r="BR87" s="785"/>
      <c r="BS87" s="785"/>
      <c r="BT87" s="785"/>
    </row>
    <row r="88" spans="1:72">
      <c r="A88" s="785" t="s">
        <v>721</v>
      </c>
      <c r="B88" s="785">
        <v>8.39</v>
      </c>
      <c r="C88" s="785">
        <v>15.52</v>
      </c>
      <c r="D88" s="785">
        <v>9.27</v>
      </c>
      <c r="E88" s="785">
        <v>9.4499999999999993</v>
      </c>
      <c r="F88" s="785">
        <v>9.6300000000000008</v>
      </c>
      <c r="G88" s="785">
        <v>10.85</v>
      </c>
      <c r="H88" s="785">
        <v>11.98</v>
      </c>
      <c r="I88" s="785">
        <v>12.76</v>
      </c>
      <c r="J88" s="785">
        <v>13.13</v>
      </c>
      <c r="K88" s="785">
        <v>13.68</v>
      </c>
      <c r="L88" s="785">
        <v>14.17</v>
      </c>
      <c r="M88" s="785">
        <v>14.69</v>
      </c>
      <c r="N88" s="785">
        <v>15.26</v>
      </c>
      <c r="O88" s="785">
        <v>15.46</v>
      </c>
      <c r="P88" s="785">
        <v>15.68</v>
      </c>
      <c r="Q88" s="785">
        <v>15.89</v>
      </c>
      <c r="R88" s="785">
        <v>16.12</v>
      </c>
      <c r="S88" s="785">
        <v>16.34</v>
      </c>
      <c r="T88" s="785">
        <v>16.54</v>
      </c>
      <c r="U88" s="785">
        <v>16.63</v>
      </c>
      <c r="V88" s="785">
        <v>16.82</v>
      </c>
      <c r="W88" s="785">
        <v>17.059999999999999</v>
      </c>
      <c r="X88" s="785">
        <v>17.28</v>
      </c>
      <c r="Y88" s="785">
        <v>17.54</v>
      </c>
      <c r="Z88" s="785">
        <v>17.89</v>
      </c>
      <c r="AA88" s="785">
        <v>18.12</v>
      </c>
      <c r="AB88" s="785">
        <v>18.25</v>
      </c>
      <c r="AC88" s="785">
        <v>18.68</v>
      </c>
      <c r="AD88" s="785">
        <v>18.84</v>
      </c>
      <c r="AE88" s="819">
        <v>7.0000000000000001E-3</v>
      </c>
      <c r="AF88" s="785"/>
      <c r="AG88" s="785"/>
      <c r="AH88" s="785"/>
      <c r="AI88" s="785"/>
      <c r="AJ88" s="785"/>
      <c r="AK88" s="785"/>
      <c r="AL88" s="785"/>
      <c r="AM88" s="785"/>
      <c r="AN88" s="785"/>
      <c r="AO88" s="785"/>
      <c r="AP88" s="785"/>
      <c r="AQ88" s="785"/>
      <c r="AR88" s="785"/>
      <c r="AS88" s="785"/>
      <c r="AT88" s="785"/>
      <c r="AU88" s="785"/>
      <c r="AV88" s="785"/>
      <c r="AW88" s="785"/>
      <c r="AX88" s="785"/>
      <c r="AY88" s="785"/>
      <c r="AZ88" s="785"/>
      <c r="BA88" s="785"/>
      <c r="BB88" s="785"/>
      <c r="BC88" s="785"/>
      <c r="BD88" s="785"/>
      <c r="BE88" s="785"/>
      <c r="BF88" s="785"/>
      <c r="BG88" s="785"/>
      <c r="BH88" s="785"/>
      <c r="BI88" s="785"/>
      <c r="BJ88" s="785"/>
      <c r="BK88" s="785"/>
      <c r="BL88" s="785"/>
      <c r="BM88" s="785"/>
      <c r="BN88" s="785"/>
      <c r="BO88" s="785"/>
      <c r="BP88" s="785"/>
      <c r="BQ88" s="785"/>
      <c r="BR88" s="785"/>
      <c r="BS88" s="785"/>
      <c r="BT88" s="785"/>
    </row>
    <row r="89" spans="1:72">
      <c r="A89" s="785" t="s">
        <v>508</v>
      </c>
      <c r="B89" s="785">
        <v>11.2</v>
      </c>
      <c r="C89" s="785">
        <v>11.94</v>
      </c>
      <c r="D89" s="785">
        <v>9.0500000000000007</v>
      </c>
      <c r="E89" s="785">
        <v>8.67</v>
      </c>
      <c r="F89" s="785">
        <v>9.7200000000000006</v>
      </c>
      <c r="G89" s="785">
        <v>10.07</v>
      </c>
      <c r="H89" s="785">
        <v>9.92</v>
      </c>
      <c r="I89" s="785">
        <v>9.85</v>
      </c>
      <c r="J89" s="785">
        <v>9.99</v>
      </c>
      <c r="K89" s="785">
        <v>10.08</v>
      </c>
      <c r="L89" s="785">
        <v>10.11</v>
      </c>
      <c r="M89" s="785">
        <v>10.16</v>
      </c>
      <c r="N89" s="785">
        <v>10.23</v>
      </c>
      <c r="O89" s="785">
        <v>10.35</v>
      </c>
      <c r="P89" s="785">
        <v>10.46</v>
      </c>
      <c r="Q89" s="785">
        <v>10.65</v>
      </c>
      <c r="R89" s="785">
        <v>10.69</v>
      </c>
      <c r="S89" s="785">
        <v>10.62</v>
      </c>
      <c r="T89" s="785">
        <v>10.7</v>
      </c>
      <c r="U89" s="785">
        <v>10.86</v>
      </c>
      <c r="V89" s="785">
        <v>11.04</v>
      </c>
      <c r="W89" s="785">
        <v>11.28</v>
      </c>
      <c r="X89" s="785">
        <v>11.52</v>
      </c>
      <c r="Y89" s="785">
        <v>11.78</v>
      </c>
      <c r="Z89" s="785">
        <v>12.11</v>
      </c>
      <c r="AA89" s="785">
        <v>12.26</v>
      </c>
      <c r="AB89" s="785">
        <v>12.32</v>
      </c>
      <c r="AC89" s="785">
        <v>12.52</v>
      </c>
      <c r="AD89" s="785">
        <v>12.66</v>
      </c>
      <c r="AE89" s="819">
        <v>2E-3</v>
      </c>
      <c r="AF89" s="785"/>
      <c r="AG89" s="785"/>
      <c r="AH89" s="785"/>
      <c r="AI89" s="785"/>
      <c r="AJ89" s="785"/>
      <c r="AK89" s="785"/>
      <c r="AL89" s="785"/>
      <c r="AM89" s="785"/>
      <c r="AN89" s="785"/>
      <c r="AO89" s="785"/>
      <c r="AP89" s="785"/>
      <c r="AQ89" s="785"/>
      <c r="AR89" s="785"/>
      <c r="AS89" s="785"/>
      <c r="AT89" s="785"/>
      <c r="AU89" s="785"/>
      <c r="AV89" s="785"/>
      <c r="AW89" s="785"/>
      <c r="AX89" s="785"/>
      <c r="AY89" s="785"/>
      <c r="AZ89" s="785"/>
      <c r="BA89" s="785"/>
      <c r="BB89" s="785"/>
      <c r="BC89" s="785"/>
      <c r="BD89" s="785"/>
      <c r="BE89" s="785"/>
      <c r="BF89" s="785"/>
      <c r="BG89" s="785"/>
      <c r="BH89" s="785"/>
      <c r="BI89" s="785"/>
      <c r="BJ89" s="785"/>
      <c r="BK89" s="785"/>
      <c r="BL89" s="785"/>
      <c r="BM89" s="785"/>
      <c r="BN89" s="785"/>
      <c r="BO89" s="785"/>
      <c r="BP89" s="785"/>
      <c r="BQ89" s="785"/>
      <c r="BR89" s="785"/>
      <c r="BS89" s="785"/>
      <c r="BT89" s="785"/>
    </row>
    <row r="90" spans="1:72">
      <c r="A90" s="785" t="s">
        <v>477</v>
      </c>
      <c r="B90" s="785">
        <v>28.81</v>
      </c>
      <c r="C90" s="785">
        <v>30.47</v>
      </c>
      <c r="D90" s="785">
        <v>28.94</v>
      </c>
      <c r="E90" s="785">
        <v>27.37</v>
      </c>
      <c r="F90" s="785">
        <v>25.72</v>
      </c>
      <c r="G90" s="785">
        <v>26.72</v>
      </c>
      <c r="H90" s="785">
        <v>26.81</v>
      </c>
      <c r="I90" s="785">
        <v>26.55</v>
      </c>
      <c r="J90" s="785">
        <v>26.55</v>
      </c>
      <c r="K90" s="785">
        <v>26.81</v>
      </c>
      <c r="L90" s="785">
        <v>26.97</v>
      </c>
      <c r="M90" s="785">
        <v>26.98</v>
      </c>
      <c r="N90" s="785">
        <v>26.93</v>
      </c>
      <c r="O90" s="785">
        <v>27.12</v>
      </c>
      <c r="P90" s="785">
        <v>27.31</v>
      </c>
      <c r="Q90" s="785">
        <v>27.42</v>
      </c>
      <c r="R90" s="785">
        <v>27.62</v>
      </c>
      <c r="S90" s="785">
        <v>27.77</v>
      </c>
      <c r="T90" s="785">
        <v>27.72</v>
      </c>
      <c r="U90" s="785">
        <v>27.87</v>
      </c>
      <c r="V90" s="785">
        <v>28.05</v>
      </c>
      <c r="W90" s="785">
        <v>28.25</v>
      </c>
      <c r="X90" s="785">
        <v>28.67</v>
      </c>
      <c r="Y90" s="785">
        <v>28.99</v>
      </c>
      <c r="Z90" s="785">
        <v>29.37</v>
      </c>
      <c r="AA90" s="785">
        <v>29.73</v>
      </c>
      <c r="AB90" s="785">
        <v>29.9</v>
      </c>
      <c r="AC90" s="785">
        <v>30.15</v>
      </c>
      <c r="AD90" s="785">
        <v>30.37</v>
      </c>
      <c r="AE90" s="819">
        <v>0</v>
      </c>
      <c r="AF90" s="785"/>
      <c r="AG90" s="785"/>
      <c r="AH90" s="785"/>
      <c r="AI90" s="785"/>
      <c r="AJ90" s="785"/>
      <c r="AK90" s="785"/>
      <c r="AL90" s="785"/>
      <c r="AM90" s="785"/>
      <c r="AN90" s="785"/>
      <c r="AO90" s="785"/>
      <c r="AP90" s="785"/>
      <c r="AQ90" s="785"/>
      <c r="AR90" s="785"/>
      <c r="AS90" s="785"/>
      <c r="AT90" s="785"/>
      <c r="AU90" s="785"/>
      <c r="AV90" s="785"/>
      <c r="AW90" s="785"/>
      <c r="AX90" s="785"/>
      <c r="AY90" s="785"/>
      <c r="AZ90" s="785"/>
      <c r="BA90" s="785"/>
      <c r="BB90" s="785"/>
      <c r="BC90" s="785"/>
      <c r="BD90" s="785"/>
      <c r="BE90" s="785"/>
      <c r="BF90" s="785"/>
      <c r="BG90" s="785"/>
      <c r="BH90" s="785"/>
      <c r="BI90" s="785"/>
      <c r="BJ90" s="785"/>
      <c r="BK90" s="785"/>
      <c r="BL90" s="785"/>
      <c r="BM90" s="785"/>
      <c r="BN90" s="785"/>
      <c r="BO90" s="785"/>
      <c r="BP90" s="785"/>
      <c r="BQ90" s="785"/>
      <c r="BR90" s="785"/>
      <c r="BS90" s="785"/>
      <c r="BT90" s="785"/>
    </row>
    <row r="91" spans="1:72">
      <c r="A91" s="785"/>
      <c r="B91" s="785"/>
      <c r="C91" s="785"/>
      <c r="D91" s="785"/>
      <c r="E91" s="785"/>
      <c r="F91" s="785"/>
      <c r="G91" s="785"/>
      <c r="H91" s="785"/>
      <c r="I91" s="785"/>
      <c r="J91" s="785"/>
      <c r="K91" s="785"/>
      <c r="L91" s="785"/>
      <c r="M91" s="785"/>
      <c r="N91" s="785"/>
      <c r="O91" s="785"/>
      <c r="P91" s="785"/>
      <c r="Q91" s="785"/>
      <c r="R91" s="785"/>
      <c r="S91" s="785"/>
      <c r="T91" s="785"/>
      <c r="U91" s="785"/>
      <c r="V91" s="785"/>
      <c r="W91" s="785"/>
      <c r="X91" s="785"/>
      <c r="Y91" s="785"/>
      <c r="Z91" s="785"/>
      <c r="AA91" s="785"/>
      <c r="AB91" s="785"/>
      <c r="AC91" s="785"/>
      <c r="AD91" s="785"/>
      <c r="AE91" s="785"/>
      <c r="AF91" s="785"/>
      <c r="AG91" s="785"/>
      <c r="AH91" s="785"/>
      <c r="AI91" s="785"/>
      <c r="AJ91" s="785"/>
      <c r="AK91" s="785"/>
      <c r="AL91" s="785"/>
      <c r="AM91" s="785"/>
      <c r="AN91" s="785"/>
      <c r="AO91" s="785"/>
      <c r="AP91" s="785"/>
      <c r="AQ91" s="785"/>
      <c r="AR91" s="785"/>
      <c r="AS91" s="785"/>
      <c r="AT91" s="785"/>
      <c r="AU91" s="785"/>
      <c r="AV91" s="785"/>
      <c r="AW91" s="785"/>
      <c r="AX91" s="785"/>
      <c r="AY91" s="785"/>
      <c r="AZ91" s="785"/>
      <c r="BA91" s="785"/>
      <c r="BB91" s="785"/>
      <c r="BC91" s="785"/>
      <c r="BD91" s="785"/>
      <c r="BE91" s="785"/>
      <c r="BF91" s="785"/>
      <c r="BG91" s="785"/>
      <c r="BH91" s="785"/>
      <c r="BI91" s="785"/>
      <c r="BJ91" s="785"/>
      <c r="BK91" s="785"/>
      <c r="BL91" s="785"/>
      <c r="BM91" s="785"/>
      <c r="BN91" s="785"/>
      <c r="BO91" s="785"/>
      <c r="BP91" s="785"/>
      <c r="BQ91" s="785"/>
      <c r="BR91" s="785"/>
      <c r="BS91" s="785"/>
      <c r="BT91" s="785"/>
    </row>
    <row r="92" spans="1:72">
      <c r="A92" s="785" t="s">
        <v>610</v>
      </c>
      <c r="B92" s="785"/>
      <c r="C92" s="785"/>
      <c r="D92" s="785"/>
      <c r="E92" s="785"/>
      <c r="F92" s="785"/>
      <c r="G92" s="785"/>
      <c r="H92" s="785"/>
      <c r="I92" s="785"/>
      <c r="J92" s="785"/>
      <c r="K92" s="785"/>
      <c r="L92" s="785"/>
      <c r="M92" s="785"/>
      <c r="N92" s="785"/>
      <c r="O92" s="785"/>
      <c r="P92" s="785"/>
      <c r="Q92" s="785"/>
      <c r="R92" s="785"/>
      <c r="S92" s="785"/>
      <c r="T92" s="785"/>
      <c r="U92" s="785"/>
      <c r="V92" s="785"/>
      <c r="W92" s="785"/>
      <c r="X92" s="785"/>
      <c r="Y92" s="785"/>
      <c r="Z92" s="785"/>
      <c r="AA92" s="785"/>
      <c r="AB92" s="785"/>
      <c r="AC92" s="785"/>
      <c r="AD92" s="785"/>
      <c r="AE92" s="785"/>
      <c r="AF92" s="785"/>
      <c r="AG92" s="785"/>
      <c r="AH92" s="785"/>
      <c r="AI92" s="785"/>
      <c r="AJ92" s="785"/>
      <c r="AK92" s="785"/>
      <c r="AL92" s="785"/>
      <c r="AM92" s="785"/>
      <c r="AN92" s="785"/>
      <c r="AO92" s="785"/>
      <c r="AP92" s="785"/>
      <c r="AQ92" s="785"/>
      <c r="AR92" s="785"/>
      <c r="AS92" s="785"/>
      <c r="AT92" s="785"/>
      <c r="AU92" s="785"/>
      <c r="AV92" s="785"/>
      <c r="AW92" s="785"/>
      <c r="AX92" s="785"/>
      <c r="AY92" s="785"/>
      <c r="AZ92" s="785"/>
      <c r="BA92" s="785"/>
      <c r="BB92" s="785"/>
      <c r="BC92" s="785"/>
      <c r="BD92" s="785"/>
      <c r="BE92" s="785"/>
      <c r="BF92" s="785"/>
      <c r="BG92" s="785"/>
      <c r="BH92" s="785"/>
      <c r="BI92" s="785"/>
      <c r="BJ92" s="785"/>
      <c r="BK92" s="785"/>
      <c r="BL92" s="785"/>
      <c r="BM92" s="785"/>
      <c r="BN92" s="785"/>
      <c r="BO92" s="785"/>
      <c r="BP92" s="785"/>
      <c r="BQ92" s="785"/>
      <c r="BR92" s="785"/>
      <c r="BS92" s="785"/>
      <c r="BT92" s="785"/>
    </row>
    <row r="93" spans="1:72">
      <c r="A93" s="785" t="s">
        <v>607</v>
      </c>
      <c r="B93" s="785">
        <v>22.01</v>
      </c>
      <c r="C93" s="785">
        <v>24.2</v>
      </c>
      <c r="D93" s="785">
        <v>18.64</v>
      </c>
      <c r="E93" s="785">
        <v>18.36</v>
      </c>
      <c r="F93" s="785">
        <v>18.46</v>
      </c>
      <c r="G93" s="785">
        <v>19.61</v>
      </c>
      <c r="H93" s="785">
        <v>20.9</v>
      </c>
      <c r="I93" s="785">
        <v>21.9</v>
      </c>
      <c r="J93" s="785">
        <v>22.49</v>
      </c>
      <c r="K93" s="785">
        <v>23.25</v>
      </c>
      <c r="L93" s="785">
        <v>23.76</v>
      </c>
      <c r="M93" s="785">
        <v>24.31</v>
      </c>
      <c r="N93" s="785">
        <v>24.62</v>
      </c>
      <c r="O93" s="785">
        <v>24.86</v>
      </c>
      <c r="P93" s="785">
        <v>25.09</v>
      </c>
      <c r="Q93" s="785">
        <v>25.3</v>
      </c>
      <c r="R93" s="785">
        <v>25.59</v>
      </c>
      <c r="S93" s="785">
        <v>25.86</v>
      </c>
      <c r="T93" s="785">
        <v>26.12</v>
      </c>
      <c r="U93" s="785">
        <v>26.27</v>
      </c>
      <c r="V93" s="785">
        <v>26.55</v>
      </c>
      <c r="W93" s="785">
        <v>26.8</v>
      </c>
      <c r="X93" s="785">
        <v>27.15</v>
      </c>
      <c r="Y93" s="785">
        <v>27.38</v>
      </c>
      <c r="Z93" s="785">
        <v>27.74</v>
      </c>
      <c r="AA93" s="785">
        <v>28.08</v>
      </c>
      <c r="AB93" s="785">
        <v>28.48</v>
      </c>
      <c r="AC93" s="785">
        <v>28.86</v>
      </c>
      <c r="AD93" s="785">
        <v>29.25</v>
      </c>
      <c r="AE93" s="819">
        <v>7.0000000000000001E-3</v>
      </c>
      <c r="AF93" s="785"/>
      <c r="AG93" s="785"/>
      <c r="AH93" s="785"/>
      <c r="AI93" s="785"/>
      <c r="AJ93" s="785"/>
      <c r="AK93" s="785"/>
      <c r="AL93" s="785"/>
      <c r="AM93" s="785"/>
      <c r="AN93" s="785"/>
      <c r="AO93" s="785"/>
      <c r="AP93" s="785"/>
      <c r="AQ93" s="785"/>
      <c r="AR93" s="785"/>
      <c r="AS93" s="785"/>
      <c r="AT93" s="785"/>
      <c r="AU93" s="785"/>
      <c r="AV93" s="785"/>
      <c r="AW93" s="785"/>
      <c r="AX93" s="785"/>
      <c r="AY93" s="785"/>
      <c r="AZ93" s="785"/>
      <c r="BA93" s="785"/>
      <c r="BB93" s="785"/>
      <c r="BC93" s="785"/>
      <c r="BD93" s="785"/>
      <c r="BE93" s="785"/>
      <c r="BF93" s="785"/>
      <c r="BG93" s="785"/>
      <c r="BH93" s="785"/>
      <c r="BI93" s="785"/>
      <c r="BJ93" s="785"/>
      <c r="BK93" s="785"/>
      <c r="BL93" s="785"/>
      <c r="BM93" s="785"/>
      <c r="BN93" s="785"/>
      <c r="BO93" s="785"/>
      <c r="BP93" s="785"/>
      <c r="BQ93" s="785"/>
      <c r="BR93" s="785"/>
      <c r="BS93" s="785"/>
      <c r="BT93" s="785"/>
    </row>
    <row r="94" spans="1:72">
      <c r="A94" s="785" t="s">
        <v>608</v>
      </c>
      <c r="B94" s="785">
        <v>18.07</v>
      </c>
      <c r="C94" s="785">
        <v>22.31</v>
      </c>
      <c r="D94" s="785">
        <v>16.399999999999999</v>
      </c>
      <c r="E94" s="785">
        <v>14.38</v>
      </c>
      <c r="F94" s="785">
        <v>15.38</v>
      </c>
      <c r="G94" s="785">
        <v>16.55</v>
      </c>
      <c r="H94" s="785">
        <v>17.59</v>
      </c>
      <c r="I94" s="785">
        <v>18.32</v>
      </c>
      <c r="J94" s="785">
        <v>19</v>
      </c>
      <c r="K94" s="785">
        <v>19.8</v>
      </c>
      <c r="L94" s="785">
        <v>20.440000000000001</v>
      </c>
      <c r="M94" s="785">
        <v>21.08</v>
      </c>
      <c r="N94" s="785">
        <v>21.49</v>
      </c>
      <c r="O94" s="785">
        <v>21.83</v>
      </c>
      <c r="P94" s="785">
        <v>22.03</v>
      </c>
      <c r="Q94" s="785">
        <v>22.36</v>
      </c>
      <c r="R94" s="785">
        <v>22.56</v>
      </c>
      <c r="S94" s="785">
        <v>22.67</v>
      </c>
      <c r="T94" s="785">
        <v>22.97</v>
      </c>
      <c r="U94" s="785">
        <v>23.22</v>
      </c>
      <c r="V94" s="785">
        <v>23.48</v>
      </c>
      <c r="W94" s="785">
        <v>23.81</v>
      </c>
      <c r="X94" s="785">
        <v>24.22</v>
      </c>
      <c r="Y94" s="785">
        <v>24.4</v>
      </c>
      <c r="Z94" s="785">
        <v>24.84</v>
      </c>
      <c r="AA94" s="785">
        <v>25.25</v>
      </c>
      <c r="AB94" s="785">
        <v>25.6</v>
      </c>
      <c r="AC94" s="785">
        <v>26.02</v>
      </c>
      <c r="AD94" s="785">
        <v>26.48</v>
      </c>
      <c r="AE94" s="819">
        <v>6.0000000000000001E-3</v>
      </c>
      <c r="AF94" s="785"/>
      <c r="AG94" s="785"/>
      <c r="AH94" s="785"/>
      <c r="AI94" s="785"/>
      <c r="AJ94" s="785"/>
      <c r="AK94" s="785"/>
      <c r="AL94" s="785"/>
      <c r="AM94" s="785"/>
      <c r="AN94" s="785"/>
      <c r="AO94" s="785"/>
      <c r="AP94" s="785"/>
      <c r="AQ94" s="785"/>
      <c r="AR94" s="785"/>
      <c r="AS94" s="785"/>
      <c r="AT94" s="785"/>
      <c r="AU94" s="785"/>
      <c r="AV94" s="785"/>
      <c r="AW94" s="785"/>
      <c r="AX94" s="785"/>
      <c r="AY94" s="785"/>
      <c r="AZ94" s="785"/>
      <c r="BA94" s="785"/>
      <c r="BB94" s="785"/>
      <c r="BC94" s="785"/>
      <c r="BD94" s="785"/>
      <c r="BE94" s="785"/>
      <c r="BF94" s="785"/>
      <c r="BG94" s="785"/>
      <c r="BH94" s="785"/>
      <c r="BI94" s="785"/>
      <c r="BJ94" s="785"/>
      <c r="BK94" s="785"/>
      <c r="BL94" s="785"/>
      <c r="BM94" s="785"/>
      <c r="BN94" s="785"/>
      <c r="BO94" s="785"/>
      <c r="BP94" s="785"/>
      <c r="BQ94" s="785"/>
      <c r="BR94" s="785"/>
      <c r="BS94" s="785"/>
      <c r="BT94" s="785"/>
    </row>
    <row r="95" spans="1:72">
      <c r="A95" s="785" t="s">
        <v>609</v>
      </c>
      <c r="B95" s="785">
        <v>8.84</v>
      </c>
      <c r="C95" s="785">
        <v>16.309999999999999</v>
      </c>
      <c r="D95" s="785">
        <v>9.75</v>
      </c>
      <c r="E95" s="785">
        <v>13.12</v>
      </c>
      <c r="F95" s="785">
        <v>13.24</v>
      </c>
      <c r="G95" s="785">
        <v>14.32</v>
      </c>
      <c r="H95" s="785">
        <v>15.31</v>
      </c>
      <c r="I95" s="785">
        <v>16.079999999999998</v>
      </c>
      <c r="J95" s="785">
        <v>16.47</v>
      </c>
      <c r="K95" s="785">
        <v>16.96</v>
      </c>
      <c r="L95" s="785">
        <v>17.37</v>
      </c>
      <c r="M95" s="785">
        <v>17.82</v>
      </c>
      <c r="N95" s="785">
        <v>18.09</v>
      </c>
      <c r="O95" s="785">
        <v>18.2</v>
      </c>
      <c r="P95" s="785">
        <v>18.43</v>
      </c>
      <c r="Q95" s="785">
        <v>18.61</v>
      </c>
      <c r="R95" s="785">
        <v>18.82</v>
      </c>
      <c r="S95" s="785">
        <v>19.03</v>
      </c>
      <c r="T95" s="785">
        <v>19.23</v>
      </c>
      <c r="U95" s="785">
        <v>19.3</v>
      </c>
      <c r="V95" s="785">
        <v>19.489999999999998</v>
      </c>
      <c r="W95" s="785">
        <v>19.73</v>
      </c>
      <c r="X95" s="785">
        <v>19.98</v>
      </c>
      <c r="Y95" s="785">
        <v>20.27</v>
      </c>
      <c r="Z95" s="785">
        <v>20.61</v>
      </c>
      <c r="AA95" s="785">
        <v>20.87</v>
      </c>
      <c r="AB95" s="785">
        <v>21.12</v>
      </c>
      <c r="AC95" s="785">
        <v>21.44</v>
      </c>
      <c r="AD95" s="785">
        <v>21.72</v>
      </c>
      <c r="AE95" s="819">
        <v>1.0999999999999999E-2</v>
      </c>
      <c r="AF95" s="785"/>
      <c r="AG95" s="785"/>
      <c r="AH95" s="785"/>
      <c r="AI95" s="785"/>
      <c r="AJ95" s="785"/>
      <c r="AK95" s="785"/>
      <c r="AL95" s="785"/>
      <c r="AM95" s="785"/>
      <c r="AN95" s="785"/>
      <c r="AO95" s="785"/>
      <c r="AP95" s="785"/>
      <c r="AQ95" s="785"/>
      <c r="AR95" s="785"/>
      <c r="AS95" s="785"/>
      <c r="AT95" s="785"/>
      <c r="AU95" s="785"/>
      <c r="AV95" s="785"/>
      <c r="AW95" s="785"/>
      <c r="AX95" s="785"/>
      <c r="AY95" s="785"/>
      <c r="AZ95" s="785"/>
      <c r="BA95" s="785"/>
      <c r="BB95" s="785"/>
      <c r="BC95" s="785"/>
      <c r="BD95" s="785"/>
      <c r="BE95" s="785"/>
      <c r="BF95" s="785"/>
      <c r="BG95" s="785"/>
      <c r="BH95" s="785"/>
      <c r="BI95" s="785"/>
      <c r="BJ95" s="785"/>
      <c r="BK95" s="785"/>
      <c r="BL95" s="785"/>
      <c r="BM95" s="785"/>
      <c r="BN95" s="785"/>
      <c r="BO95" s="785"/>
      <c r="BP95" s="785"/>
      <c r="BQ95" s="785"/>
      <c r="BR95" s="785"/>
      <c r="BS95" s="785"/>
      <c r="BT95" s="785"/>
    </row>
    <row r="96" spans="1:72">
      <c r="A96" s="785" t="s">
        <v>611</v>
      </c>
      <c r="B96" s="785">
        <v>7.58</v>
      </c>
      <c r="C96" s="785">
        <v>9.11</v>
      </c>
      <c r="D96" s="785">
        <v>4.2</v>
      </c>
      <c r="E96" s="785">
        <v>4.87</v>
      </c>
      <c r="F96" s="785">
        <v>5.97</v>
      </c>
      <c r="G96" s="785">
        <v>6.39</v>
      </c>
      <c r="H96" s="785">
        <v>6.33</v>
      </c>
      <c r="I96" s="785">
        <v>6.28</v>
      </c>
      <c r="J96" s="785">
        <v>6.45</v>
      </c>
      <c r="K96" s="785">
        <v>6.52</v>
      </c>
      <c r="L96" s="785">
        <v>6.51</v>
      </c>
      <c r="M96" s="785">
        <v>6.55</v>
      </c>
      <c r="N96" s="785">
        <v>6.6</v>
      </c>
      <c r="O96" s="785">
        <v>6.7</v>
      </c>
      <c r="P96" s="785">
        <v>6.78</v>
      </c>
      <c r="Q96" s="785">
        <v>6.96</v>
      </c>
      <c r="R96" s="785">
        <v>7.01</v>
      </c>
      <c r="S96" s="785">
        <v>6.96</v>
      </c>
      <c r="T96" s="785">
        <v>7.02</v>
      </c>
      <c r="U96" s="785">
        <v>7.15</v>
      </c>
      <c r="V96" s="785">
        <v>7.29</v>
      </c>
      <c r="W96" s="785">
        <v>7.51</v>
      </c>
      <c r="X96" s="785">
        <v>7.73</v>
      </c>
      <c r="Y96" s="785">
        <v>7.98</v>
      </c>
      <c r="Z96" s="785">
        <v>8.2899999999999991</v>
      </c>
      <c r="AA96" s="785">
        <v>8.4</v>
      </c>
      <c r="AB96" s="785">
        <v>8.42</v>
      </c>
      <c r="AC96" s="785">
        <v>8.61</v>
      </c>
      <c r="AD96" s="785">
        <v>8.73</v>
      </c>
      <c r="AE96" s="819">
        <v>-2E-3</v>
      </c>
      <c r="AF96" s="785"/>
      <c r="AG96" s="785"/>
      <c r="AH96" s="785"/>
      <c r="AI96" s="785"/>
      <c r="AJ96" s="785"/>
      <c r="AK96" s="785"/>
      <c r="AL96" s="785"/>
      <c r="AM96" s="785"/>
      <c r="AN96" s="785"/>
      <c r="AO96" s="785"/>
      <c r="AP96" s="785"/>
      <c r="AQ96" s="785"/>
      <c r="AR96" s="785"/>
      <c r="AS96" s="785"/>
      <c r="AT96" s="785"/>
      <c r="AU96" s="785"/>
      <c r="AV96" s="785"/>
      <c r="AW96" s="785"/>
      <c r="AX96" s="785"/>
      <c r="AY96" s="785"/>
      <c r="AZ96" s="785"/>
      <c r="BA96" s="785"/>
      <c r="BB96" s="785"/>
      <c r="BC96" s="785"/>
      <c r="BD96" s="785"/>
      <c r="BE96" s="785"/>
      <c r="BF96" s="785"/>
      <c r="BG96" s="785"/>
      <c r="BH96" s="785"/>
      <c r="BI96" s="785"/>
      <c r="BJ96" s="785"/>
      <c r="BK96" s="785"/>
      <c r="BL96" s="785"/>
      <c r="BM96" s="785"/>
      <c r="BN96" s="785"/>
      <c r="BO96" s="785"/>
      <c r="BP96" s="785"/>
      <c r="BQ96" s="785"/>
      <c r="BR96" s="785"/>
      <c r="BS96" s="785"/>
      <c r="BT96" s="785"/>
    </row>
    <row r="97" spans="1:72">
      <c r="A97" s="785" t="s">
        <v>612</v>
      </c>
      <c r="B97" s="785">
        <v>3.69</v>
      </c>
      <c r="C97" s="785">
        <v>4.49</v>
      </c>
      <c r="D97" s="785">
        <v>4.72</v>
      </c>
      <c r="E97" s="785">
        <v>4.8</v>
      </c>
      <c r="F97" s="785">
        <v>4.8600000000000003</v>
      </c>
      <c r="G97" s="785">
        <v>5.0199999999999996</v>
      </c>
      <c r="H97" s="785">
        <v>5.05</v>
      </c>
      <c r="I97" s="785">
        <v>5.08</v>
      </c>
      <c r="J97" s="785">
        <v>5.08</v>
      </c>
      <c r="K97" s="785">
        <v>5.09</v>
      </c>
      <c r="L97" s="785">
        <v>5.16</v>
      </c>
      <c r="M97" s="785">
        <v>5.22</v>
      </c>
      <c r="N97" s="785">
        <v>5.29</v>
      </c>
      <c r="O97" s="785">
        <v>5.32</v>
      </c>
      <c r="P97" s="785">
        <v>5.35</v>
      </c>
      <c r="Q97" s="785">
        <v>5.36</v>
      </c>
      <c r="R97" s="785">
        <v>5.35</v>
      </c>
      <c r="S97" s="785">
        <v>5.32</v>
      </c>
      <c r="T97" s="785">
        <v>5.24</v>
      </c>
      <c r="U97" s="785">
        <v>5.16</v>
      </c>
      <c r="V97" s="785">
        <v>5.14</v>
      </c>
      <c r="W97" s="785">
        <v>5.14</v>
      </c>
      <c r="X97" s="785">
        <v>5.1100000000000003</v>
      </c>
      <c r="Y97" s="785">
        <v>5.1100000000000003</v>
      </c>
      <c r="Z97" s="785">
        <v>5.09</v>
      </c>
      <c r="AA97" s="785">
        <v>5.08</v>
      </c>
      <c r="AB97" s="785">
        <v>5.08</v>
      </c>
      <c r="AC97" s="785">
        <v>5.0599999999999996</v>
      </c>
      <c r="AD97" s="785">
        <v>5.0599999999999996</v>
      </c>
      <c r="AE97" s="819">
        <v>4.0000000000000001E-3</v>
      </c>
      <c r="AF97" s="785"/>
      <c r="AG97" s="785"/>
      <c r="AH97" s="785"/>
      <c r="AI97" s="785"/>
      <c r="AJ97" s="785"/>
      <c r="AK97" s="785"/>
      <c r="AL97" s="785"/>
      <c r="AM97" s="785"/>
      <c r="AN97" s="785"/>
      <c r="AO97" s="785"/>
      <c r="AP97" s="785"/>
      <c r="AQ97" s="785"/>
      <c r="AR97" s="785"/>
      <c r="AS97" s="785"/>
      <c r="AT97" s="785"/>
      <c r="AU97" s="785"/>
      <c r="AV97" s="785"/>
      <c r="AW97" s="785"/>
      <c r="AX97" s="785"/>
      <c r="AY97" s="785"/>
      <c r="AZ97" s="785"/>
      <c r="BA97" s="785"/>
      <c r="BB97" s="785"/>
      <c r="BC97" s="785"/>
      <c r="BD97" s="785"/>
      <c r="BE97" s="785"/>
      <c r="BF97" s="785"/>
      <c r="BG97" s="785"/>
      <c r="BH97" s="785"/>
      <c r="BI97" s="785"/>
      <c r="BJ97" s="785"/>
      <c r="BK97" s="785"/>
      <c r="BL97" s="785"/>
      <c r="BM97" s="785"/>
      <c r="BN97" s="785"/>
      <c r="BO97" s="785"/>
      <c r="BP97" s="785"/>
      <c r="BQ97" s="785"/>
      <c r="BR97" s="785"/>
      <c r="BS97" s="785"/>
      <c r="BT97" s="785"/>
    </row>
    <row r="98" spans="1:72">
      <c r="A98" s="785" t="s">
        <v>613</v>
      </c>
      <c r="B98" s="785">
        <v>2.48</v>
      </c>
      <c r="C98" s="785">
        <v>2.84</v>
      </c>
      <c r="D98" s="785">
        <v>2.79</v>
      </c>
      <c r="E98" s="785">
        <v>2.69</v>
      </c>
      <c r="F98" s="785">
        <v>2.69</v>
      </c>
      <c r="G98" s="785">
        <v>2.69</v>
      </c>
      <c r="H98" s="785">
        <v>2.66</v>
      </c>
      <c r="I98" s="785">
        <v>2.68</v>
      </c>
      <c r="J98" s="785">
        <v>2.69</v>
      </c>
      <c r="K98" s="785">
        <v>2.68</v>
      </c>
      <c r="L98" s="785">
        <v>2.69</v>
      </c>
      <c r="M98" s="785">
        <v>2.68</v>
      </c>
      <c r="N98" s="785">
        <v>2.67</v>
      </c>
      <c r="O98" s="785">
        <v>2.66</v>
      </c>
      <c r="P98" s="785">
        <v>2.65</v>
      </c>
      <c r="Q98" s="785">
        <v>2.65</v>
      </c>
      <c r="R98" s="785">
        <v>2.63</v>
      </c>
      <c r="S98" s="785">
        <v>2.63</v>
      </c>
      <c r="T98" s="785">
        <v>2.63</v>
      </c>
      <c r="U98" s="785">
        <v>2.64</v>
      </c>
      <c r="V98" s="785">
        <v>2.63</v>
      </c>
      <c r="W98" s="785">
        <v>2.64</v>
      </c>
      <c r="X98" s="785">
        <v>2.65</v>
      </c>
      <c r="Y98" s="785">
        <v>2.66</v>
      </c>
      <c r="Z98" s="785">
        <v>2.67</v>
      </c>
      <c r="AA98" s="785">
        <v>2.67</v>
      </c>
      <c r="AB98" s="785">
        <v>2.69</v>
      </c>
      <c r="AC98" s="785">
        <v>2.7</v>
      </c>
      <c r="AD98" s="785">
        <v>2.71</v>
      </c>
      <c r="AE98" s="819">
        <v>-2E-3</v>
      </c>
      <c r="AF98" s="785"/>
      <c r="AG98" s="785"/>
      <c r="AH98" s="785"/>
      <c r="AI98" s="785"/>
      <c r="AJ98" s="785"/>
      <c r="AK98" s="785"/>
      <c r="AL98" s="785"/>
      <c r="AM98" s="785"/>
      <c r="AN98" s="785"/>
      <c r="AO98" s="785"/>
      <c r="AP98" s="785"/>
      <c r="AQ98" s="785"/>
      <c r="AR98" s="785"/>
      <c r="AS98" s="785"/>
      <c r="AT98" s="785"/>
      <c r="AU98" s="785"/>
      <c r="AV98" s="785"/>
      <c r="AW98" s="785"/>
      <c r="AX98" s="785"/>
      <c r="AY98" s="785"/>
      <c r="AZ98" s="785"/>
      <c r="BA98" s="785"/>
      <c r="BB98" s="785"/>
      <c r="BC98" s="785"/>
      <c r="BD98" s="785"/>
      <c r="BE98" s="785"/>
      <c r="BF98" s="785"/>
      <c r="BG98" s="785"/>
      <c r="BH98" s="785"/>
      <c r="BI98" s="785"/>
      <c r="BJ98" s="785"/>
      <c r="BK98" s="785"/>
      <c r="BL98" s="785"/>
      <c r="BM98" s="785"/>
      <c r="BN98" s="785"/>
      <c r="BO98" s="785"/>
      <c r="BP98" s="785"/>
      <c r="BQ98" s="785"/>
      <c r="BR98" s="785"/>
      <c r="BS98" s="785"/>
      <c r="BT98" s="785"/>
    </row>
    <row r="99" spans="1:72">
      <c r="A99" s="785" t="s">
        <v>614</v>
      </c>
      <c r="B99" s="785" t="s">
        <v>786</v>
      </c>
      <c r="C99" s="785" t="s">
        <v>786</v>
      </c>
      <c r="D99" s="785" t="s">
        <v>786</v>
      </c>
      <c r="E99" s="785" t="s">
        <v>786</v>
      </c>
      <c r="F99" s="785">
        <v>1.26</v>
      </c>
      <c r="G99" s="785">
        <v>1.04</v>
      </c>
      <c r="H99" s="785">
        <v>1.04</v>
      </c>
      <c r="I99" s="785">
        <v>1.41</v>
      </c>
      <c r="J99" s="785">
        <v>1.42</v>
      </c>
      <c r="K99" s="785">
        <v>1.46</v>
      </c>
      <c r="L99" s="785">
        <v>1.48</v>
      </c>
      <c r="M99" s="785">
        <v>1.48</v>
      </c>
      <c r="N99" s="785">
        <v>1.47</v>
      </c>
      <c r="O99" s="785">
        <v>1.46</v>
      </c>
      <c r="P99" s="785">
        <v>1.49</v>
      </c>
      <c r="Q99" s="785">
        <v>1.5</v>
      </c>
      <c r="R99" s="785">
        <v>1.52</v>
      </c>
      <c r="S99" s="785">
        <v>1.49</v>
      </c>
      <c r="T99" s="785">
        <v>1.49</v>
      </c>
      <c r="U99" s="785">
        <v>1.47</v>
      </c>
      <c r="V99" s="785">
        <v>1.46</v>
      </c>
      <c r="W99" s="785">
        <v>1.45</v>
      </c>
      <c r="X99" s="785">
        <v>1.44</v>
      </c>
      <c r="Y99" s="785">
        <v>1.44</v>
      </c>
      <c r="Z99" s="785">
        <v>1.44</v>
      </c>
      <c r="AA99" s="785">
        <v>1.44</v>
      </c>
      <c r="AB99" s="785">
        <v>1.46</v>
      </c>
      <c r="AC99" s="785">
        <v>1.48</v>
      </c>
      <c r="AD99" s="785">
        <v>1.51</v>
      </c>
      <c r="AE99" s="785" t="s">
        <v>786</v>
      </c>
      <c r="AF99" s="785"/>
      <c r="AG99" s="785"/>
      <c r="AH99" s="785"/>
      <c r="AI99" s="785"/>
      <c r="AJ99" s="785"/>
      <c r="AK99" s="785"/>
      <c r="AL99" s="785"/>
      <c r="AM99" s="785"/>
      <c r="AN99" s="785"/>
      <c r="AO99" s="785"/>
      <c r="AP99" s="785"/>
      <c r="AQ99" s="785"/>
      <c r="AR99" s="785"/>
      <c r="AS99" s="785"/>
      <c r="AT99" s="785"/>
      <c r="AU99" s="785"/>
      <c r="AV99" s="785"/>
      <c r="AW99" s="785"/>
      <c r="AX99" s="785"/>
      <c r="AY99" s="785"/>
      <c r="AZ99" s="785"/>
      <c r="BA99" s="785"/>
      <c r="BB99" s="785"/>
      <c r="BC99" s="785"/>
      <c r="BD99" s="785"/>
      <c r="BE99" s="785"/>
      <c r="BF99" s="785"/>
      <c r="BG99" s="785"/>
      <c r="BH99" s="785"/>
      <c r="BI99" s="785"/>
      <c r="BJ99" s="785"/>
      <c r="BK99" s="785"/>
      <c r="BL99" s="785"/>
      <c r="BM99" s="785"/>
      <c r="BN99" s="785"/>
      <c r="BO99" s="785"/>
      <c r="BP99" s="785"/>
      <c r="BQ99" s="785"/>
      <c r="BR99" s="785"/>
      <c r="BS99" s="785"/>
      <c r="BT99" s="785"/>
    </row>
    <row r="100" spans="1:72">
      <c r="A100" s="785" t="s">
        <v>477</v>
      </c>
      <c r="B100" s="785">
        <v>19.02</v>
      </c>
      <c r="C100" s="785">
        <v>20.21</v>
      </c>
      <c r="D100" s="785">
        <v>20.04</v>
      </c>
      <c r="E100" s="785">
        <v>19.149999999999999</v>
      </c>
      <c r="F100" s="785">
        <v>17.11</v>
      </c>
      <c r="G100" s="785">
        <v>17.73</v>
      </c>
      <c r="H100" s="785">
        <v>17.62</v>
      </c>
      <c r="I100" s="785">
        <v>17.350000000000001</v>
      </c>
      <c r="J100" s="785">
        <v>17.37</v>
      </c>
      <c r="K100" s="785">
        <v>17.62</v>
      </c>
      <c r="L100" s="785">
        <v>17.75</v>
      </c>
      <c r="M100" s="785">
        <v>17.77</v>
      </c>
      <c r="N100" s="785">
        <v>17.75</v>
      </c>
      <c r="O100" s="785">
        <v>17.920000000000002</v>
      </c>
      <c r="P100" s="785">
        <v>18.07</v>
      </c>
      <c r="Q100" s="785">
        <v>18.190000000000001</v>
      </c>
      <c r="R100" s="785">
        <v>18.38</v>
      </c>
      <c r="S100" s="785">
        <v>18.53</v>
      </c>
      <c r="T100" s="785">
        <v>18.5</v>
      </c>
      <c r="U100" s="785">
        <v>18.61</v>
      </c>
      <c r="V100" s="785">
        <v>18.78</v>
      </c>
      <c r="W100" s="785">
        <v>18.97</v>
      </c>
      <c r="X100" s="785">
        <v>19.3</v>
      </c>
      <c r="Y100" s="785">
        <v>19.579999999999998</v>
      </c>
      <c r="Z100" s="785">
        <v>19.88</v>
      </c>
      <c r="AA100" s="785">
        <v>20.16</v>
      </c>
      <c r="AB100" s="785">
        <v>20.3</v>
      </c>
      <c r="AC100" s="785">
        <v>20.52</v>
      </c>
      <c r="AD100" s="785">
        <v>20.71</v>
      </c>
      <c r="AE100" s="819">
        <v>1E-3</v>
      </c>
      <c r="AF100" s="785"/>
      <c r="AG100" s="785"/>
      <c r="AH100" s="785"/>
      <c r="AI100" s="785"/>
      <c r="AJ100" s="785"/>
      <c r="AK100" s="785"/>
      <c r="AL100" s="785"/>
      <c r="AM100" s="785"/>
      <c r="AN100" s="785"/>
      <c r="AO100" s="785"/>
      <c r="AP100" s="785"/>
      <c r="AQ100" s="785"/>
      <c r="AR100" s="785"/>
      <c r="AS100" s="785"/>
      <c r="AT100" s="785"/>
      <c r="AU100" s="785"/>
      <c r="AV100" s="785"/>
      <c r="AW100" s="785"/>
      <c r="AX100" s="785"/>
      <c r="AY100" s="785"/>
      <c r="AZ100" s="785"/>
      <c r="BA100" s="785"/>
      <c r="BB100" s="785"/>
      <c r="BC100" s="785"/>
      <c r="BD100" s="785"/>
      <c r="BE100" s="785"/>
      <c r="BF100" s="785"/>
      <c r="BG100" s="785"/>
      <c r="BH100" s="785"/>
      <c r="BI100" s="785"/>
      <c r="BJ100" s="785"/>
      <c r="BK100" s="785"/>
      <c r="BL100" s="785"/>
      <c r="BM100" s="785"/>
      <c r="BN100" s="785"/>
      <c r="BO100" s="785"/>
      <c r="BP100" s="785"/>
      <c r="BQ100" s="785"/>
      <c r="BR100" s="785"/>
      <c r="BS100" s="785"/>
      <c r="BT100" s="785"/>
    </row>
    <row r="101" spans="1:72">
      <c r="A101" s="785"/>
      <c r="B101" s="785"/>
      <c r="C101" s="785"/>
      <c r="D101" s="785"/>
      <c r="E101" s="785"/>
      <c r="F101" s="785"/>
      <c r="G101" s="785"/>
      <c r="H101" s="785"/>
      <c r="I101" s="785"/>
      <c r="J101" s="785"/>
      <c r="K101" s="785"/>
      <c r="L101" s="785"/>
      <c r="M101" s="785"/>
      <c r="N101" s="785"/>
      <c r="O101" s="785"/>
      <c r="P101" s="785"/>
      <c r="Q101" s="785"/>
      <c r="R101" s="785"/>
      <c r="S101" s="785"/>
      <c r="T101" s="785"/>
      <c r="U101" s="785"/>
      <c r="V101" s="785"/>
      <c r="W101" s="785"/>
      <c r="X101" s="785"/>
      <c r="Y101" s="785"/>
      <c r="Z101" s="785"/>
      <c r="AA101" s="785"/>
      <c r="AB101" s="785"/>
      <c r="AC101" s="785"/>
      <c r="AD101" s="785"/>
      <c r="AE101" s="785"/>
      <c r="AF101" s="785"/>
      <c r="AG101" s="785"/>
      <c r="AH101" s="785"/>
      <c r="AI101" s="785"/>
      <c r="AJ101" s="785"/>
      <c r="AK101" s="785"/>
      <c r="AL101" s="785"/>
      <c r="AM101" s="785"/>
      <c r="AN101" s="785"/>
      <c r="AO101" s="785"/>
      <c r="AP101" s="785"/>
      <c r="AQ101" s="785"/>
      <c r="AR101" s="785"/>
      <c r="AS101" s="785"/>
      <c r="AT101" s="785"/>
      <c r="AU101" s="785"/>
      <c r="AV101" s="785"/>
      <c r="AW101" s="785"/>
      <c r="AX101" s="785"/>
      <c r="AY101" s="785"/>
      <c r="AZ101" s="785"/>
      <c r="BA101" s="785"/>
      <c r="BB101" s="785"/>
      <c r="BC101" s="785"/>
      <c r="BD101" s="785"/>
      <c r="BE101" s="785"/>
      <c r="BF101" s="785"/>
      <c r="BG101" s="785"/>
      <c r="BH101" s="785"/>
      <c r="BI101" s="785"/>
      <c r="BJ101" s="785"/>
      <c r="BK101" s="785"/>
      <c r="BL101" s="785"/>
      <c r="BM101" s="785"/>
      <c r="BN101" s="785"/>
      <c r="BO101" s="785"/>
      <c r="BP101" s="785"/>
      <c r="BQ101" s="785"/>
      <c r="BR101" s="785"/>
      <c r="BS101" s="785"/>
      <c r="BT101" s="785"/>
    </row>
    <row r="102" spans="1:72">
      <c r="A102" s="785" t="s">
        <v>485</v>
      </c>
      <c r="B102" s="785"/>
      <c r="C102" s="785"/>
      <c r="D102" s="785"/>
      <c r="E102" s="785"/>
      <c r="F102" s="785"/>
      <c r="G102" s="785"/>
      <c r="H102" s="785"/>
      <c r="I102" s="785"/>
      <c r="J102" s="785"/>
      <c r="K102" s="785"/>
      <c r="L102" s="785"/>
      <c r="M102" s="785"/>
      <c r="N102" s="785"/>
      <c r="O102" s="785"/>
      <c r="P102" s="785"/>
      <c r="Q102" s="785"/>
      <c r="R102" s="785"/>
      <c r="S102" s="785"/>
      <c r="T102" s="785"/>
      <c r="U102" s="785"/>
      <c r="V102" s="785"/>
      <c r="W102" s="785"/>
      <c r="X102" s="785"/>
      <c r="Y102" s="785"/>
      <c r="Z102" s="785"/>
      <c r="AA102" s="785"/>
      <c r="AB102" s="785"/>
      <c r="AC102" s="785"/>
      <c r="AD102" s="785"/>
      <c r="AE102" s="785"/>
      <c r="AF102" s="785"/>
      <c r="AG102" s="785"/>
      <c r="AH102" s="785"/>
      <c r="AI102" s="785"/>
      <c r="AJ102" s="785"/>
      <c r="AK102" s="785"/>
      <c r="AL102" s="785"/>
      <c r="AM102" s="785"/>
      <c r="AN102" s="785"/>
      <c r="AO102" s="785"/>
      <c r="AP102" s="785"/>
      <c r="AQ102" s="785"/>
      <c r="AR102" s="785"/>
      <c r="AS102" s="785"/>
      <c r="AT102" s="785"/>
      <c r="AU102" s="785"/>
      <c r="AV102" s="785"/>
      <c r="AW102" s="785"/>
      <c r="AX102" s="785"/>
      <c r="AY102" s="785"/>
      <c r="AZ102" s="785"/>
      <c r="BA102" s="785"/>
      <c r="BB102" s="785"/>
      <c r="BC102" s="785"/>
      <c r="BD102" s="785"/>
      <c r="BE102" s="785"/>
      <c r="BF102" s="785"/>
      <c r="BG102" s="785"/>
      <c r="BH102" s="785"/>
      <c r="BI102" s="785"/>
      <c r="BJ102" s="785"/>
      <c r="BK102" s="785"/>
      <c r="BL102" s="785"/>
      <c r="BM102" s="785"/>
      <c r="BN102" s="785"/>
      <c r="BO102" s="785"/>
      <c r="BP102" s="785"/>
      <c r="BQ102" s="785"/>
      <c r="BR102" s="785"/>
      <c r="BS102" s="785"/>
      <c r="BT102" s="785"/>
    </row>
    <row r="103" spans="1:72">
      <c r="A103" s="785" t="s">
        <v>615</v>
      </c>
      <c r="B103" s="785">
        <v>23.83</v>
      </c>
      <c r="C103" s="785">
        <v>29.93</v>
      </c>
      <c r="D103" s="785">
        <v>25.2</v>
      </c>
      <c r="E103" s="785">
        <v>23.89</v>
      </c>
      <c r="F103" s="785">
        <v>23.98</v>
      </c>
      <c r="G103" s="785">
        <v>25.13</v>
      </c>
      <c r="H103" s="785">
        <v>26.33</v>
      </c>
      <c r="I103" s="785">
        <v>27.29</v>
      </c>
      <c r="J103" s="785">
        <v>27.88</v>
      </c>
      <c r="K103" s="785">
        <v>28.53</v>
      </c>
      <c r="L103" s="785">
        <v>29.07</v>
      </c>
      <c r="M103" s="785">
        <v>29.65</v>
      </c>
      <c r="N103" s="785">
        <v>29.91</v>
      </c>
      <c r="O103" s="785">
        <v>30.13</v>
      </c>
      <c r="P103" s="785">
        <v>30.36</v>
      </c>
      <c r="Q103" s="785">
        <v>30.56</v>
      </c>
      <c r="R103" s="785">
        <v>30.83</v>
      </c>
      <c r="S103" s="785">
        <v>31.1</v>
      </c>
      <c r="T103" s="785">
        <v>31.36</v>
      </c>
      <c r="U103" s="785">
        <v>31.5</v>
      </c>
      <c r="V103" s="785">
        <v>31.77</v>
      </c>
      <c r="W103" s="785">
        <v>32.01</v>
      </c>
      <c r="X103" s="785">
        <v>32.36</v>
      </c>
      <c r="Y103" s="785">
        <v>32.58</v>
      </c>
      <c r="Z103" s="785">
        <v>32.93</v>
      </c>
      <c r="AA103" s="785">
        <v>33.26</v>
      </c>
      <c r="AB103" s="785">
        <v>33.64</v>
      </c>
      <c r="AC103" s="785">
        <v>34</v>
      </c>
      <c r="AD103" s="785">
        <v>34.380000000000003</v>
      </c>
      <c r="AE103" s="819">
        <v>5.0000000000000001E-3</v>
      </c>
      <c r="AF103" s="785"/>
      <c r="AG103" s="785"/>
      <c r="AH103" s="785"/>
      <c r="AI103" s="785"/>
      <c r="AJ103" s="785"/>
      <c r="AK103" s="785"/>
      <c r="AL103" s="785"/>
      <c r="AM103" s="785"/>
      <c r="AN103" s="785"/>
      <c r="AO103" s="785"/>
      <c r="AP103" s="785"/>
      <c r="AQ103" s="785"/>
      <c r="AR103" s="785"/>
      <c r="AS103" s="785"/>
      <c r="AT103" s="785"/>
      <c r="AU103" s="785"/>
      <c r="AV103" s="785"/>
      <c r="AW103" s="785"/>
      <c r="AX103" s="785"/>
      <c r="AY103" s="785"/>
      <c r="AZ103" s="785"/>
      <c r="BA103" s="785"/>
      <c r="BB103" s="785"/>
      <c r="BC103" s="785"/>
      <c r="BD103" s="785"/>
      <c r="BE103" s="785"/>
      <c r="BF103" s="785"/>
      <c r="BG103" s="785"/>
      <c r="BH103" s="785"/>
      <c r="BI103" s="785"/>
      <c r="BJ103" s="785"/>
      <c r="BK103" s="785"/>
      <c r="BL103" s="785"/>
      <c r="BM103" s="785"/>
      <c r="BN103" s="785"/>
      <c r="BO103" s="785"/>
      <c r="BP103" s="785"/>
      <c r="BQ103" s="785"/>
      <c r="BR103" s="785"/>
      <c r="BS103" s="785"/>
      <c r="BT103" s="785"/>
    </row>
    <row r="104" spans="1:72">
      <c r="A104" s="785" t="s">
        <v>616</v>
      </c>
      <c r="B104" s="785">
        <v>27.43</v>
      </c>
      <c r="C104" s="785">
        <v>26.93</v>
      </c>
      <c r="D104" s="785">
        <v>23.29</v>
      </c>
      <c r="E104" s="785">
        <v>20.64</v>
      </c>
      <c r="F104" s="785">
        <v>20.97</v>
      </c>
      <c r="G104" s="785">
        <v>22.13</v>
      </c>
      <c r="H104" s="785">
        <v>24.21</v>
      </c>
      <c r="I104" s="785">
        <v>25.23</v>
      </c>
      <c r="J104" s="785">
        <v>25.55</v>
      </c>
      <c r="K104" s="785">
        <v>25.08</v>
      </c>
      <c r="L104" s="785">
        <v>25.9</v>
      </c>
      <c r="M104" s="785">
        <v>26.54</v>
      </c>
      <c r="N104" s="785">
        <v>26.68</v>
      </c>
      <c r="O104" s="785">
        <v>26.95</v>
      </c>
      <c r="P104" s="785">
        <v>27.32</v>
      </c>
      <c r="Q104" s="785">
        <v>27.82</v>
      </c>
      <c r="R104" s="785">
        <v>28.31</v>
      </c>
      <c r="S104" s="785">
        <v>28.55</v>
      </c>
      <c r="T104" s="785">
        <v>28.86</v>
      </c>
      <c r="U104" s="785">
        <v>29.22</v>
      </c>
      <c r="V104" s="785">
        <v>29.49</v>
      </c>
      <c r="W104" s="785">
        <v>30.03</v>
      </c>
      <c r="X104" s="785">
        <v>30.44</v>
      </c>
      <c r="Y104" s="785">
        <v>30.64</v>
      </c>
      <c r="Z104" s="785">
        <v>30.86</v>
      </c>
      <c r="AA104" s="785">
        <v>31.29</v>
      </c>
      <c r="AB104" s="785">
        <v>31.49</v>
      </c>
      <c r="AC104" s="785">
        <v>31.77</v>
      </c>
      <c r="AD104" s="785">
        <v>32.229999999999997</v>
      </c>
      <c r="AE104" s="819">
        <v>7.0000000000000001E-3</v>
      </c>
      <c r="AF104" s="785"/>
      <c r="AG104" s="785"/>
      <c r="AH104" s="785"/>
      <c r="AI104" s="785"/>
      <c r="AJ104" s="785"/>
      <c r="AK104" s="785"/>
      <c r="AL104" s="785"/>
      <c r="AM104" s="785"/>
      <c r="AN104" s="785"/>
      <c r="AO104" s="785"/>
      <c r="AP104" s="785"/>
      <c r="AQ104" s="785"/>
      <c r="AR104" s="785"/>
      <c r="AS104" s="785"/>
      <c r="AT104" s="785"/>
      <c r="AU104" s="785"/>
      <c r="AV104" s="785"/>
      <c r="AW104" s="785"/>
      <c r="AX104" s="785"/>
      <c r="AY104" s="785"/>
      <c r="AZ104" s="785"/>
      <c r="BA104" s="785"/>
      <c r="BB104" s="785"/>
      <c r="BC104" s="785"/>
      <c r="BD104" s="785"/>
      <c r="BE104" s="785"/>
      <c r="BF104" s="785"/>
      <c r="BG104" s="785"/>
      <c r="BH104" s="785"/>
      <c r="BI104" s="785"/>
      <c r="BJ104" s="785"/>
      <c r="BK104" s="785"/>
      <c r="BL104" s="785"/>
      <c r="BM104" s="785"/>
      <c r="BN104" s="785"/>
      <c r="BO104" s="785"/>
      <c r="BP104" s="785"/>
      <c r="BQ104" s="785"/>
      <c r="BR104" s="785"/>
      <c r="BS104" s="785"/>
      <c r="BT104" s="785"/>
    </row>
    <row r="105" spans="1:72">
      <c r="A105" s="785" t="s">
        <v>617</v>
      </c>
      <c r="B105" s="785">
        <v>23.66</v>
      </c>
      <c r="C105" s="785">
        <v>26.76</v>
      </c>
      <c r="D105" s="785">
        <v>19.14</v>
      </c>
      <c r="E105" s="785">
        <v>20.55</v>
      </c>
      <c r="F105" s="785">
        <v>20.88</v>
      </c>
      <c r="G105" s="785">
        <v>22.03</v>
      </c>
      <c r="H105" s="785">
        <v>24.02</v>
      </c>
      <c r="I105" s="785">
        <v>24.94</v>
      </c>
      <c r="J105" s="785">
        <v>25.37</v>
      </c>
      <c r="K105" s="785">
        <v>25.94</v>
      </c>
      <c r="L105" s="785">
        <v>26.47</v>
      </c>
      <c r="M105" s="785">
        <v>26.89</v>
      </c>
      <c r="N105" s="785">
        <v>27.2</v>
      </c>
      <c r="O105" s="785">
        <v>27.59</v>
      </c>
      <c r="P105" s="785">
        <v>27.82</v>
      </c>
      <c r="Q105" s="785">
        <v>28.18</v>
      </c>
      <c r="R105" s="785">
        <v>28.42</v>
      </c>
      <c r="S105" s="785">
        <v>28.54</v>
      </c>
      <c r="T105" s="785">
        <v>28.87</v>
      </c>
      <c r="U105" s="785">
        <v>29.19</v>
      </c>
      <c r="V105" s="785">
        <v>29.47</v>
      </c>
      <c r="W105" s="785">
        <v>29.9</v>
      </c>
      <c r="X105" s="785">
        <v>30.27</v>
      </c>
      <c r="Y105" s="785">
        <v>30.42</v>
      </c>
      <c r="Z105" s="785">
        <v>30.77</v>
      </c>
      <c r="AA105" s="785">
        <v>31.16</v>
      </c>
      <c r="AB105" s="785">
        <v>31.44</v>
      </c>
      <c r="AC105" s="785">
        <v>31.81</v>
      </c>
      <c r="AD105" s="785">
        <v>32.33</v>
      </c>
      <c r="AE105" s="819">
        <v>7.0000000000000001E-3</v>
      </c>
      <c r="AF105" s="785"/>
      <c r="AG105" s="785"/>
      <c r="AH105" s="785"/>
      <c r="AI105" s="785"/>
      <c r="AJ105" s="785"/>
      <c r="AK105" s="785"/>
      <c r="AL105" s="785"/>
      <c r="AM105" s="785"/>
      <c r="AN105" s="785"/>
      <c r="AO105" s="785"/>
      <c r="AP105" s="785"/>
      <c r="AQ105" s="785"/>
      <c r="AR105" s="785"/>
      <c r="AS105" s="785"/>
      <c r="AT105" s="785"/>
      <c r="AU105" s="785"/>
      <c r="AV105" s="785"/>
      <c r="AW105" s="785"/>
      <c r="AX105" s="785"/>
      <c r="AY105" s="785"/>
      <c r="AZ105" s="785"/>
      <c r="BA105" s="785"/>
      <c r="BB105" s="785"/>
      <c r="BC105" s="785"/>
      <c r="BD105" s="785"/>
      <c r="BE105" s="785"/>
      <c r="BF105" s="785"/>
      <c r="BG105" s="785"/>
      <c r="BH105" s="785"/>
      <c r="BI105" s="785"/>
      <c r="BJ105" s="785"/>
      <c r="BK105" s="785"/>
      <c r="BL105" s="785"/>
      <c r="BM105" s="785"/>
      <c r="BN105" s="785"/>
      <c r="BO105" s="785"/>
      <c r="BP105" s="785"/>
      <c r="BQ105" s="785"/>
      <c r="BR105" s="785"/>
      <c r="BS105" s="785"/>
      <c r="BT105" s="785"/>
    </row>
    <row r="106" spans="1:72">
      <c r="A106" s="785" t="s">
        <v>618</v>
      </c>
      <c r="B106" s="785">
        <v>15.77</v>
      </c>
      <c r="C106" s="785">
        <v>22.71</v>
      </c>
      <c r="D106" s="785">
        <v>12.73</v>
      </c>
      <c r="E106" s="785">
        <v>14.79</v>
      </c>
      <c r="F106" s="785">
        <v>15.16</v>
      </c>
      <c r="G106" s="785">
        <v>16.54</v>
      </c>
      <c r="H106" s="785">
        <v>17.690000000000001</v>
      </c>
      <c r="I106" s="785">
        <v>18.46</v>
      </c>
      <c r="J106" s="785">
        <v>19.04</v>
      </c>
      <c r="K106" s="785">
        <v>19.760000000000002</v>
      </c>
      <c r="L106" s="785">
        <v>20.41</v>
      </c>
      <c r="M106" s="785">
        <v>20.97</v>
      </c>
      <c r="N106" s="785">
        <v>21.35</v>
      </c>
      <c r="O106" s="785">
        <v>21.69</v>
      </c>
      <c r="P106" s="785">
        <v>21.85</v>
      </c>
      <c r="Q106" s="785">
        <v>22.09</v>
      </c>
      <c r="R106" s="785">
        <v>22.41</v>
      </c>
      <c r="S106" s="785">
        <v>22.61</v>
      </c>
      <c r="T106" s="785">
        <v>22.92</v>
      </c>
      <c r="U106" s="785">
        <v>23.19</v>
      </c>
      <c r="V106" s="785">
        <v>23.48</v>
      </c>
      <c r="W106" s="785">
        <v>23.9</v>
      </c>
      <c r="X106" s="785">
        <v>24.26</v>
      </c>
      <c r="Y106" s="785">
        <v>24.51</v>
      </c>
      <c r="Z106" s="785">
        <v>24.9</v>
      </c>
      <c r="AA106" s="785">
        <v>25.3</v>
      </c>
      <c r="AB106" s="785">
        <v>25.64</v>
      </c>
      <c r="AC106" s="785">
        <v>26.05</v>
      </c>
      <c r="AD106" s="785">
        <v>26.48</v>
      </c>
      <c r="AE106" s="819">
        <v>6.0000000000000001E-3</v>
      </c>
      <c r="AF106" s="785"/>
      <c r="AG106" s="785"/>
      <c r="AH106" s="785"/>
      <c r="AI106" s="785"/>
      <c r="AJ106" s="785"/>
      <c r="AK106" s="785"/>
      <c r="AL106" s="785"/>
      <c r="AM106" s="785"/>
      <c r="AN106" s="785"/>
      <c r="AO106" s="785"/>
      <c r="AP106" s="785"/>
      <c r="AQ106" s="785"/>
      <c r="AR106" s="785"/>
      <c r="AS106" s="785"/>
      <c r="AT106" s="785"/>
      <c r="AU106" s="785"/>
      <c r="AV106" s="785"/>
      <c r="AW106" s="785"/>
      <c r="AX106" s="785"/>
      <c r="AY106" s="785"/>
      <c r="AZ106" s="785"/>
      <c r="BA106" s="785"/>
      <c r="BB106" s="785"/>
      <c r="BC106" s="785"/>
      <c r="BD106" s="785"/>
      <c r="BE106" s="785"/>
      <c r="BF106" s="785"/>
      <c r="BG106" s="785"/>
      <c r="BH106" s="785"/>
      <c r="BI106" s="785"/>
      <c r="BJ106" s="785"/>
      <c r="BK106" s="785"/>
      <c r="BL106" s="785"/>
      <c r="BM106" s="785"/>
      <c r="BN106" s="785"/>
      <c r="BO106" s="785"/>
      <c r="BP106" s="785"/>
      <c r="BQ106" s="785"/>
      <c r="BR106" s="785"/>
      <c r="BS106" s="785"/>
      <c r="BT106" s="785"/>
    </row>
    <row r="107" spans="1:72">
      <c r="A107" s="785" t="s">
        <v>722</v>
      </c>
      <c r="B107" s="785">
        <v>21.55</v>
      </c>
      <c r="C107" s="785">
        <v>27.65</v>
      </c>
      <c r="D107" s="785">
        <v>17.77</v>
      </c>
      <c r="E107" s="785">
        <v>19.12</v>
      </c>
      <c r="F107" s="785">
        <v>19.309999999999999</v>
      </c>
      <c r="G107" s="785">
        <v>20.51</v>
      </c>
      <c r="H107" s="785">
        <v>21.54</v>
      </c>
      <c r="I107" s="785">
        <v>22.25</v>
      </c>
      <c r="J107" s="785">
        <v>22.93</v>
      </c>
      <c r="K107" s="785">
        <v>23.68</v>
      </c>
      <c r="L107" s="785">
        <v>24.26</v>
      </c>
      <c r="M107" s="785">
        <v>24.91</v>
      </c>
      <c r="N107" s="785">
        <v>25.29</v>
      </c>
      <c r="O107" s="785">
        <v>25.6</v>
      </c>
      <c r="P107" s="785">
        <v>25.79</v>
      </c>
      <c r="Q107" s="785">
        <v>26.12</v>
      </c>
      <c r="R107" s="785">
        <v>26.26</v>
      </c>
      <c r="S107" s="785">
        <v>26.34</v>
      </c>
      <c r="T107" s="785">
        <v>26.63</v>
      </c>
      <c r="U107" s="785">
        <v>26.83</v>
      </c>
      <c r="V107" s="785">
        <v>27.09</v>
      </c>
      <c r="W107" s="785">
        <v>27.4</v>
      </c>
      <c r="X107" s="785">
        <v>27.8</v>
      </c>
      <c r="Y107" s="785">
        <v>27.96</v>
      </c>
      <c r="Z107" s="785">
        <v>28.38</v>
      </c>
      <c r="AA107" s="785">
        <v>28.78</v>
      </c>
      <c r="AB107" s="785">
        <v>29.09</v>
      </c>
      <c r="AC107" s="785">
        <v>29.49</v>
      </c>
      <c r="AD107" s="785">
        <v>29.96</v>
      </c>
      <c r="AE107" s="819">
        <v>3.0000000000000001E-3</v>
      </c>
      <c r="AF107" s="785"/>
      <c r="AG107" s="785"/>
      <c r="AH107" s="785"/>
      <c r="AI107" s="785"/>
      <c r="AJ107" s="785"/>
      <c r="AK107" s="785"/>
      <c r="AL107" s="785"/>
      <c r="AM107" s="785"/>
      <c r="AN107" s="785"/>
      <c r="AO107" s="785"/>
      <c r="AP107" s="785"/>
      <c r="AQ107" s="785"/>
      <c r="AR107" s="785"/>
      <c r="AS107" s="785"/>
      <c r="AT107" s="785"/>
      <c r="AU107" s="785"/>
      <c r="AV107" s="785"/>
      <c r="AW107" s="785"/>
      <c r="AX107" s="785"/>
      <c r="AY107" s="785"/>
      <c r="AZ107" s="785"/>
      <c r="BA107" s="785"/>
      <c r="BB107" s="785"/>
      <c r="BC107" s="785"/>
      <c r="BD107" s="785"/>
      <c r="BE107" s="785"/>
      <c r="BF107" s="785"/>
      <c r="BG107" s="785"/>
      <c r="BH107" s="785"/>
      <c r="BI107" s="785"/>
      <c r="BJ107" s="785"/>
      <c r="BK107" s="785"/>
      <c r="BL107" s="785"/>
      <c r="BM107" s="785"/>
      <c r="BN107" s="785"/>
      <c r="BO107" s="785"/>
      <c r="BP107" s="785"/>
      <c r="BQ107" s="785"/>
      <c r="BR107" s="785"/>
      <c r="BS107" s="785"/>
      <c r="BT107" s="785"/>
    </row>
    <row r="108" spans="1:72">
      <c r="A108" s="785" t="s">
        <v>609</v>
      </c>
      <c r="B108" s="785">
        <v>9.19</v>
      </c>
      <c r="C108" s="785">
        <v>14.49</v>
      </c>
      <c r="D108" s="785">
        <v>8.86</v>
      </c>
      <c r="E108" s="785">
        <v>10.210000000000001</v>
      </c>
      <c r="F108" s="785">
        <v>10.32</v>
      </c>
      <c r="G108" s="785">
        <v>11.5</v>
      </c>
      <c r="H108" s="785">
        <v>12.44</v>
      </c>
      <c r="I108" s="785">
        <v>13.18</v>
      </c>
      <c r="J108" s="785">
        <v>13.58</v>
      </c>
      <c r="K108" s="785">
        <v>13.9</v>
      </c>
      <c r="L108" s="785">
        <v>14.43</v>
      </c>
      <c r="M108" s="785">
        <v>14.81</v>
      </c>
      <c r="N108" s="785">
        <v>14.97</v>
      </c>
      <c r="O108" s="785">
        <v>14.99</v>
      </c>
      <c r="P108" s="785">
        <v>15.23</v>
      </c>
      <c r="Q108" s="785">
        <v>15.34</v>
      </c>
      <c r="R108" s="785">
        <v>15.55</v>
      </c>
      <c r="S108" s="785">
        <v>15.75</v>
      </c>
      <c r="T108" s="785">
        <v>15.93</v>
      </c>
      <c r="U108" s="785">
        <v>15.98</v>
      </c>
      <c r="V108" s="785">
        <v>16.27</v>
      </c>
      <c r="W108" s="785">
        <v>16.5</v>
      </c>
      <c r="X108" s="785">
        <v>16.8</v>
      </c>
      <c r="Y108" s="785">
        <v>17.100000000000001</v>
      </c>
      <c r="Z108" s="785">
        <v>17.420000000000002</v>
      </c>
      <c r="AA108" s="785">
        <v>17.690000000000001</v>
      </c>
      <c r="AB108" s="785">
        <v>17.93</v>
      </c>
      <c r="AC108" s="785">
        <v>18.239999999999998</v>
      </c>
      <c r="AD108" s="785">
        <v>18.600000000000001</v>
      </c>
      <c r="AE108" s="819">
        <v>8.9999999999999993E-3</v>
      </c>
      <c r="AF108" s="785"/>
      <c r="AG108" s="785"/>
      <c r="AH108" s="785"/>
      <c r="AI108" s="785"/>
      <c r="AJ108" s="785"/>
      <c r="AK108" s="785"/>
      <c r="AL108" s="785"/>
      <c r="AM108" s="785"/>
      <c r="AN108" s="785"/>
      <c r="AO108" s="785"/>
      <c r="AP108" s="785"/>
      <c r="AQ108" s="785"/>
      <c r="AR108" s="785"/>
      <c r="AS108" s="785"/>
      <c r="AT108" s="785"/>
      <c r="AU108" s="785"/>
      <c r="AV108" s="785"/>
      <c r="AW108" s="785"/>
      <c r="AX108" s="785"/>
      <c r="AY108" s="785"/>
      <c r="AZ108" s="785"/>
      <c r="BA108" s="785"/>
      <c r="BB108" s="785"/>
      <c r="BC108" s="785"/>
      <c r="BD108" s="785"/>
      <c r="BE108" s="785"/>
      <c r="BF108" s="785"/>
      <c r="BG108" s="785"/>
      <c r="BH108" s="785"/>
      <c r="BI108" s="785"/>
      <c r="BJ108" s="785"/>
      <c r="BK108" s="785"/>
      <c r="BL108" s="785"/>
      <c r="BM108" s="785"/>
      <c r="BN108" s="785"/>
      <c r="BO108" s="785"/>
      <c r="BP108" s="785"/>
      <c r="BQ108" s="785"/>
      <c r="BR108" s="785"/>
      <c r="BS108" s="785"/>
      <c r="BT108" s="785"/>
    </row>
    <row r="109" spans="1:72">
      <c r="A109" s="785" t="s">
        <v>620</v>
      </c>
      <c r="B109" s="785">
        <v>13.84</v>
      </c>
      <c r="C109" s="785">
        <v>15.96</v>
      </c>
      <c r="D109" s="785">
        <v>11.36</v>
      </c>
      <c r="E109" s="785">
        <v>12</v>
      </c>
      <c r="F109" s="785">
        <v>13.09</v>
      </c>
      <c r="G109" s="785">
        <v>13.49</v>
      </c>
      <c r="H109" s="785">
        <v>13.36</v>
      </c>
      <c r="I109" s="785">
        <v>13.25</v>
      </c>
      <c r="J109" s="785">
        <v>13.37</v>
      </c>
      <c r="K109" s="785">
        <v>13.41</v>
      </c>
      <c r="L109" s="785">
        <v>13.38</v>
      </c>
      <c r="M109" s="785">
        <v>13.37</v>
      </c>
      <c r="N109" s="785">
        <v>13.38</v>
      </c>
      <c r="O109" s="785">
        <v>13.44</v>
      </c>
      <c r="P109" s="785">
        <v>13.46</v>
      </c>
      <c r="Q109" s="785">
        <v>13.58</v>
      </c>
      <c r="R109" s="785">
        <v>13.54</v>
      </c>
      <c r="S109" s="785">
        <v>13.41</v>
      </c>
      <c r="T109" s="785">
        <v>13.43</v>
      </c>
      <c r="U109" s="785">
        <v>13.54</v>
      </c>
      <c r="V109" s="785">
        <v>13.65</v>
      </c>
      <c r="W109" s="785">
        <v>13.83</v>
      </c>
      <c r="X109" s="785">
        <v>14</v>
      </c>
      <c r="Y109" s="785">
        <v>14.19</v>
      </c>
      <c r="Z109" s="785">
        <v>14.46</v>
      </c>
      <c r="AA109" s="785">
        <v>14.54</v>
      </c>
      <c r="AB109" s="785">
        <v>14.55</v>
      </c>
      <c r="AC109" s="785">
        <v>14.7</v>
      </c>
      <c r="AD109" s="785">
        <v>14.78</v>
      </c>
      <c r="AE109" s="819">
        <v>-3.0000000000000001E-3</v>
      </c>
      <c r="AF109" s="785"/>
      <c r="AG109" s="785"/>
      <c r="AH109" s="785"/>
      <c r="AI109" s="785"/>
      <c r="AJ109" s="785"/>
      <c r="AK109" s="785"/>
      <c r="AL109" s="785"/>
      <c r="AM109" s="785"/>
      <c r="AN109" s="785"/>
      <c r="AO109" s="785"/>
      <c r="AP109" s="785"/>
      <c r="AQ109" s="785"/>
      <c r="AR109" s="785"/>
      <c r="AS109" s="785"/>
      <c r="AT109" s="785"/>
      <c r="AU109" s="785"/>
      <c r="AV109" s="785"/>
      <c r="AW109" s="785"/>
      <c r="AX109" s="785"/>
      <c r="AY109" s="785"/>
      <c r="AZ109" s="785"/>
      <c r="BA109" s="785"/>
      <c r="BB109" s="785"/>
      <c r="BC109" s="785"/>
      <c r="BD109" s="785"/>
      <c r="BE109" s="785"/>
      <c r="BF109" s="785"/>
      <c r="BG109" s="785"/>
      <c r="BH109" s="785"/>
      <c r="BI109" s="785"/>
      <c r="BJ109" s="785"/>
      <c r="BK109" s="785"/>
      <c r="BL109" s="785"/>
      <c r="BM109" s="785"/>
      <c r="BN109" s="785"/>
      <c r="BO109" s="785"/>
      <c r="BP109" s="785"/>
      <c r="BQ109" s="785"/>
      <c r="BR109" s="785"/>
      <c r="BS109" s="785"/>
      <c r="BT109" s="785"/>
    </row>
    <row r="110" spans="1:72">
      <c r="A110" s="785" t="s">
        <v>477</v>
      </c>
      <c r="B110" s="785">
        <v>32.03</v>
      </c>
      <c r="C110" s="785">
        <v>33.729999999999997</v>
      </c>
      <c r="D110" s="785">
        <v>32.299999999999997</v>
      </c>
      <c r="E110" s="785">
        <v>30.29</v>
      </c>
      <c r="F110" s="785">
        <v>27.63</v>
      </c>
      <c r="G110" s="785">
        <v>29.66</v>
      </c>
      <c r="H110" s="785">
        <v>29.72</v>
      </c>
      <c r="I110" s="785">
        <v>29.07</v>
      </c>
      <c r="J110" s="785">
        <v>28.79</v>
      </c>
      <c r="K110" s="785">
        <v>29.01</v>
      </c>
      <c r="L110" s="785">
        <v>29.04</v>
      </c>
      <c r="M110" s="785">
        <v>28.87</v>
      </c>
      <c r="N110" s="785">
        <v>28.59</v>
      </c>
      <c r="O110" s="785">
        <v>28.55</v>
      </c>
      <c r="P110" s="785">
        <v>28.54</v>
      </c>
      <c r="Q110" s="785">
        <v>28.43</v>
      </c>
      <c r="R110" s="785">
        <v>28.48</v>
      </c>
      <c r="S110" s="785">
        <v>28.64</v>
      </c>
      <c r="T110" s="785">
        <v>28.63</v>
      </c>
      <c r="U110" s="785">
        <v>28.88</v>
      </c>
      <c r="V110" s="785">
        <v>29.32</v>
      </c>
      <c r="W110" s="785">
        <v>29.79</v>
      </c>
      <c r="X110" s="785">
        <v>30.51</v>
      </c>
      <c r="Y110" s="785">
        <v>31.01</v>
      </c>
      <c r="Z110" s="785">
        <v>31.61</v>
      </c>
      <c r="AA110" s="785">
        <v>32.15</v>
      </c>
      <c r="AB110" s="785">
        <v>32.47</v>
      </c>
      <c r="AC110" s="785">
        <v>32.89</v>
      </c>
      <c r="AD110" s="785">
        <v>33.26</v>
      </c>
      <c r="AE110" s="819">
        <v>-1E-3</v>
      </c>
      <c r="AF110" s="785"/>
      <c r="AG110" s="785"/>
      <c r="AH110" s="785"/>
      <c r="AI110" s="785"/>
      <c r="AJ110" s="785"/>
      <c r="AK110" s="785"/>
      <c r="AL110" s="785"/>
      <c r="AM110" s="785"/>
      <c r="AN110" s="785"/>
      <c r="AO110" s="785"/>
      <c r="AP110" s="785"/>
      <c r="AQ110" s="785"/>
      <c r="AR110" s="785"/>
      <c r="AS110" s="785"/>
      <c r="AT110" s="785"/>
      <c r="AU110" s="785"/>
      <c r="AV110" s="785"/>
      <c r="AW110" s="785"/>
      <c r="AX110" s="785"/>
      <c r="AY110" s="785"/>
      <c r="AZ110" s="785"/>
      <c r="BA110" s="785"/>
      <c r="BB110" s="785"/>
      <c r="BC110" s="785"/>
      <c r="BD110" s="785"/>
      <c r="BE110" s="785"/>
      <c r="BF110" s="785"/>
      <c r="BG110" s="785"/>
      <c r="BH110" s="785"/>
      <c r="BI110" s="785"/>
      <c r="BJ110" s="785"/>
      <c r="BK110" s="785"/>
      <c r="BL110" s="785"/>
      <c r="BM110" s="785"/>
      <c r="BN110" s="785"/>
      <c r="BO110" s="785"/>
      <c r="BP110" s="785"/>
      <c r="BQ110" s="785"/>
      <c r="BR110" s="785"/>
      <c r="BS110" s="785"/>
      <c r="BT110" s="785"/>
    </row>
    <row r="111" spans="1:72">
      <c r="A111" s="785"/>
      <c r="B111" s="785"/>
      <c r="C111" s="785"/>
      <c r="D111" s="785"/>
      <c r="E111" s="785"/>
      <c r="F111" s="785"/>
      <c r="G111" s="785"/>
      <c r="H111" s="785"/>
      <c r="I111" s="785"/>
      <c r="J111" s="785"/>
      <c r="K111" s="785"/>
      <c r="L111" s="785"/>
      <c r="M111" s="785"/>
      <c r="N111" s="785"/>
      <c r="O111" s="785"/>
      <c r="P111" s="785"/>
      <c r="Q111" s="785"/>
      <c r="R111" s="785"/>
      <c r="S111" s="785"/>
      <c r="T111" s="785"/>
      <c r="U111" s="785"/>
      <c r="V111" s="785"/>
      <c r="W111" s="785"/>
      <c r="X111" s="785"/>
      <c r="Y111" s="785"/>
      <c r="Z111" s="785"/>
      <c r="AA111" s="785"/>
      <c r="AB111" s="785"/>
      <c r="AC111" s="785"/>
      <c r="AD111" s="785"/>
      <c r="AE111" s="785"/>
      <c r="AF111" s="785"/>
      <c r="AG111" s="785"/>
      <c r="AH111" s="785"/>
      <c r="AI111" s="785"/>
      <c r="AJ111" s="785"/>
      <c r="AK111" s="785"/>
      <c r="AL111" s="785"/>
      <c r="AM111" s="785"/>
      <c r="AN111" s="785"/>
      <c r="AO111" s="785"/>
      <c r="AP111" s="785"/>
      <c r="AQ111" s="785"/>
      <c r="AR111" s="785"/>
      <c r="AS111" s="785"/>
      <c r="AT111" s="785"/>
      <c r="AU111" s="785"/>
      <c r="AV111" s="785"/>
      <c r="AW111" s="785"/>
      <c r="AX111" s="785"/>
      <c r="AY111" s="785"/>
      <c r="AZ111" s="785"/>
      <c r="BA111" s="785"/>
      <c r="BB111" s="785"/>
      <c r="BC111" s="785"/>
      <c r="BD111" s="785"/>
      <c r="BE111" s="785"/>
      <c r="BF111" s="785"/>
      <c r="BG111" s="785"/>
      <c r="BH111" s="785"/>
      <c r="BI111" s="785"/>
      <c r="BJ111" s="785"/>
      <c r="BK111" s="785"/>
      <c r="BL111" s="785"/>
      <c r="BM111" s="785"/>
      <c r="BN111" s="785"/>
      <c r="BO111" s="785"/>
      <c r="BP111" s="785"/>
      <c r="BQ111" s="785"/>
      <c r="BR111" s="785"/>
      <c r="BS111" s="785"/>
      <c r="BT111" s="785"/>
    </row>
    <row r="112" spans="1:72">
      <c r="A112" s="785" t="s">
        <v>621</v>
      </c>
      <c r="B112" s="785"/>
      <c r="C112" s="785"/>
      <c r="D112" s="785"/>
      <c r="E112" s="785"/>
      <c r="F112" s="785"/>
      <c r="G112" s="785"/>
      <c r="H112" s="785"/>
      <c r="I112" s="785"/>
      <c r="J112" s="785"/>
      <c r="K112" s="785"/>
      <c r="L112" s="785"/>
      <c r="M112" s="785"/>
      <c r="N112" s="785"/>
      <c r="O112" s="785"/>
      <c r="P112" s="785"/>
      <c r="Q112" s="785"/>
      <c r="R112" s="785"/>
      <c r="S112" s="785"/>
      <c r="T112" s="785"/>
      <c r="U112" s="785"/>
      <c r="V112" s="785"/>
      <c r="W112" s="785"/>
      <c r="X112" s="785"/>
      <c r="Y112" s="785"/>
      <c r="Z112" s="785"/>
      <c r="AA112" s="785"/>
      <c r="AB112" s="785"/>
      <c r="AC112" s="785"/>
      <c r="AD112" s="785"/>
      <c r="AE112" s="785"/>
      <c r="AF112" s="785"/>
      <c r="AG112" s="785"/>
      <c r="AH112" s="785"/>
      <c r="AI112" s="785"/>
      <c r="AJ112" s="785"/>
      <c r="AK112" s="785"/>
      <c r="AL112" s="785"/>
      <c r="AM112" s="785"/>
      <c r="AN112" s="785"/>
      <c r="AO112" s="785"/>
      <c r="AP112" s="785"/>
      <c r="AQ112" s="785"/>
      <c r="AR112" s="785"/>
      <c r="AS112" s="785"/>
      <c r="AT112" s="785"/>
      <c r="AU112" s="785"/>
      <c r="AV112" s="785"/>
      <c r="AW112" s="785"/>
      <c r="AX112" s="785"/>
      <c r="AY112" s="785"/>
      <c r="AZ112" s="785"/>
      <c r="BA112" s="785"/>
      <c r="BB112" s="785"/>
      <c r="BC112" s="785"/>
      <c r="BD112" s="785"/>
      <c r="BE112" s="785"/>
      <c r="BF112" s="785"/>
      <c r="BG112" s="785"/>
      <c r="BH112" s="785"/>
      <c r="BI112" s="785"/>
      <c r="BJ112" s="785"/>
      <c r="BK112" s="785"/>
      <c r="BL112" s="785"/>
      <c r="BM112" s="785"/>
      <c r="BN112" s="785"/>
      <c r="BO112" s="785"/>
      <c r="BP112" s="785"/>
      <c r="BQ112" s="785"/>
      <c r="BR112" s="785"/>
      <c r="BS112" s="785"/>
      <c r="BT112" s="785"/>
    </row>
    <row r="113" spans="1:72">
      <c r="A113" s="785" t="s">
        <v>608</v>
      </c>
      <c r="B113" s="785">
        <v>15.75</v>
      </c>
      <c r="C113" s="785">
        <v>19.37</v>
      </c>
      <c r="D113" s="785">
        <v>14.24</v>
      </c>
      <c r="E113" s="785">
        <v>13.91</v>
      </c>
      <c r="F113" s="785">
        <v>14.06</v>
      </c>
      <c r="G113" s="785">
        <v>15.2</v>
      </c>
      <c r="H113" s="785">
        <v>16.21</v>
      </c>
      <c r="I113" s="785">
        <v>16.89</v>
      </c>
      <c r="J113" s="785">
        <v>17.36</v>
      </c>
      <c r="K113" s="785">
        <v>18.22</v>
      </c>
      <c r="L113" s="785">
        <v>18.88</v>
      </c>
      <c r="M113" s="785">
        <v>19.510000000000002</v>
      </c>
      <c r="N113" s="785">
        <v>19.920000000000002</v>
      </c>
      <c r="O113" s="785">
        <v>20.25</v>
      </c>
      <c r="P113" s="785">
        <v>20.399999999999999</v>
      </c>
      <c r="Q113" s="785">
        <v>20.58</v>
      </c>
      <c r="R113" s="785">
        <v>20.89</v>
      </c>
      <c r="S113" s="785">
        <v>21.07</v>
      </c>
      <c r="T113" s="785">
        <v>21.35</v>
      </c>
      <c r="U113" s="785">
        <v>21.6</v>
      </c>
      <c r="V113" s="785">
        <v>21.83</v>
      </c>
      <c r="W113" s="785">
        <v>22.14</v>
      </c>
      <c r="X113" s="785">
        <v>22.54</v>
      </c>
      <c r="Y113" s="785">
        <v>22.71</v>
      </c>
      <c r="Z113" s="785">
        <v>23.14</v>
      </c>
      <c r="AA113" s="785">
        <v>23.54</v>
      </c>
      <c r="AB113" s="785">
        <v>23.87</v>
      </c>
      <c r="AC113" s="785">
        <v>24.28</v>
      </c>
      <c r="AD113" s="785">
        <v>24.7</v>
      </c>
      <c r="AE113" s="819">
        <v>8.9999999999999993E-3</v>
      </c>
      <c r="AF113" s="785"/>
      <c r="AG113" s="785"/>
      <c r="AH113" s="785"/>
      <c r="AI113" s="785"/>
      <c r="AJ113" s="785"/>
      <c r="AK113" s="785"/>
      <c r="AL113" s="785"/>
      <c r="AM113" s="785"/>
      <c r="AN113" s="785"/>
      <c r="AO113" s="785"/>
      <c r="AP113" s="785"/>
      <c r="AQ113" s="785"/>
      <c r="AR113" s="785"/>
      <c r="AS113" s="785"/>
      <c r="AT113" s="785"/>
      <c r="AU113" s="785"/>
      <c r="AV113" s="785"/>
      <c r="AW113" s="785"/>
      <c r="AX113" s="785"/>
      <c r="AY113" s="785"/>
      <c r="AZ113" s="785"/>
      <c r="BA113" s="785"/>
      <c r="BB113" s="785"/>
      <c r="BC113" s="785"/>
      <c r="BD113" s="785"/>
      <c r="BE113" s="785"/>
      <c r="BF113" s="785"/>
      <c r="BG113" s="785"/>
      <c r="BH113" s="785"/>
      <c r="BI113" s="785"/>
      <c r="BJ113" s="785"/>
      <c r="BK113" s="785"/>
      <c r="BL113" s="785"/>
      <c r="BM113" s="785"/>
      <c r="BN113" s="785"/>
      <c r="BO113" s="785"/>
      <c r="BP113" s="785"/>
      <c r="BQ113" s="785"/>
      <c r="BR113" s="785"/>
      <c r="BS113" s="785"/>
      <c r="BT113" s="785"/>
    </row>
    <row r="114" spans="1:72">
      <c r="A114" s="785" t="s">
        <v>609</v>
      </c>
      <c r="B114" s="785">
        <v>9.0399999999999991</v>
      </c>
      <c r="C114" s="785">
        <v>14.56</v>
      </c>
      <c r="D114" s="785">
        <v>8.7799999999999994</v>
      </c>
      <c r="E114" s="785">
        <v>12</v>
      </c>
      <c r="F114" s="785">
        <v>12.17</v>
      </c>
      <c r="G114" s="785">
        <v>13.34</v>
      </c>
      <c r="H114" s="785">
        <v>14.37</v>
      </c>
      <c r="I114" s="785">
        <v>15.11</v>
      </c>
      <c r="J114" s="785">
        <v>15.53</v>
      </c>
      <c r="K114" s="785">
        <v>15.93</v>
      </c>
      <c r="L114" s="785">
        <v>16.45</v>
      </c>
      <c r="M114" s="785">
        <v>16.89</v>
      </c>
      <c r="N114" s="785">
        <v>17.14</v>
      </c>
      <c r="O114" s="785">
        <v>17.22</v>
      </c>
      <c r="P114" s="785">
        <v>17.47</v>
      </c>
      <c r="Q114" s="785">
        <v>17.63</v>
      </c>
      <c r="R114" s="785">
        <v>17.850000000000001</v>
      </c>
      <c r="S114" s="785">
        <v>18.079999999999998</v>
      </c>
      <c r="T114" s="785">
        <v>18.3</v>
      </c>
      <c r="U114" s="785">
        <v>18.38</v>
      </c>
      <c r="V114" s="785">
        <v>18.68</v>
      </c>
      <c r="W114" s="785">
        <v>18.940000000000001</v>
      </c>
      <c r="X114" s="785">
        <v>19.23</v>
      </c>
      <c r="Y114" s="785">
        <v>19.55</v>
      </c>
      <c r="Z114" s="785">
        <v>19.899999999999999</v>
      </c>
      <c r="AA114" s="785">
        <v>20.190000000000001</v>
      </c>
      <c r="AB114" s="785">
        <v>20.43</v>
      </c>
      <c r="AC114" s="785">
        <v>20.77</v>
      </c>
      <c r="AD114" s="785">
        <v>21.12</v>
      </c>
      <c r="AE114" s="819">
        <v>1.4E-2</v>
      </c>
      <c r="AF114" s="785"/>
      <c r="AG114" s="785"/>
      <c r="AH114" s="785"/>
      <c r="AI114" s="785"/>
      <c r="AJ114" s="785"/>
      <c r="AK114" s="785"/>
      <c r="AL114" s="785"/>
      <c r="AM114" s="785"/>
      <c r="AN114" s="785"/>
      <c r="AO114" s="785"/>
      <c r="AP114" s="785"/>
      <c r="AQ114" s="785"/>
      <c r="AR114" s="785"/>
      <c r="AS114" s="785"/>
      <c r="AT114" s="785"/>
      <c r="AU114" s="785"/>
      <c r="AV114" s="785"/>
      <c r="AW114" s="785"/>
      <c r="AX114" s="785"/>
      <c r="AY114" s="785"/>
      <c r="AZ114" s="785"/>
      <c r="BA114" s="785"/>
      <c r="BB114" s="785"/>
      <c r="BC114" s="785"/>
      <c r="BD114" s="785"/>
      <c r="BE114" s="785"/>
      <c r="BF114" s="785"/>
      <c r="BG114" s="785"/>
      <c r="BH114" s="785"/>
      <c r="BI114" s="785"/>
      <c r="BJ114" s="785"/>
      <c r="BK114" s="785"/>
      <c r="BL114" s="785"/>
      <c r="BM114" s="785"/>
      <c r="BN114" s="785"/>
      <c r="BO114" s="785"/>
      <c r="BP114" s="785"/>
      <c r="BQ114" s="785"/>
      <c r="BR114" s="785"/>
      <c r="BS114" s="785"/>
      <c r="BT114" s="785"/>
    </row>
    <row r="115" spans="1:72">
      <c r="A115" s="785" t="s">
        <v>508</v>
      </c>
      <c r="B115" s="785">
        <v>7.26</v>
      </c>
      <c r="C115" s="785">
        <v>9.09</v>
      </c>
      <c r="D115" s="785">
        <v>4.1399999999999997</v>
      </c>
      <c r="E115" s="785">
        <v>4.8499999999999996</v>
      </c>
      <c r="F115" s="785">
        <v>5.82</v>
      </c>
      <c r="G115" s="785">
        <v>6.17</v>
      </c>
      <c r="H115" s="785">
        <v>5.94</v>
      </c>
      <c r="I115" s="785">
        <v>5.9</v>
      </c>
      <c r="J115" s="785">
        <v>6.08</v>
      </c>
      <c r="K115" s="785">
        <v>6.16</v>
      </c>
      <c r="L115" s="785">
        <v>6.17</v>
      </c>
      <c r="M115" s="785">
        <v>6.22</v>
      </c>
      <c r="N115" s="785">
        <v>6.29</v>
      </c>
      <c r="O115" s="785">
        <v>6.42</v>
      </c>
      <c r="P115" s="785">
        <v>6.52</v>
      </c>
      <c r="Q115" s="785">
        <v>6.69</v>
      </c>
      <c r="R115" s="785">
        <v>6.74</v>
      </c>
      <c r="S115" s="785">
        <v>6.7</v>
      </c>
      <c r="T115" s="785">
        <v>6.75</v>
      </c>
      <c r="U115" s="785">
        <v>6.91</v>
      </c>
      <c r="V115" s="785">
        <v>7.05</v>
      </c>
      <c r="W115" s="785">
        <v>7.27</v>
      </c>
      <c r="X115" s="785">
        <v>7.51</v>
      </c>
      <c r="Y115" s="785">
        <v>7.73</v>
      </c>
      <c r="Z115" s="785">
        <v>8.02</v>
      </c>
      <c r="AA115" s="785">
        <v>8.14</v>
      </c>
      <c r="AB115" s="785">
        <v>8.17</v>
      </c>
      <c r="AC115" s="785">
        <v>8.35</v>
      </c>
      <c r="AD115" s="785">
        <v>8.4600000000000009</v>
      </c>
      <c r="AE115" s="819">
        <v>-3.0000000000000001E-3</v>
      </c>
      <c r="AF115" s="785"/>
      <c r="AG115" s="785"/>
      <c r="AH115" s="785"/>
      <c r="AI115" s="785"/>
      <c r="AJ115" s="785"/>
      <c r="AK115" s="785"/>
      <c r="AL115" s="785"/>
      <c r="AM115" s="785"/>
      <c r="AN115" s="785"/>
      <c r="AO115" s="785"/>
      <c r="AP115" s="785"/>
      <c r="AQ115" s="785"/>
      <c r="AR115" s="785"/>
      <c r="AS115" s="785"/>
      <c r="AT115" s="785"/>
      <c r="AU115" s="785"/>
      <c r="AV115" s="785"/>
      <c r="AW115" s="785"/>
      <c r="AX115" s="785"/>
      <c r="AY115" s="785"/>
      <c r="AZ115" s="785"/>
      <c r="BA115" s="785"/>
      <c r="BB115" s="785"/>
      <c r="BC115" s="785"/>
      <c r="BD115" s="785"/>
      <c r="BE115" s="785"/>
      <c r="BF115" s="785"/>
      <c r="BG115" s="785"/>
      <c r="BH115" s="785"/>
      <c r="BI115" s="785"/>
      <c r="BJ115" s="785"/>
      <c r="BK115" s="785"/>
      <c r="BL115" s="785"/>
      <c r="BM115" s="785"/>
      <c r="BN115" s="785"/>
      <c r="BO115" s="785"/>
      <c r="BP115" s="785"/>
      <c r="BQ115" s="785"/>
      <c r="BR115" s="785"/>
      <c r="BS115" s="785"/>
      <c r="BT115" s="785"/>
    </row>
    <row r="116" spans="1:72">
      <c r="A116" s="785" t="s">
        <v>622</v>
      </c>
      <c r="B116" s="785">
        <v>1.8</v>
      </c>
      <c r="C116" s="785">
        <v>2.0499999999999998</v>
      </c>
      <c r="D116" s="785">
        <v>2.15</v>
      </c>
      <c r="E116" s="785">
        <v>1.99</v>
      </c>
      <c r="F116" s="785">
        <v>1.98</v>
      </c>
      <c r="G116" s="785">
        <v>1.99</v>
      </c>
      <c r="H116" s="785">
        <v>1.99</v>
      </c>
      <c r="I116" s="785">
        <v>1.99</v>
      </c>
      <c r="J116" s="785">
        <v>2.0099999999999998</v>
      </c>
      <c r="K116" s="785">
        <v>1.99</v>
      </c>
      <c r="L116" s="785">
        <v>2</v>
      </c>
      <c r="M116" s="785">
        <v>1.99</v>
      </c>
      <c r="N116" s="785">
        <v>1.99</v>
      </c>
      <c r="O116" s="785">
        <v>1.98</v>
      </c>
      <c r="P116" s="785">
        <v>1.98</v>
      </c>
      <c r="Q116" s="785">
        <v>1.99</v>
      </c>
      <c r="R116" s="785">
        <v>1.99</v>
      </c>
      <c r="S116" s="785">
        <v>1.99</v>
      </c>
      <c r="T116" s="785">
        <v>1.99</v>
      </c>
      <c r="U116" s="785">
        <v>2</v>
      </c>
      <c r="V116" s="785">
        <v>2</v>
      </c>
      <c r="W116" s="785">
        <v>2.0099999999999998</v>
      </c>
      <c r="X116" s="785">
        <v>2.02</v>
      </c>
      <c r="Y116" s="785">
        <v>2.0299999999999998</v>
      </c>
      <c r="Z116" s="785">
        <v>2.04</v>
      </c>
      <c r="AA116" s="785">
        <v>2.0499999999999998</v>
      </c>
      <c r="AB116" s="785">
        <v>2.06</v>
      </c>
      <c r="AC116" s="785">
        <v>2.0699999999999998</v>
      </c>
      <c r="AD116" s="785">
        <v>2.09</v>
      </c>
      <c r="AE116" s="819">
        <v>1E-3</v>
      </c>
      <c r="AF116" s="785"/>
      <c r="AG116" s="785"/>
      <c r="AH116" s="785"/>
      <c r="AI116" s="785"/>
      <c r="AJ116" s="785"/>
      <c r="AK116" s="785"/>
      <c r="AL116" s="785"/>
      <c r="AM116" s="785"/>
      <c r="AN116" s="785"/>
      <c r="AO116" s="785"/>
      <c r="AP116" s="785"/>
      <c r="AQ116" s="785"/>
      <c r="AR116" s="785"/>
      <c r="AS116" s="785"/>
      <c r="AT116" s="785"/>
      <c r="AU116" s="785"/>
      <c r="AV116" s="785"/>
      <c r="AW116" s="785"/>
      <c r="AX116" s="785"/>
      <c r="AY116" s="785"/>
      <c r="AZ116" s="785"/>
      <c r="BA116" s="785"/>
      <c r="BB116" s="785"/>
      <c r="BC116" s="785"/>
      <c r="BD116" s="785"/>
      <c r="BE116" s="785"/>
      <c r="BF116" s="785"/>
      <c r="BG116" s="785"/>
      <c r="BH116" s="785"/>
      <c r="BI116" s="785"/>
      <c r="BJ116" s="785"/>
      <c r="BK116" s="785"/>
      <c r="BL116" s="785"/>
      <c r="BM116" s="785"/>
      <c r="BN116" s="785"/>
      <c r="BO116" s="785"/>
      <c r="BP116" s="785"/>
      <c r="BQ116" s="785"/>
      <c r="BR116" s="785"/>
      <c r="BS116" s="785"/>
      <c r="BT116" s="785"/>
    </row>
    <row r="117" spans="1:72">
      <c r="A117" s="785"/>
      <c r="B117" s="785"/>
      <c r="C117" s="785"/>
      <c r="D117" s="785"/>
      <c r="E117" s="785"/>
      <c r="F117" s="785"/>
      <c r="G117" s="785"/>
      <c r="H117" s="785"/>
      <c r="I117" s="785"/>
      <c r="J117" s="785"/>
      <c r="K117" s="785"/>
      <c r="L117" s="785"/>
      <c r="M117" s="785"/>
      <c r="N117" s="785"/>
      <c r="O117" s="785"/>
      <c r="P117" s="785"/>
      <c r="Q117" s="785"/>
      <c r="R117" s="785"/>
      <c r="S117" s="785"/>
      <c r="T117" s="785"/>
      <c r="U117" s="785"/>
      <c r="V117" s="785"/>
      <c r="W117" s="785"/>
      <c r="X117" s="785"/>
      <c r="Y117" s="785"/>
      <c r="Z117" s="785"/>
      <c r="AA117" s="785"/>
      <c r="AB117" s="785"/>
      <c r="AC117" s="785"/>
      <c r="AD117" s="785"/>
      <c r="AE117" s="785"/>
      <c r="AF117" s="785"/>
      <c r="AG117" s="785"/>
      <c r="AH117" s="785"/>
      <c r="AI117" s="785"/>
      <c r="AJ117" s="785"/>
      <c r="AK117" s="785"/>
      <c r="AL117" s="785"/>
      <c r="AM117" s="785"/>
      <c r="AN117" s="785"/>
      <c r="AO117" s="785"/>
      <c r="AP117" s="785"/>
      <c r="AQ117" s="785"/>
      <c r="AR117" s="785"/>
      <c r="AS117" s="785"/>
      <c r="AT117" s="785"/>
      <c r="AU117" s="785"/>
      <c r="AV117" s="785"/>
      <c r="AW117" s="785"/>
      <c r="AX117" s="785"/>
      <c r="AY117" s="785"/>
      <c r="AZ117" s="785"/>
      <c r="BA117" s="785"/>
      <c r="BB117" s="785"/>
      <c r="BC117" s="785"/>
      <c r="BD117" s="785"/>
      <c r="BE117" s="785"/>
      <c r="BF117" s="785"/>
      <c r="BG117" s="785"/>
      <c r="BH117" s="785"/>
      <c r="BI117" s="785"/>
      <c r="BJ117" s="785"/>
      <c r="BK117" s="785"/>
      <c r="BL117" s="785"/>
      <c r="BM117" s="785"/>
      <c r="BN117" s="785"/>
      <c r="BO117" s="785"/>
      <c r="BP117" s="785"/>
      <c r="BQ117" s="785"/>
      <c r="BR117" s="785"/>
      <c r="BS117" s="785"/>
      <c r="BT117" s="785"/>
    </row>
    <row r="118" spans="1:72">
      <c r="A118" s="785" t="s">
        <v>623</v>
      </c>
      <c r="B118" s="785"/>
      <c r="C118" s="785"/>
      <c r="D118" s="785"/>
      <c r="E118" s="785"/>
      <c r="F118" s="785"/>
      <c r="G118" s="785"/>
      <c r="H118" s="785"/>
      <c r="I118" s="785"/>
      <c r="J118" s="785"/>
      <c r="K118" s="785"/>
      <c r="L118" s="785"/>
      <c r="M118" s="785"/>
      <c r="N118" s="785"/>
      <c r="O118" s="785"/>
      <c r="P118" s="785"/>
      <c r="Q118" s="785"/>
      <c r="R118" s="785"/>
      <c r="S118" s="785"/>
      <c r="T118" s="785"/>
      <c r="U118" s="785"/>
      <c r="V118" s="785"/>
      <c r="W118" s="785"/>
      <c r="X118" s="785"/>
      <c r="Y118" s="785"/>
      <c r="Z118" s="785"/>
      <c r="AA118" s="785"/>
      <c r="AB118" s="785"/>
      <c r="AC118" s="785"/>
      <c r="AD118" s="785"/>
      <c r="AE118" s="785"/>
      <c r="AF118" s="785"/>
      <c r="AG118" s="785"/>
      <c r="AH118" s="785"/>
      <c r="AI118" s="785"/>
      <c r="AJ118" s="785"/>
      <c r="AK118" s="785"/>
      <c r="AL118" s="785"/>
      <c r="AM118" s="785"/>
      <c r="AN118" s="785"/>
      <c r="AO118" s="785"/>
      <c r="AP118" s="785"/>
      <c r="AQ118" s="785"/>
      <c r="AR118" s="785"/>
      <c r="AS118" s="785"/>
      <c r="AT118" s="785"/>
      <c r="AU118" s="785"/>
      <c r="AV118" s="785"/>
      <c r="AW118" s="785"/>
      <c r="AX118" s="785"/>
      <c r="AY118" s="785"/>
      <c r="AZ118" s="785"/>
      <c r="BA118" s="785"/>
      <c r="BB118" s="785"/>
      <c r="BC118" s="785"/>
      <c r="BD118" s="785"/>
      <c r="BE118" s="785"/>
      <c r="BF118" s="785"/>
      <c r="BG118" s="785"/>
      <c r="BH118" s="785"/>
      <c r="BI118" s="785"/>
      <c r="BJ118" s="785"/>
      <c r="BK118" s="785"/>
      <c r="BL118" s="785"/>
      <c r="BM118" s="785"/>
      <c r="BN118" s="785"/>
      <c r="BO118" s="785"/>
      <c r="BP118" s="785"/>
      <c r="BQ118" s="785"/>
      <c r="BR118" s="785"/>
      <c r="BS118" s="785"/>
      <c r="BT118" s="785"/>
    </row>
    <row r="119" spans="1:72">
      <c r="A119" s="785" t="s">
        <v>607</v>
      </c>
      <c r="B119" s="785">
        <v>18.940000000000001</v>
      </c>
      <c r="C119" s="785">
        <v>20.190000000000001</v>
      </c>
      <c r="D119" s="785">
        <v>18.36</v>
      </c>
      <c r="E119" s="785">
        <v>16.850000000000001</v>
      </c>
      <c r="F119" s="785">
        <v>16.87</v>
      </c>
      <c r="G119" s="785">
        <v>17.87</v>
      </c>
      <c r="H119" s="785">
        <v>18.97</v>
      </c>
      <c r="I119" s="785">
        <v>19.82</v>
      </c>
      <c r="J119" s="785">
        <v>20.3</v>
      </c>
      <c r="K119" s="785">
        <v>20.84</v>
      </c>
      <c r="L119" s="785">
        <v>21.26</v>
      </c>
      <c r="M119" s="785">
        <v>21.71</v>
      </c>
      <c r="N119" s="785">
        <v>21.93</v>
      </c>
      <c r="O119" s="785">
        <v>22.15</v>
      </c>
      <c r="P119" s="785">
        <v>22.36</v>
      </c>
      <c r="Q119" s="785">
        <v>22.56</v>
      </c>
      <c r="R119" s="785">
        <v>22.83</v>
      </c>
      <c r="S119" s="785">
        <v>23.09</v>
      </c>
      <c r="T119" s="785">
        <v>23.34</v>
      </c>
      <c r="U119" s="785">
        <v>23.49</v>
      </c>
      <c r="V119" s="785">
        <v>23.75</v>
      </c>
      <c r="W119" s="785">
        <v>24</v>
      </c>
      <c r="X119" s="785">
        <v>24.34</v>
      </c>
      <c r="Y119" s="785">
        <v>24.55</v>
      </c>
      <c r="Z119" s="785">
        <v>24.91</v>
      </c>
      <c r="AA119" s="785">
        <v>25.25</v>
      </c>
      <c r="AB119" s="785">
        <v>25.63</v>
      </c>
      <c r="AC119" s="785">
        <v>25.99</v>
      </c>
      <c r="AD119" s="785">
        <v>26.37</v>
      </c>
      <c r="AE119" s="819">
        <v>0.01</v>
      </c>
      <c r="AF119" s="785"/>
      <c r="AG119" s="785"/>
      <c r="AH119" s="785"/>
      <c r="AI119" s="785"/>
      <c r="AJ119" s="785"/>
      <c r="AK119" s="785"/>
      <c r="AL119" s="785"/>
      <c r="AM119" s="785"/>
      <c r="AN119" s="785"/>
      <c r="AO119" s="785"/>
      <c r="AP119" s="785"/>
      <c r="AQ119" s="785"/>
      <c r="AR119" s="785"/>
      <c r="AS119" s="785"/>
      <c r="AT119" s="785"/>
      <c r="AU119" s="785"/>
      <c r="AV119" s="785"/>
      <c r="AW119" s="785"/>
      <c r="AX119" s="785"/>
      <c r="AY119" s="785"/>
      <c r="AZ119" s="785"/>
      <c r="BA119" s="785"/>
      <c r="BB119" s="785"/>
      <c r="BC119" s="785"/>
      <c r="BD119" s="785"/>
      <c r="BE119" s="785"/>
      <c r="BF119" s="785"/>
      <c r="BG119" s="785"/>
      <c r="BH119" s="785"/>
      <c r="BI119" s="785"/>
      <c r="BJ119" s="785"/>
      <c r="BK119" s="785"/>
      <c r="BL119" s="785"/>
      <c r="BM119" s="785"/>
      <c r="BN119" s="785"/>
      <c r="BO119" s="785"/>
      <c r="BP119" s="785"/>
      <c r="BQ119" s="785"/>
      <c r="BR119" s="785"/>
      <c r="BS119" s="785"/>
      <c r="BT119" s="785"/>
    </row>
    <row r="120" spans="1:72">
      <c r="A120" s="785" t="s">
        <v>616</v>
      </c>
      <c r="B120" s="785">
        <v>27.43</v>
      </c>
      <c r="C120" s="785">
        <v>26.93</v>
      </c>
      <c r="D120" s="785">
        <v>23.29</v>
      </c>
      <c r="E120" s="785">
        <v>20.64</v>
      </c>
      <c r="F120" s="785">
        <v>20.97</v>
      </c>
      <c r="G120" s="785">
        <v>22.13</v>
      </c>
      <c r="H120" s="785">
        <v>24.21</v>
      </c>
      <c r="I120" s="785">
        <v>25.23</v>
      </c>
      <c r="J120" s="785">
        <v>25.55</v>
      </c>
      <c r="K120" s="785">
        <v>25.08</v>
      </c>
      <c r="L120" s="785">
        <v>25.9</v>
      </c>
      <c r="M120" s="785">
        <v>26.54</v>
      </c>
      <c r="N120" s="785">
        <v>26.68</v>
      </c>
      <c r="O120" s="785">
        <v>26.95</v>
      </c>
      <c r="P120" s="785">
        <v>27.32</v>
      </c>
      <c r="Q120" s="785">
        <v>27.82</v>
      </c>
      <c r="R120" s="785">
        <v>28.31</v>
      </c>
      <c r="S120" s="785">
        <v>28.55</v>
      </c>
      <c r="T120" s="785">
        <v>28.86</v>
      </c>
      <c r="U120" s="785">
        <v>29.22</v>
      </c>
      <c r="V120" s="785">
        <v>29.49</v>
      </c>
      <c r="W120" s="785">
        <v>30.03</v>
      </c>
      <c r="X120" s="785">
        <v>30.44</v>
      </c>
      <c r="Y120" s="785">
        <v>30.64</v>
      </c>
      <c r="Z120" s="785">
        <v>30.86</v>
      </c>
      <c r="AA120" s="785">
        <v>31.29</v>
      </c>
      <c r="AB120" s="785">
        <v>31.49</v>
      </c>
      <c r="AC120" s="785">
        <v>31.77</v>
      </c>
      <c r="AD120" s="785">
        <v>32.229999999999997</v>
      </c>
      <c r="AE120" s="819">
        <v>7.0000000000000001E-3</v>
      </c>
      <c r="AF120" s="785"/>
      <c r="AG120" s="785"/>
      <c r="AH120" s="785"/>
      <c r="AI120" s="785"/>
      <c r="AJ120" s="785"/>
      <c r="AK120" s="785"/>
      <c r="AL120" s="785"/>
      <c r="AM120" s="785"/>
      <c r="AN120" s="785"/>
      <c r="AO120" s="785"/>
      <c r="AP120" s="785"/>
      <c r="AQ120" s="785"/>
      <c r="AR120" s="785"/>
      <c r="AS120" s="785"/>
      <c r="AT120" s="785"/>
      <c r="AU120" s="785"/>
      <c r="AV120" s="785"/>
      <c r="AW120" s="785"/>
      <c r="AX120" s="785"/>
      <c r="AY120" s="785"/>
      <c r="AZ120" s="785"/>
      <c r="BA120" s="785"/>
      <c r="BB120" s="785"/>
      <c r="BC120" s="785"/>
      <c r="BD120" s="785"/>
      <c r="BE120" s="785"/>
      <c r="BF120" s="785"/>
      <c r="BG120" s="785"/>
      <c r="BH120" s="785"/>
      <c r="BI120" s="785"/>
      <c r="BJ120" s="785"/>
      <c r="BK120" s="785"/>
      <c r="BL120" s="785"/>
      <c r="BM120" s="785"/>
      <c r="BN120" s="785"/>
      <c r="BO120" s="785"/>
      <c r="BP120" s="785"/>
      <c r="BQ120" s="785"/>
      <c r="BR120" s="785"/>
      <c r="BS120" s="785"/>
      <c r="BT120" s="785"/>
    </row>
    <row r="121" spans="1:72">
      <c r="A121" s="785" t="s">
        <v>617</v>
      </c>
      <c r="B121" s="785">
        <v>23.55</v>
      </c>
      <c r="C121" s="785">
        <v>26.54</v>
      </c>
      <c r="D121" s="785">
        <v>19.149999999999999</v>
      </c>
      <c r="E121" s="785">
        <v>20.55</v>
      </c>
      <c r="F121" s="785">
        <v>20.88</v>
      </c>
      <c r="G121" s="785">
        <v>22.03</v>
      </c>
      <c r="H121" s="785">
        <v>24.01</v>
      </c>
      <c r="I121" s="785">
        <v>24.94</v>
      </c>
      <c r="J121" s="785">
        <v>25.36</v>
      </c>
      <c r="K121" s="785">
        <v>25.93</v>
      </c>
      <c r="L121" s="785">
        <v>26.46</v>
      </c>
      <c r="M121" s="785">
        <v>26.89</v>
      </c>
      <c r="N121" s="785">
        <v>27.2</v>
      </c>
      <c r="O121" s="785">
        <v>27.59</v>
      </c>
      <c r="P121" s="785">
        <v>27.82</v>
      </c>
      <c r="Q121" s="785">
        <v>28.17</v>
      </c>
      <c r="R121" s="785">
        <v>28.41</v>
      </c>
      <c r="S121" s="785">
        <v>28.54</v>
      </c>
      <c r="T121" s="785">
        <v>28.87</v>
      </c>
      <c r="U121" s="785">
        <v>29.18</v>
      </c>
      <c r="V121" s="785">
        <v>29.47</v>
      </c>
      <c r="W121" s="785">
        <v>29.9</v>
      </c>
      <c r="X121" s="785">
        <v>30.27</v>
      </c>
      <c r="Y121" s="785">
        <v>30.41</v>
      </c>
      <c r="Z121" s="785">
        <v>30.76</v>
      </c>
      <c r="AA121" s="785">
        <v>31.16</v>
      </c>
      <c r="AB121" s="785">
        <v>31.43</v>
      </c>
      <c r="AC121" s="785">
        <v>31.81</v>
      </c>
      <c r="AD121" s="785">
        <v>32.32</v>
      </c>
      <c r="AE121" s="819">
        <v>7.0000000000000001E-3</v>
      </c>
      <c r="AF121" s="785"/>
      <c r="AG121" s="785"/>
      <c r="AH121" s="785"/>
      <c r="AI121" s="785"/>
      <c r="AJ121" s="785"/>
      <c r="AK121" s="785"/>
      <c r="AL121" s="785"/>
      <c r="AM121" s="785"/>
      <c r="AN121" s="785"/>
      <c r="AO121" s="785"/>
      <c r="AP121" s="785"/>
      <c r="AQ121" s="785"/>
      <c r="AR121" s="785"/>
      <c r="AS121" s="785"/>
      <c r="AT121" s="785"/>
      <c r="AU121" s="785"/>
      <c r="AV121" s="785"/>
      <c r="AW121" s="785"/>
      <c r="AX121" s="785"/>
      <c r="AY121" s="785"/>
      <c r="AZ121" s="785"/>
      <c r="BA121" s="785"/>
      <c r="BB121" s="785"/>
      <c r="BC121" s="785"/>
      <c r="BD121" s="785"/>
      <c r="BE121" s="785"/>
      <c r="BF121" s="785"/>
      <c r="BG121" s="785"/>
      <c r="BH121" s="785"/>
      <c r="BI121" s="785"/>
      <c r="BJ121" s="785"/>
      <c r="BK121" s="785"/>
      <c r="BL121" s="785"/>
      <c r="BM121" s="785"/>
      <c r="BN121" s="785"/>
      <c r="BO121" s="785"/>
      <c r="BP121" s="785"/>
      <c r="BQ121" s="785"/>
      <c r="BR121" s="785"/>
      <c r="BS121" s="785"/>
      <c r="BT121" s="785"/>
    </row>
    <row r="122" spans="1:72">
      <c r="A122" s="785" t="s">
        <v>624</v>
      </c>
      <c r="B122" s="785">
        <v>15.77</v>
      </c>
      <c r="C122" s="785">
        <v>22.71</v>
      </c>
      <c r="D122" s="785">
        <v>12.73</v>
      </c>
      <c r="E122" s="785">
        <v>14.79</v>
      </c>
      <c r="F122" s="785">
        <v>15.16</v>
      </c>
      <c r="G122" s="785">
        <v>16.54</v>
      </c>
      <c r="H122" s="785">
        <v>17.690000000000001</v>
      </c>
      <c r="I122" s="785">
        <v>18.46</v>
      </c>
      <c r="J122" s="785">
        <v>19.04</v>
      </c>
      <c r="K122" s="785">
        <v>19.760000000000002</v>
      </c>
      <c r="L122" s="785">
        <v>20.41</v>
      </c>
      <c r="M122" s="785">
        <v>20.97</v>
      </c>
      <c r="N122" s="785">
        <v>21.35</v>
      </c>
      <c r="O122" s="785">
        <v>21.69</v>
      </c>
      <c r="P122" s="785">
        <v>21.85</v>
      </c>
      <c r="Q122" s="785">
        <v>22.09</v>
      </c>
      <c r="R122" s="785">
        <v>22.41</v>
      </c>
      <c r="S122" s="785">
        <v>22.61</v>
      </c>
      <c r="T122" s="785">
        <v>22.92</v>
      </c>
      <c r="U122" s="785">
        <v>23.19</v>
      </c>
      <c r="V122" s="785">
        <v>23.48</v>
      </c>
      <c r="W122" s="785">
        <v>23.9</v>
      </c>
      <c r="X122" s="785">
        <v>24.26</v>
      </c>
      <c r="Y122" s="785">
        <v>24.51</v>
      </c>
      <c r="Z122" s="785">
        <v>24.9</v>
      </c>
      <c r="AA122" s="785">
        <v>25.3</v>
      </c>
      <c r="AB122" s="785">
        <v>25.64</v>
      </c>
      <c r="AC122" s="785">
        <v>26.05</v>
      </c>
      <c r="AD122" s="785">
        <v>26.48</v>
      </c>
      <c r="AE122" s="819">
        <v>6.0000000000000001E-3</v>
      </c>
      <c r="AF122" s="785"/>
      <c r="AG122" s="785"/>
      <c r="AH122" s="785"/>
      <c r="AI122" s="785"/>
      <c r="AJ122" s="785"/>
      <c r="AK122" s="785"/>
      <c r="AL122" s="785"/>
      <c r="AM122" s="785"/>
      <c r="AN122" s="785"/>
      <c r="AO122" s="785"/>
      <c r="AP122" s="785"/>
      <c r="AQ122" s="785"/>
      <c r="AR122" s="785"/>
      <c r="AS122" s="785"/>
      <c r="AT122" s="785"/>
      <c r="AU122" s="785"/>
      <c r="AV122" s="785"/>
      <c r="AW122" s="785"/>
      <c r="AX122" s="785"/>
      <c r="AY122" s="785"/>
      <c r="AZ122" s="785"/>
      <c r="BA122" s="785"/>
      <c r="BB122" s="785"/>
      <c r="BC122" s="785"/>
      <c r="BD122" s="785"/>
      <c r="BE122" s="785"/>
      <c r="BF122" s="785"/>
      <c r="BG122" s="785"/>
      <c r="BH122" s="785"/>
      <c r="BI122" s="785"/>
      <c r="BJ122" s="785"/>
      <c r="BK122" s="785"/>
      <c r="BL122" s="785"/>
      <c r="BM122" s="785"/>
      <c r="BN122" s="785"/>
      <c r="BO122" s="785"/>
      <c r="BP122" s="785"/>
      <c r="BQ122" s="785"/>
      <c r="BR122" s="785"/>
      <c r="BS122" s="785"/>
      <c r="BT122" s="785"/>
    </row>
    <row r="123" spans="1:72">
      <c r="A123" s="785" t="s">
        <v>608</v>
      </c>
      <c r="B123" s="785">
        <v>20.71</v>
      </c>
      <c r="C123" s="785">
        <v>26.27</v>
      </c>
      <c r="D123" s="785">
        <v>17.46</v>
      </c>
      <c r="E123" s="785">
        <v>17.73</v>
      </c>
      <c r="F123" s="785">
        <v>18.149999999999999</v>
      </c>
      <c r="G123" s="785">
        <v>19.45</v>
      </c>
      <c r="H123" s="785">
        <v>20.62</v>
      </c>
      <c r="I123" s="785">
        <v>21.35</v>
      </c>
      <c r="J123" s="785">
        <v>22.03</v>
      </c>
      <c r="K123" s="785">
        <v>22.8</v>
      </c>
      <c r="L123" s="785">
        <v>23.45</v>
      </c>
      <c r="M123" s="785">
        <v>24.07</v>
      </c>
      <c r="N123" s="785">
        <v>24.47</v>
      </c>
      <c r="O123" s="785">
        <v>24.79</v>
      </c>
      <c r="P123" s="785">
        <v>24.99</v>
      </c>
      <c r="Q123" s="785">
        <v>25.32</v>
      </c>
      <c r="R123" s="785">
        <v>25.5</v>
      </c>
      <c r="S123" s="785">
        <v>25.59</v>
      </c>
      <c r="T123" s="785">
        <v>25.89</v>
      </c>
      <c r="U123" s="785">
        <v>26.12</v>
      </c>
      <c r="V123" s="785">
        <v>26.38</v>
      </c>
      <c r="W123" s="785">
        <v>26.71</v>
      </c>
      <c r="X123" s="785">
        <v>27.11</v>
      </c>
      <c r="Y123" s="785">
        <v>27.29</v>
      </c>
      <c r="Z123" s="785">
        <v>27.73</v>
      </c>
      <c r="AA123" s="785">
        <v>28.13</v>
      </c>
      <c r="AB123" s="785">
        <v>28.46</v>
      </c>
      <c r="AC123" s="785">
        <v>28.87</v>
      </c>
      <c r="AD123" s="785">
        <v>29.34</v>
      </c>
      <c r="AE123" s="819">
        <v>4.0000000000000001E-3</v>
      </c>
      <c r="AF123" s="785"/>
      <c r="AG123" s="785"/>
      <c r="AH123" s="785"/>
      <c r="AI123" s="785"/>
      <c r="AJ123" s="785"/>
      <c r="AK123" s="785"/>
      <c r="AL123" s="785"/>
      <c r="AM123" s="785"/>
      <c r="AN123" s="785"/>
      <c r="AO123" s="785"/>
      <c r="AP123" s="785"/>
      <c r="AQ123" s="785"/>
      <c r="AR123" s="785"/>
      <c r="AS123" s="785"/>
      <c r="AT123" s="785"/>
      <c r="AU123" s="785"/>
      <c r="AV123" s="785"/>
      <c r="AW123" s="785"/>
      <c r="AX123" s="785"/>
      <c r="AY123" s="785"/>
      <c r="AZ123" s="785"/>
      <c r="BA123" s="785"/>
      <c r="BB123" s="785"/>
      <c r="BC123" s="785"/>
      <c r="BD123" s="785"/>
      <c r="BE123" s="785"/>
      <c r="BF123" s="785"/>
      <c r="BG123" s="785"/>
      <c r="BH123" s="785"/>
      <c r="BI123" s="785"/>
      <c r="BJ123" s="785"/>
      <c r="BK123" s="785"/>
      <c r="BL123" s="785"/>
      <c r="BM123" s="785"/>
      <c r="BN123" s="785"/>
      <c r="BO123" s="785"/>
      <c r="BP123" s="785"/>
      <c r="BQ123" s="785"/>
      <c r="BR123" s="785"/>
      <c r="BS123" s="785"/>
      <c r="BT123" s="785"/>
    </row>
    <row r="124" spans="1:72">
      <c r="A124" s="785" t="s">
        <v>609</v>
      </c>
      <c r="B124" s="785">
        <v>9.07</v>
      </c>
      <c r="C124" s="785">
        <v>14.77</v>
      </c>
      <c r="D124" s="785">
        <v>8.9600000000000009</v>
      </c>
      <c r="E124" s="785">
        <v>10.9</v>
      </c>
      <c r="F124" s="785">
        <v>11.01</v>
      </c>
      <c r="G124" s="785">
        <v>12.17</v>
      </c>
      <c r="H124" s="785">
        <v>13.13</v>
      </c>
      <c r="I124" s="785">
        <v>13.86</v>
      </c>
      <c r="J124" s="785">
        <v>14.26</v>
      </c>
      <c r="K124" s="785">
        <v>14.63</v>
      </c>
      <c r="L124" s="785">
        <v>15.14</v>
      </c>
      <c r="M124" s="785">
        <v>15.55</v>
      </c>
      <c r="N124" s="785">
        <v>15.76</v>
      </c>
      <c r="O124" s="785">
        <v>15.81</v>
      </c>
      <c r="P124" s="785">
        <v>16.05</v>
      </c>
      <c r="Q124" s="785">
        <v>16.190000000000001</v>
      </c>
      <c r="R124" s="785">
        <v>16.399999999999999</v>
      </c>
      <c r="S124" s="785">
        <v>16.600000000000001</v>
      </c>
      <c r="T124" s="785">
        <v>16.8</v>
      </c>
      <c r="U124" s="785">
        <v>16.850000000000001</v>
      </c>
      <c r="V124" s="785">
        <v>17.13</v>
      </c>
      <c r="W124" s="785">
        <v>17.37</v>
      </c>
      <c r="X124" s="785">
        <v>17.66</v>
      </c>
      <c r="Y124" s="785">
        <v>17.96</v>
      </c>
      <c r="Z124" s="785">
        <v>18.3</v>
      </c>
      <c r="AA124" s="785">
        <v>18.559999999999999</v>
      </c>
      <c r="AB124" s="785">
        <v>18.79</v>
      </c>
      <c r="AC124" s="785">
        <v>19.12</v>
      </c>
      <c r="AD124" s="785">
        <v>19.46</v>
      </c>
      <c r="AE124" s="819">
        <v>0.01</v>
      </c>
      <c r="AF124" s="785"/>
      <c r="AG124" s="785"/>
      <c r="AH124" s="785"/>
      <c r="AI124" s="785"/>
      <c r="AJ124" s="785"/>
      <c r="AK124" s="785"/>
      <c r="AL124" s="785"/>
      <c r="AM124" s="785"/>
      <c r="AN124" s="785"/>
      <c r="AO124" s="785"/>
      <c r="AP124" s="785"/>
      <c r="AQ124" s="785"/>
      <c r="AR124" s="785"/>
      <c r="AS124" s="785"/>
      <c r="AT124" s="785"/>
      <c r="AU124" s="785"/>
      <c r="AV124" s="785"/>
      <c r="AW124" s="785"/>
      <c r="AX124" s="785"/>
      <c r="AY124" s="785"/>
      <c r="AZ124" s="785"/>
      <c r="BA124" s="785"/>
      <c r="BB124" s="785"/>
      <c r="BC124" s="785"/>
      <c r="BD124" s="785"/>
      <c r="BE124" s="785"/>
      <c r="BF124" s="785"/>
      <c r="BG124" s="785"/>
      <c r="BH124" s="785"/>
      <c r="BI124" s="785"/>
      <c r="BJ124" s="785"/>
      <c r="BK124" s="785"/>
      <c r="BL124" s="785"/>
      <c r="BM124" s="785"/>
      <c r="BN124" s="785"/>
      <c r="BO124" s="785"/>
      <c r="BP124" s="785"/>
      <c r="BQ124" s="785"/>
      <c r="BR124" s="785"/>
      <c r="BS124" s="785"/>
      <c r="BT124" s="785"/>
    </row>
    <row r="125" spans="1:72">
      <c r="A125" s="785" t="s">
        <v>508</v>
      </c>
      <c r="B125" s="785">
        <v>9.19</v>
      </c>
      <c r="C125" s="785">
        <v>10.53</v>
      </c>
      <c r="D125" s="785">
        <v>6.57</v>
      </c>
      <c r="E125" s="785">
        <v>6.87</v>
      </c>
      <c r="F125" s="785">
        <v>7.87</v>
      </c>
      <c r="G125" s="785">
        <v>8.1999999999999993</v>
      </c>
      <c r="H125" s="785">
        <v>8.0500000000000007</v>
      </c>
      <c r="I125" s="785">
        <v>8.02</v>
      </c>
      <c r="J125" s="785">
        <v>8.14</v>
      </c>
      <c r="K125" s="785">
        <v>8.2200000000000006</v>
      </c>
      <c r="L125" s="785">
        <v>8.2200000000000006</v>
      </c>
      <c r="M125" s="785">
        <v>8.27</v>
      </c>
      <c r="N125" s="785">
        <v>8.33</v>
      </c>
      <c r="O125" s="785">
        <v>8.44</v>
      </c>
      <c r="P125" s="785">
        <v>8.5500000000000007</v>
      </c>
      <c r="Q125" s="785">
        <v>8.73</v>
      </c>
      <c r="R125" s="785">
        <v>8.77</v>
      </c>
      <c r="S125" s="785">
        <v>8.68</v>
      </c>
      <c r="T125" s="785">
        <v>8.75</v>
      </c>
      <c r="U125" s="785">
        <v>8.89</v>
      </c>
      <c r="V125" s="785">
        <v>9.0399999999999991</v>
      </c>
      <c r="W125" s="785">
        <v>9.26</v>
      </c>
      <c r="X125" s="785">
        <v>9.49</v>
      </c>
      <c r="Y125" s="785">
        <v>9.74</v>
      </c>
      <c r="Z125" s="785">
        <v>10.050000000000001</v>
      </c>
      <c r="AA125" s="785">
        <v>10.17</v>
      </c>
      <c r="AB125" s="785">
        <v>10.210000000000001</v>
      </c>
      <c r="AC125" s="785">
        <v>10.4</v>
      </c>
      <c r="AD125" s="785">
        <v>10.54</v>
      </c>
      <c r="AE125" s="819">
        <v>0</v>
      </c>
      <c r="AF125" s="785"/>
      <c r="AG125" s="785"/>
      <c r="AH125" s="785"/>
      <c r="AI125" s="785"/>
      <c r="AJ125" s="785"/>
      <c r="AK125" s="785"/>
      <c r="AL125" s="785"/>
      <c r="AM125" s="785"/>
      <c r="AN125" s="785"/>
      <c r="AO125" s="785"/>
      <c r="AP125" s="785"/>
      <c r="AQ125" s="785"/>
      <c r="AR125" s="785"/>
      <c r="AS125" s="785"/>
      <c r="AT125" s="785"/>
      <c r="AU125" s="785"/>
      <c r="AV125" s="785"/>
      <c r="AW125" s="785"/>
      <c r="AX125" s="785"/>
      <c r="AY125" s="785"/>
      <c r="AZ125" s="785"/>
      <c r="BA125" s="785"/>
      <c r="BB125" s="785"/>
      <c r="BC125" s="785"/>
      <c r="BD125" s="785"/>
      <c r="BE125" s="785"/>
      <c r="BF125" s="785"/>
      <c r="BG125" s="785"/>
      <c r="BH125" s="785"/>
      <c r="BI125" s="785"/>
      <c r="BJ125" s="785"/>
      <c r="BK125" s="785"/>
      <c r="BL125" s="785"/>
      <c r="BM125" s="785"/>
      <c r="BN125" s="785"/>
      <c r="BO125" s="785"/>
      <c r="BP125" s="785"/>
      <c r="BQ125" s="785"/>
      <c r="BR125" s="785"/>
      <c r="BS125" s="785"/>
      <c r="BT125" s="785"/>
    </row>
    <row r="126" spans="1:72">
      <c r="A126" s="785" t="s">
        <v>612</v>
      </c>
      <c r="B126" s="785">
        <v>3.69</v>
      </c>
      <c r="C126" s="785">
        <v>4.49</v>
      </c>
      <c r="D126" s="785">
        <v>4.72</v>
      </c>
      <c r="E126" s="785">
        <v>4.8</v>
      </c>
      <c r="F126" s="785">
        <v>4.8600000000000003</v>
      </c>
      <c r="G126" s="785">
        <v>5.0199999999999996</v>
      </c>
      <c r="H126" s="785">
        <v>5.05</v>
      </c>
      <c r="I126" s="785">
        <v>5.08</v>
      </c>
      <c r="J126" s="785">
        <v>5.08</v>
      </c>
      <c r="K126" s="785">
        <v>5.09</v>
      </c>
      <c r="L126" s="785">
        <v>5.16</v>
      </c>
      <c r="M126" s="785">
        <v>5.22</v>
      </c>
      <c r="N126" s="785">
        <v>5.29</v>
      </c>
      <c r="O126" s="785">
        <v>5.32</v>
      </c>
      <c r="P126" s="785">
        <v>5.35</v>
      </c>
      <c r="Q126" s="785">
        <v>5.36</v>
      </c>
      <c r="R126" s="785">
        <v>5.35</v>
      </c>
      <c r="S126" s="785">
        <v>5.32</v>
      </c>
      <c r="T126" s="785">
        <v>5.24</v>
      </c>
      <c r="U126" s="785">
        <v>5.16</v>
      </c>
      <c r="V126" s="785">
        <v>5.14</v>
      </c>
      <c r="W126" s="785">
        <v>5.14</v>
      </c>
      <c r="X126" s="785">
        <v>5.1100000000000003</v>
      </c>
      <c r="Y126" s="785">
        <v>5.1100000000000003</v>
      </c>
      <c r="Z126" s="785">
        <v>5.09</v>
      </c>
      <c r="AA126" s="785">
        <v>5.08</v>
      </c>
      <c r="AB126" s="785">
        <v>5.08</v>
      </c>
      <c r="AC126" s="785">
        <v>5.0599999999999996</v>
      </c>
      <c r="AD126" s="785">
        <v>5.0599999999999996</v>
      </c>
      <c r="AE126" s="819">
        <v>4.0000000000000001E-3</v>
      </c>
      <c r="AF126" s="785"/>
      <c r="AG126" s="785"/>
      <c r="AH126" s="785"/>
      <c r="AI126" s="785"/>
      <c r="AJ126" s="785"/>
      <c r="AK126" s="785"/>
      <c r="AL126" s="785"/>
      <c r="AM126" s="785"/>
      <c r="AN126" s="785"/>
      <c r="AO126" s="785"/>
      <c r="AP126" s="785"/>
      <c r="AQ126" s="785"/>
      <c r="AR126" s="785"/>
      <c r="AS126" s="785"/>
      <c r="AT126" s="785"/>
      <c r="AU126" s="785"/>
      <c r="AV126" s="785"/>
      <c r="AW126" s="785"/>
      <c r="AX126" s="785"/>
      <c r="AY126" s="785"/>
      <c r="AZ126" s="785"/>
      <c r="BA126" s="785"/>
      <c r="BB126" s="785"/>
      <c r="BC126" s="785"/>
      <c r="BD126" s="785"/>
      <c r="BE126" s="785"/>
      <c r="BF126" s="785"/>
      <c r="BG126" s="785"/>
      <c r="BH126" s="785"/>
      <c r="BI126" s="785"/>
      <c r="BJ126" s="785"/>
      <c r="BK126" s="785"/>
      <c r="BL126" s="785"/>
      <c r="BM126" s="785"/>
      <c r="BN126" s="785"/>
      <c r="BO126" s="785"/>
      <c r="BP126" s="785"/>
      <c r="BQ126" s="785"/>
      <c r="BR126" s="785"/>
      <c r="BS126" s="785"/>
      <c r="BT126" s="785"/>
    </row>
    <row r="127" spans="1:72">
      <c r="A127" s="785" t="s">
        <v>625</v>
      </c>
      <c r="B127" s="785">
        <v>1.84</v>
      </c>
      <c r="C127" s="785">
        <v>2.1</v>
      </c>
      <c r="D127" s="785">
        <v>2.19</v>
      </c>
      <c r="E127" s="785">
        <v>2.0299999999999998</v>
      </c>
      <c r="F127" s="785">
        <v>2.02</v>
      </c>
      <c r="G127" s="785">
        <v>2.0299999999999998</v>
      </c>
      <c r="H127" s="785">
        <v>2.0299999999999998</v>
      </c>
      <c r="I127" s="785">
        <v>2.0299999999999998</v>
      </c>
      <c r="J127" s="785">
        <v>2.0499999999999998</v>
      </c>
      <c r="K127" s="785">
        <v>2.0299999999999998</v>
      </c>
      <c r="L127" s="785">
        <v>2.04</v>
      </c>
      <c r="M127" s="785">
        <v>2.0299999999999998</v>
      </c>
      <c r="N127" s="785">
        <v>2.02</v>
      </c>
      <c r="O127" s="785">
        <v>2.02</v>
      </c>
      <c r="P127" s="785">
        <v>2.02</v>
      </c>
      <c r="Q127" s="785">
        <v>2.0299999999999998</v>
      </c>
      <c r="R127" s="785">
        <v>2.02</v>
      </c>
      <c r="S127" s="785">
        <v>2.02</v>
      </c>
      <c r="T127" s="785">
        <v>2.02</v>
      </c>
      <c r="U127" s="785">
        <v>2.0299999999999998</v>
      </c>
      <c r="V127" s="785">
        <v>2.0299999999999998</v>
      </c>
      <c r="W127" s="785">
        <v>2.04</v>
      </c>
      <c r="X127" s="785">
        <v>2.0499999999999998</v>
      </c>
      <c r="Y127" s="785">
        <v>2.06</v>
      </c>
      <c r="Z127" s="785">
        <v>2.0699999999999998</v>
      </c>
      <c r="AA127" s="785">
        <v>2.08</v>
      </c>
      <c r="AB127" s="785">
        <v>2.09</v>
      </c>
      <c r="AC127" s="785">
        <v>2.1</v>
      </c>
      <c r="AD127" s="785">
        <v>2.12</v>
      </c>
      <c r="AE127" s="819">
        <v>0</v>
      </c>
      <c r="AF127" s="785"/>
      <c r="AG127" s="785"/>
      <c r="AH127" s="785"/>
      <c r="AI127" s="785"/>
      <c r="AJ127" s="785"/>
      <c r="AK127" s="785"/>
      <c r="AL127" s="785"/>
      <c r="AM127" s="785"/>
      <c r="AN127" s="785"/>
      <c r="AO127" s="785"/>
      <c r="AP127" s="785"/>
      <c r="AQ127" s="785"/>
      <c r="AR127" s="785"/>
      <c r="AS127" s="785"/>
      <c r="AT127" s="785"/>
      <c r="AU127" s="785"/>
      <c r="AV127" s="785"/>
      <c r="AW127" s="785"/>
      <c r="AX127" s="785"/>
      <c r="AY127" s="785"/>
      <c r="AZ127" s="785"/>
      <c r="BA127" s="785"/>
      <c r="BB127" s="785"/>
      <c r="BC127" s="785"/>
      <c r="BD127" s="785"/>
      <c r="BE127" s="785"/>
      <c r="BF127" s="785"/>
      <c r="BG127" s="785"/>
      <c r="BH127" s="785"/>
      <c r="BI127" s="785"/>
      <c r="BJ127" s="785"/>
      <c r="BK127" s="785"/>
      <c r="BL127" s="785"/>
      <c r="BM127" s="785"/>
      <c r="BN127" s="785"/>
      <c r="BO127" s="785"/>
      <c r="BP127" s="785"/>
      <c r="BQ127" s="785"/>
      <c r="BR127" s="785"/>
      <c r="BS127" s="785"/>
      <c r="BT127" s="785"/>
    </row>
    <row r="128" spans="1:72">
      <c r="A128" s="785" t="s">
        <v>614</v>
      </c>
      <c r="B128" s="785" t="s">
        <v>786</v>
      </c>
      <c r="C128" s="785" t="s">
        <v>786</v>
      </c>
      <c r="D128" s="785" t="s">
        <v>786</v>
      </c>
      <c r="E128" s="785" t="s">
        <v>786</v>
      </c>
      <c r="F128" s="785">
        <v>1.26</v>
      </c>
      <c r="G128" s="785">
        <v>1.04</v>
      </c>
      <c r="H128" s="785">
        <v>1.04</v>
      </c>
      <c r="I128" s="785">
        <v>1.41</v>
      </c>
      <c r="J128" s="785">
        <v>1.42</v>
      </c>
      <c r="K128" s="785">
        <v>1.46</v>
      </c>
      <c r="L128" s="785">
        <v>1.48</v>
      </c>
      <c r="M128" s="785">
        <v>1.48</v>
      </c>
      <c r="N128" s="785">
        <v>1.47</v>
      </c>
      <c r="O128" s="785">
        <v>1.46</v>
      </c>
      <c r="P128" s="785">
        <v>1.49</v>
      </c>
      <c r="Q128" s="785">
        <v>1.5</v>
      </c>
      <c r="R128" s="785">
        <v>1.52</v>
      </c>
      <c r="S128" s="785">
        <v>1.49</v>
      </c>
      <c r="T128" s="785">
        <v>1.49</v>
      </c>
      <c r="U128" s="785">
        <v>1.47</v>
      </c>
      <c r="V128" s="785">
        <v>1.46</v>
      </c>
      <c r="W128" s="785">
        <v>1.45</v>
      </c>
      <c r="X128" s="785">
        <v>1.44</v>
      </c>
      <c r="Y128" s="785">
        <v>1.44</v>
      </c>
      <c r="Z128" s="785">
        <v>1.44</v>
      </c>
      <c r="AA128" s="785">
        <v>1.44</v>
      </c>
      <c r="AB128" s="785">
        <v>1.46</v>
      </c>
      <c r="AC128" s="785">
        <v>1.48</v>
      </c>
      <c r="AD128" s="785">
        <v>1.51</v>
      </c>
      <c r="AE128" s="785" t="s">
        <v>786</v>
      </c>
      <c r="AF128" s="785"/>
      <c r="AG128" s="785"/>
      <c r="AH128" s="785"/>
      <c r="AI128" s="785"/>
      <c r="AJ128" s="785"/>
      <c r="AK128" s="785"/>
      <c r="AL128" s="785"/>
      <c r="AM128" s="785"/>
      <c r="AN128" s="785"/>
      <c r="AO128" s="785"/>
      <c r="AP128" s="785"/>
      <c r="AQ128" s="785"/>
      <c r="AR128" s="785"/>
      <c r="AS128" s="785"/>
      <c r="AT128" s="785"/>
      <c r="AU128" s="785"/>
      <c r="AV128" s="785"/>
      <c r="AW128" s="785"/>
      <c r="AX128" s="785"/>
      <c r="AY128" s="785"/>
      <c r="AZ128" s="785"/>
      <c r="BA128" s="785"/>
      <c r="BB128" s="785"/>
      <c r="BC128" s="785"/>
      <c r="BD128" s="785"/>
      <c r="BE128" s="785"/>
      <c r="BF128" s="785"/>
      <c r="BG128" s="785"/>
      <c r="BH128" s="785"/>
      <c r="BI128" s="785"/>
      <c r="BJ128" s="785"/>
      <c r="BK128" s="785"/>
      <c r="BL128" s="785"/>
      <c r="BM128" s="785"/>
      <c r="BN128" s="785"/>
      <c r="BO128" s="785"/>
      <c r="BP128" s="785"/>
      <c r="BQ128" s="785"/>
      <c r="BR128" s="785"/>
      <c r="BS128" s="785"/>
      <c r="BT128" s="785"/>
    </row>
    <row r="129" spans="1:72">
      <c r="A129" s="785" t="s">
        <v>477</v>
      </c>
      <c r="B129" s="785">
        <v>27.25</v>
      </c>
      <c r="C129" s="785">
        <v>28.81</v>
      </c>
      <c r="D129" s="785">
        <v>28.07</v>
      </c>
      <c r="E129" s="785">
        <v>26.77</v>
      </c>
      <c r="F129" s="785">
        <v>25.2</v>
      </c>
      <c r="G129" s="785">
        <v>26.1</v>
      </c>
      <c r="H129" s="785">
        <v>26.17</v>
      </c>
      <c r="I129" s="785">
        <v>25.97</v>
      </c>
      <c r="J129" s="785">
        <v>25.95</v>
      </c>
      <c r="K129" s="785">
        <v>26.2</v>
      </c>
      <c r="L129" s="785">
        <v>26.36</v>
      </c>
      <c r="M129" s="785">
        <v>26.37</v>
      </c>
      <c r="N129" s="785">
        <v>26.31</v>
      </c>
      <c r="O129" s="785">
        <v>26.51</v>
      </c>
      <c r="P129" s="785">
        <v>26.7</v>
      </c>
      <c r="Q129" s="785">
        <v>26.84</v>
      </c>
      <c r="R129" s="785">
        <v>27.04</v>
      </c>
      <c r="S129" s="785">
        <v>27.19</v>
      </c>
      <c r="T129" s="785">
        <v>27.17</v>
      </c>
      <c r="U129" s="785">
        <v>27.33</v>
      </c>
      <c r="V129" s="785">
        <v>27.53</v>
      </c>
      <c r="W129" s="785">
        <v>27.74</v>
      </c>
      <c r="X129" s="785">
        <v>28.16</v>
      </c>
      <c r="Y129" s="785">
        <v>28.49</v>
      </c>
      <c r="Z129" s="785">
        <v>28.86</v>
      </c>
      <c r="AA129" s="785">
        <v>29.21</v>
      </c>
      <c r="AB129" s="785">
        <v>29.38</v>
      </c>
      <c r="AC129" s="785">
        <v>29.64</v>
      </c>
      <c r="AD129" s="785">
        <v>29.87</v>
      </c>
      <c r="AE129" s="819">
        <v>1E-3</v>
      </c>
      <c r="AF129" s="785"/>
      <c r="AG129" s="785"/>
      <c r="AH129" s="785"/>
      <c r="AI129" s="785"/>
      <c r="AJ129" s="785"/>
      <c r="AK129" s="785"/>
      <c r="AL129" s="785"/>
      <c r="AM129" s="785"/>
      <c r="AN129" s="785"/>
      <c r="AO129" s="785"/>
      <c r="AP129" s="785"/>
      <c r="AQ129" s="785"/>
      <c r="AR129" s="785"/>
      <c r="AS129" s="785"/>
      <c r="AT129" s="785"/>
      <c r="AU129" s="785"/>
      <c r="AV129" s="785"/>
      <c r="AW129" s="785"/>
      <c r="AX129" s="785"/>
      <c r="AY129" s="785"/>
      <c r="AZ129" s="785"/>
      <c r="BA129" s="785"/>
      <c r="BB129" s="785"/>
      <c r="BC129" s="785"/>
      <c r="BD129" s="785"/>
      <c r="BE129" s="785"/>
      <c r="BF129" s="785"/>
      <c r="BG129" s="785"/>
      <c r="BH129" s="785"/>
      <c r="BI129" s="785"/>
      <c r="BJ129" s="785"/>
      <c r="BK129" s="785"/>
      <c r="BL129" s="785"/>
      <c r="BM129" s="785"/>
      <c r="BN129" s="785"/>
      <c r="BO129" s="785"/>
      <c r="BP129" s="785"/>
      <c r="BQ129" s="785"/>
      <c r="BR129" s="785"/>
      <c r="BS129" s="785"/>
      <c r="BT129" s="785"/>
    </row>
    <row r="130" spans="1:72">
      <c r="A130" s="785"/>
      <c r="B130" s="785"/>
      <c r="C130" s="785"/>
      <c r="D130" s="785"/>
      <c r="E130" s="785"/>
      <c r="F130" s="785"/>
      <c r="G130" s="785"/>
      <c r="H130" s="785"/>
      <c r="I130" s="785"/>
      <c r="J130" s="785"/>
      <c r="K130" s="785"/>
      <c r="L130" s="785"/>
      <c r="M130" s="785"/>
      <c r="N130" s="785"/>
      <c r="O130" s="785"/>
      <c r="P130" s="785"/>
      <c r="Q130" s="785"/>
      <c r="R130" s="785"/>
      <c r="S130" s="785"/>
      <c r="T130" s="785"/>
      <c r="U130" s="785"/>
      <c r="V130" s="785"/>
      <c r="W130" s="785"/>
      <c r="X130" s="785"/>
      <c r="Y130" s="785"/>
      <c r="Z130" s="785"/>
      <c r="AA130" s="785"/>
      <c r="AB130" s="785"/>
      <c r="AC130" s="785"/>
      <c r="AD130" s="785"/>
      <c r="AE130" s="785"/>
      <c r="AF130" s="785"/>
      <c r="AG130" s="785"/>
      <c r="AH130" s="785"/>
      <c r="AI130" s="785"/>
      <c r="AJ130" s="785"/>
      <c r="AK130" s="785"/>
      <c r="AL130" s="785"/>
      <c r="AM130" s="785"/>
      <c r="AN130" s="785"/>
      <c r="AO130" s="785"/>
      <c r="AP130" s="785"/>
      <c r="AQ130" s="785"/>
      <c r="AR130" s="785"/>
      <c r="AS130" s="785"/>
      <c r="AT130" s="785"/>
      <c r="AU130" s="785"/>
      <c r="AV130" s="785"/>
      <c r="AW130" s="785"/>
      <c r="AX130" s="785"/>
      <c r="AY130" s="785"/>
      <c r="AZ130" s="785"/>
      <c r="BA130" s="785"/>
      <c r="BB130" s="785"/>
      <c r="BC130" s="785"/>
      <c r="BD130" s="785"/>
      <c r="BE130" s="785"/>
      <c r="BF130" s="785"/>
      <c r="BG130" s="785"/>
      <c r="BH130" s="785"/>
      <c r="BI130" s="785"/>
      <c r="BJ130" s="785"/>
      <c r="BK130" s="785"/>
      <c r="BL130" s="785"/>
      <c r="BM130" s="785"/>
      <c r="BN130" s="785"/>
      <c r="BO130" s="785"/>
      <c r="BP130" s="785"/>
      <c r="BQ130" s="785"/>
      <c r="BR130" s="785"/>
      <c r="BS130" s="785"/>
      <c r="BT130" s="785"/>
    </row>
    <row r="131" spans="1:72">
      <c r="A131" s="785" t="s">
        <v>511</v>
      </c>
      <c r="B131" s="785"/>
      <c r="C131" s="785"/>
      <c r="D131" s="785"/>
      <c r="E131" s="785"/>
      <c r="F131" s="785"/>
      <c r="G131" s="785"/>
      <c r="H131" s="785"/>
      <c r="I131" s="785"/>
      <c r="J131" s="785"/>
      <c r="K131" s="785"/>
      <c r="L131" s="785"/>
      <c r="M131" s="785"/>
      <c r="N131" s="785"/>
      <c r="O131" s="785"/>
      <c r="P131" s="785"/>
      <c r="Q131" s="785"/>
      <c r="R131" s="785"/>
      <c r="S131" s="785"/>
      <c r="T131" s="785"/>
      <c r="U131" s="785"/>
      <c r="V131" s="785"/>
      <c r="W131" s="785"/>
      <c r="X131" s="785"/>
      <c r="Y131" s="785"/>
      <c r="Z131" s="785"/>
      <c r="AA131" s="785"/>
      <c r="AB131" s="785"/>
      <c r="AC131" s="785"/>
      <c r="AD131" s="785"/>
      <c r="AE131" s="785"/>
      <c r="AF131" s="785"/>
      <c r="AG131" s="785"/>
      <c r="AH131" s="785"/>
      <c r="AI131" s="785"/>
      <c r="AJ131" s="785"/>
      <c r="AK131" s="785"/>
      <c r="AL131" s="785"/>
      <c r="AM131" s="785"/>
      <c r="AN131" s="785"/>
      <c r="AO131" s="785"/>
      <c r="AP131" s="785"/>
      <c r="AQ131" s="785"/>
      <c r="AR131" s="785"/>
      <c r="AS131" s="785"/>
      <c r="AT131" s="785"/>
      <c r="AU131" s="785"/>
      <c r="AV131" s="785"/>
      <c r="AW131" s="785"/>
      <c r="AX131" s="785"/>
      <c r="AY131" s="785"/>
      <c r="AZ131" s="785"/>
      <c r="BA131" s="785"/>
      <c r="BB131" s="785"/>
      <c r="BC131" s="785"/>
      <c r="BD131" s="785"/>
      <c r="BE131" s="785"/>
      <c r="BF131" s="785"/>
      <c r="BG131" s="785"/>
      <c r="BH131" s="785"/>
      <c r="BI131" s="785"/>
      <c r="BJ131" s="785"/>
      <c r="BK131" s="785"/>
      <c r="BL131" s="785"/>
      <c r="BM131" s="785"/>
      <c r="BN131" s="785"/>
      <c r="BO131" s="785"/>
      <c r="BP131" s="785"/>
      <c r="BQ131" s="785"/>
      <c r="BR131" s="785"/>
      <c r="BS131" s="785"/>
      <c r="BT131" s="785"/>
    </row>
    <row r="132" spans="1:72">
      <c r="A132" s="785" t="s">
        <v>787</v>
      </c>
      <c r="B132" s="785"/>
      <c r="C132" s="785"/>
      <c r="D132" s="785"/>
      <c r="E132" s="785"/>
      <c r="F132" s="785"/>
      <c r="G132" s="785"/>
      <c r="H132" s="785"/>
      <c r="I132" s="785"/>
      <c r="J132" s="785"/>
      <c r="K132" s="785"/>
      <c r="L132" s="785"/>
      <c r="M132" s="785"/>
      <c r="N132" s="785"/>
      <c r="O132" s="785"/>
      <c r="P132" s="785"/>
      <c r="Q132" s="785"/>
      <c r="R132" s="785"/>
      <c r="S132" s="785"/>
      <c r="T132" s="785"/>
      <c r="U132" s="785"/>
      <c r="V132" s="785"/>
      <c r="W132" s="785"/>
      <c r="X132" s="785"/>
      <c r="Y132" s="785"/>
      <c r="Z132" s="785"/>
      <c r="AA132" s="785"/>
      <c r="AB132" s="785"/>
      <c r="AC132" s="785"/>
      <c r="AD132" s="785"/>
      <c r="AE132" s="785"/>
      <c r="AF132" s="785"/>
      <c r="AG132" s="785"/>
      <c r="AH132" s="785"/>
      <c r="AI132" s="785"/>
      <c r="AJ132" s="785"/>
      <c r="AK132" s="785"/>
      <c r="AL132" s="785"/>
      <c r="AM132" s="785"/>
      <c r="AN132" s="785"/>
      <c r="AO132" s="785"/>
      <c r="AP132" s="785"/>
      <c r="AQ132" s="785"/>
      <c r="AR132" s="785"/>
      <c r="AS132" s="785"/>
      <c r="AT132" s="785"/>
      <c r="AU132" s="785"/>
      <c r="AV132" s="785"/>
      <c r="AW132" s="785"/>
      <c r="AX132" s="785"/>
      <c r="AY132" s="785"/>
      <c r="AZ132" s="785"/>
      <c r="BA132" s="785"/>
      <c r="BB132" s="785"/>
      <c r="BC132" s="785"/>
      <c r="BD132" s="785"/>
      <c r="BE132" s="785"/>
      <c r="BF132" s="785"/>
      <c r="BG132" s="785"/>
      <c r="BH132" s="785"/>
      <c r="BI132" s="785"/>
      <c r="BJ132" s="785"/>
      <c r="BK132" s="785"/>
      <c r="BL132" s="785"/>
      <c r="BM132" s="785"/>
      <c r="BN132" s="785"/>
      <c r="BO132" s="785"/>
      <c r="BP132" s="785"/>
      <c r="BQ132" s="785"/>
      <c r="BR132" s="785"/>
      <c r="BS132" s="785"/>
      <c r="BT132" s="785"/>
    </row>
    <row r="133" spans="1:72">
      <c r="A133" s="785" t="s">
        <v>471</v>
      </c>
      <c r="B133" s="785">
        <v>241.67</v>
      </c>
      <c r="C133" s="785">
        <v>254.66</v>
      </c>
      <c r="D133" s="785">
        <v>231.65</v>
      </c>
      <c r="E133" s="785">
        <v>223.76</v>
      </c>
      <c r="F133" s="785">
        <v>222.61</v>
      </c>
      <c r="G133" s="785">
        <v>230.62</v>
      </c>
      <c r="H133" s="785">
        <v>228.9</v>
      </c>
      <c r="I133" s="785">
        <v>229.4</v>
      </c>
      <c r="J133" s="785">
        <v>230.89</v>
      </c>
      <c r="K133" s="785">
        <v>234.53</v>
      </c>
      <c r="L133" s="785">
        <v>236.76</v>
      </c>
      <c r="M133" s="785">
        <v>239.14</v>
      </c>
      <c r="N133" s="785">
        <v>241.36</v>
      </c>
      <c r="O133" s="785">
        <v>245.14</v>
      </c>
      <c r="P133" s="785">
        <v>247.96</v>
      </c>
      <c r="Q133" s="785">
        <v>251.14</v>
      </c>
      <c r="R133" s="785">
        <v>253.92</v>
      </c>
      <c r="S133" s="785">
        <v>256.67</v>
      </c>
      <c r="T133" s="785">
        <v>258.7</v>
      </c>
      <c r="U133" s="785">
        <v>262.54000000000002</v>
      </c>
      <c r="V133" s="785">
        <v>266.58999999999997</v>
      </c>
      <c r="W133" s="785">
        <v>271.26</v>
      </c>
      <c r="X133" s="785">
        <v>275.8</v>
      </c>
      <c r="Y133" s="785">
        <v>280.39999999999998</v>
      </c>
      <c r="Z133" s="785">
        <v>285.83</v>
      </c>
      <c r="AA133" s="785">
        <v>290.58999999999997</v>
      </c>
      <c r="AB133" s="785">
        <v>292.89999999999998</v>
      </c>
      <c r="AC133" s="785">
        <v>297.16000000000003</v>
      </c>
      <c r="AD133" s="785">
        <v>301.11</v>
      </c>
      <c r="AE133" s="819">
        <v>6.0000000000000001E-3</v>
      </c>
      <c r="AF133" s="785"/>
      <c r="AG133" s="785"/>
      <c r="AH133" s="785"/>
      <c r="AI133" s="785"/>
      <c r="AJ133" s="785"/>
      <c r="AK133" s="785"/>
      <c r="AL133" s="785"/>
      <c r="AM133" s="785"/>
      <c r="AN133" s="785"/>
      <c r="AO133" s="785"/>
      <c r="AP133" s="785"/>
      <c r="AQ133" s="785"/>
      <c r="AR133" s="785"/>
      <c r="AS133" s="785"/>
      <c r="AT133" s="785"/>
      <c r="AU133" s="785"/>
      <c r="AV133" s="785"/>
      <c r="AW133" s="785"/>
      <c r="AX133" s="785"/>
      <c r="AY133" s="785"/>
      <c r="AZ133" s="785"/>
      <c r="BA133" s="785"/>
      <c r="BB133" s="785"/>
      <c r="BC133" s="785"/>
      <c r="BD133" s="785"/>
      <c r="BE133" s="785"/>
      <c r="BF133" s="785"/>
      <c r="BG133" s="785"/>
      <c r="BH133" s="785"/>
      <c r="BI133" s="785"/>
      <c r="BJ133" s="785"/>
      <c r="BK133" s="785"/>
      <c r="BL133" s="785"/>
      <c r="BM133" s="785"/>
      <c r="BN133" s="785"/>
      <c r="BO133" s="785"/>
      <c r="BP133" s="785"/>
      <c r="BQ133" s="785"/>
      <c r="BR133" s="785"/>
      <c r="BS133" s="785"/>
      <c r="BT133" s="785"/>
    </row>
    <row r="134" spans="1:72">
      <c r="A134" s="785" t="s">
        <v>478</v>
      </c>
      <c r="B134" s="785">
        <v>176.61</v>
      </c>
      <c r="C134" s="785">
        <v>191.19</v>
      </c>
      <c r="D134" s="785">
        <v>168.7</v>
      </c>
      <c r="E134" s="785">
        <v>163.43</v>
      </c>
      <c r="F134" s="785">
        <v>163.69</v>
      </c>
      <c r="G134" s="785">
        <v>172.64</v>
      </c>
      <c r="H134" s="785">
        <v>173.85</v>
      </c>
      <c r="I134" s="785">
        <v>174.18</v>
      </c>
      <c r="J134" s="785">
        <v>176.9</v>
      </c>
      <c r="K134" s="785">
        <v>180.82</v>
      </c>
      <c r="L134" s="785">
        <v>184.11</v>
      </c>
      <c r="M134" s="785">
        <v>186.86</v>
      </c>
      <c r="N134" s="785">
        <v>189.36</v>
      </c>
      <c r="O134" s="785">
        <v>193.15</v>
      </c>
      <c r="P134" s="785">
        <v>196.83</v>
      </c>
      <c r="Q134" s="785">
        <v>200.4</v>
      </c>
      <c r="R134" s="785">
        <v>204.1</v>
      </c>
      <c r="S134" s="785">
        <v>207.27</v>
      </c>
      <c r="T134" s="785">
        <v>210.07</v>
      </c>
      <c r="U134" s="785">
        <v>214.23</v>
      </c>
      <c r="V134" s="785">
        <v>218.63</v>
      </c>
      <c r="W134" s="785">
        <v>223.34</v>
      </c>
      <c r="X134" s="785">
        <v>229.36</v>
      </c>
      <c r="Y134" s="785">
        <v>234.79</v>
      </c>
      <c r="Z134" s="785">
        <v>240.94</v>
      </c>
      <c r="AA134" s="785">
        <v>246.37</v>
      </c>
      <c r="AB134" s="785">
        <v>250.61</v>
      </c>
      <c r="AC134" s="785">
        <v>256.01</v>
      </c>
      <c r="AD134" s="785">
        <v>261.07</v>
      </c>
      <c r="AE134" s="819">
        <v>1.2E-2</v>
      </c>
      <c r="AF134" s="785"/>
      <c r="AG134" s="785"/>
      <c r="AH134" s="785"/>
      <c r="AI134" s="785"/>
      <c r="AJ134" s="785"/>
      <c r="AK134" s="785"/>
      <c r="AL134" s="785"/>
      <c r="AM134" s="785"/>
      <c r="AN134" s="785"/>
      <c r="AO134" s="785"/>
      <c r="AP134" s="785"/>
      <c r="AQ134" s="785"/>
      <c r="AR134" s="785"/>
      <c r="AS134" s="785"/>
      <c r="AT134" s="785"/>
      <c r="AU134" s="785"/>
      <c r="AV134" s="785"/>
      <c r="AW134" s="785"/>
      <c r="AX134" s="785"/>
      <c r="AY134" s="785"/>
      <c r="AZ134" s="785"/>
      <c r="BA134" s="785"/>
      <c r="BB134" s="785"/>
      <c r="BC134" s="785"/>
      <c r="BD134" s="785"/>
      <c r="BE134" s="785"/>
      <c r="BF134" s="785"/>
      <c r="BG134" s="785"/>
      <c r="BH134" s="785"/>
      <c r="BI134" s="785"/>
      <c r="BJ134" s="785"/>
      <c r="BK134" s="785"/>
      <c r="BL134" s="785"/>
      <c r="BM134" s="785"/>
      <c r="BN134" s="785"/>
      <c r="BO134" s="785"/>
      <c r="BP134" s="785"/>
      <c r="BQ134" s="785"/>
      <c r="BR134" s="785"/>
      <c r="BS134" s="785"/>
      <c r="BT134" s="785"/>
    </row>
    <row r="135" spans="1:72">
      <c r="A135" s="785" t="s">
        <v>513</v>
      </c>
      <c r="B135" s="785">
        <v>219.69</v>
      </c>
      <c r="C135" s="785">
        <v>244.81</v>
      </c>
      <c r="D135" s="785">
        <v>175.42</v>
      </c>
      <c r="E135" s="785">
        <v>163.24</v>
      </c>
      <c r="F135" s="785">
        <v>173.51</v>
      </c>
      <c r="G135" s="785">
        <v>191.66</v>
      </c>
      <c r="H135" s="785">
        <v>201.52</v>
      </c>
      <c r="I135" s="785">
        <v>207.49</v>
      </c>
      <c r="J135" s="785">
        <v>213.14</v>
      </c>
      <c r="K135" s="785">
        <v>218.86</v>
      </c>
      <c r="L135" s="785">
        <v>223.15</v>
      </c>
      <c r="M135" s="785">
        <v>228.05</v>
      </c>
      <c r="N135" s="785">
        <v>231.33</v>
      </c>
      <c r="O135" s="785">
        <v>234.86</v>
      </c>
      <c r="P135" s="785">
        <v>236.42</v>
      </c>
      <c r="Q135" s="785">
        <v>237.67</v>
      </c>
      <c r="R135" s="785">
        <v>239.07</v>
      </c>
      <c r="S135" s="785">
        <v>240.3</v>
      </c>
      <c r="T135" s="785">
        <v>241.75</v>
      </c>
      <c r="U135" s="785">
        <v>242.96</v>
      </c>
      <c r="V135" s="785">
        <v>245.17</v>
      </c>
      <c r="W135" s="785">
        <v>247.67</v>
      </c>
      <c r="X135" s="785">
        <v>250.95</v>
      </c>
      <c r="Y135" s="785">
        <v>253.51</v>
      </c>
      <c r="Z135" s="785">
        <v>257.7</v>
      </c>
      <c r="AA135" s="785">
        <v>259.55</v>
      </c>
      <c r="AB135" s="785">
        <v>261.58</v>
      </c>
      <c r="AC135" s="785">
        <v>265.05</v>
      </c>
      <c r="AD135" s="785">
        <v>267.18</v>
      </c>
      <c r="AE135" s="819">
        <v>3.0000000000000001E-3</v>
      </c>
      <c r="AF135" s="785"/>
      <c r="AG135" s="785"/>
      <c r="AH135" s="785"/>
      <c r="AI135" s="785"/>
      <c r="AJ135" s="785"/>
      <c r="AK135" s="785"/>
      <c r="AL135" s="785"/>
      <c r="AM135" s="785"/>
      <c r="AN135" s="785"/>
      <c r="AO135" s="785"/>
      <c r="AP135" s="785"/>
      <c r="AQ135" s="785"/>
      <c r="AR135" s="785"/>
      <c r="AS135" s="785"/>
      <c r="AT135" s="785"/>
      <c r="AU135" s="785"/>
      <c r="AV135" s="785"/>
      <c r="AW135" s="785"/>
      <c r="AX135" s="785"/>
      <c r="AY135" s="785"/>
      <c r="AZ135" s="785"/>
      <c r="BA135" s="785"/>
      <c r="BB135" s="785"/>
      <c r="BC135" s="785"/>
      <c r="BD135" s="785"/>
      <c r="BE135" s="785"/>
      <c r="BF135" s="785"/>
      <c r="BG135" s="785"/>
      <c r="BH135" s="785"/>
      <c r="BI135" s="785"/>
      <c r="BJ135" s="785"/>
      <c r="BK135" s="785"/>
      <c r="BL135" s="785"/>
      <c r="BM135" s="785"/>
      <c r="BN135" s="785"/>
      <c r="BO135" s="785"/>
      <c r="BP135" s="785"/>
      <c r="BQ135" s="785"/>
      <c r="BR135" s="785"/>
      <c r="BS135" s="785"/>
      <c r="BT135" s="785"/>
    </row>
    <row r="136" spans="1:72">
      <c r="A136" s="785" t="s">
        <v>485</v>
      </c>
      <c r="B136" s="785">
        <v>613.37</v>
      </c>
      <c r="C136" s="785">
        <v>705.86</v>
      </c>
      <c r="D136" s="785">
        <v>465.68</v>
      </c>
      <c r="E136" s="785">
        <v>508.22</v>
      </c>
      <c r="F136" s="785">
        <v>528.5</v>
      </c>
      <c r="G136" s="785">
        <v>567.33000000000004</v>
      </c>
      <c r="H136" s="785">
        <v>615.79</v>
      </c>
      <c r="I136" s="785">
        <v>640.91999999999996</v>
      </c>
      <c r="J136" s="785">
        <v>655.77</v>
      </c>
      <c r="K136" s="785">
        <v>671.91</v>
      </c>
      <c r="L136" s="785">
        <v>690.32</v>
      </c>
      <c r="M136" s="785">
        <v>704.34</v>
      </c>
      <c r="N136" s="785">
        <v>717.08</v>
      </c>
      <c r="O136" s="785">
        <v>729.77</v>
      </c>
      <c r="P136" s="785">
        <v>737.71</v>
      </c>
      <c r="Q136" s="785">
        <v>743.52</v>
      </c>
      <c r="R136" s="785">
        <v>757.24</v>
      </c>
      <c r="S136" s="785">
        <v>767.89</v>
      </c>
      <c r="T136" s="785">
        <v>782.71</v>
      </c>
      <c r="U136" s="785">
        <v>795.25</v>
      </c>
      <c r="V136" s="785">
        <v>808.06</v>
      </c>
      <c r="W136" s="785">
        <v>822.03</v>
      </c>
      <c r="X136" s="785">
        <v>834.45</v>
      </c>
      <c r="Y136" s="785">
        <v>846.64</v>
      </c>
      <c r="Z136" s="785">
        <v>856.24</v>
      </c>
      <c r="AA136" s="785">
        <v>869.12</v>
      </c>
      <c r="AB136" s="785">
        <v>883.55</v>
      </c>
      <c r="AC136" s="785">
        <v>894.05</v>
      </c>
      <c r="AD136" s="785">
        <v>908.01</v>
      </c>
      <c r="AE136" s="819">
        <v>8.9999999999999993E-3</v>
      </c>
      <c r="AF136" s="785"/>
      <c r="AG136" s="785"/>
      <c r="AH136" s="785"/>
      <c r="AI136" s="785"/>
      <c r="AJ136" s="785"/>
      <c r="AK136" s="785"/>
      <c r="AL136" s="785"/>
      <c r="AM136" s="785"/>
      <c r="AN136" s="785"/>
      <c r="AO136" s="785"/>
      <c r="AP136" s="785"/>
      <c r="AQ136" s="785"/>
      <c r="AR136" s="785"/>
      <c r="AS136" s="785"/>
      <c r="AT136" s="785"/>
      <c r="AU136" s="785"/>
      <c r="AV136" s="785"/>
      <c r="AW136" s="785"/>
      <c r="AX136" s="785"/>
      <c r="AY136" s="785"/>
      <c r="AZ136" s="785"/>
      <c r="BA136" s="785"/>
      <c r="BB136" s="785"/>
      <c r="BC136" s="785"/>
      <c r="BD136" s="785"/>
      <c r="BE136" s="785"/>
      <c r="BF136" s="785"/>
      <c r="BG136" s="785"/>
      <c r="BH136" s="785"/>
      <c r="BI136" s="785"/>
      <c r="BJ136" s="785"/>
      <c r="BK136" s="785"/>
      <c r="BL136" s="785"/>
      <c r="BM136" s="785"/>
      <c r="BN136" s="785"/>
      <c r="BO136" s="785"/>
      <c r="BP136" s="785"/>
      <c r="BQ136" s="785"/>
      <c r="BR136" s="785"/>
      <c r="BS136" s="785"/>
      <c r="BT136" s="785"/>
    </row>
    <row r="137" spans="1:72">
      <c r="A137" s="785" t="s">
        <v>514</v>
      </c>
      <c r="B137" s="785">
        <v>1251.3499999999999</v>
      </c>
      <c r="C137" s="785">
        <v>1396.52</v>
      </c>
      <c r="D137" s="785">
        <v>1041.45</v>
      </c>
      <c r="E137" s="785">
        <v>1058.6500000000001</v>
      </c>
      <c r="F137" s="785">
        <v>1088.31</v>
      </c>
      <c r="G137" s="785">
        <v>1162.25</v>
      </c>
      <c r="H137" s="785">
        <v>1220.05</v>
      </c>
      <c r="I137" s="785">
        <v>1251.99</v>
      </c>
      <c r="J137" s="785">
        <v>1276.69</v>
      </c>
      <c r="K137" s="785">
        <v>1306.1199999999999</v>
      </c>
      <c r="L137" s="785">
        <v>1334.33</v>
      </c>
      <c r="M137" s="785">
        <v>1358.39</v>
      </c>
      <c r="N137" s="785">
        <v>1379.14</v>
      </c>
      <c r="O137" s="785">
        <v>1402.91</v>
      </c>
      <c r="P137" s="785">
        <v>1418.92</v>
      </c>
      <c r="Q137" s="785">
        <v>1432.73</v>
      </c>
      <c r="R137" s="785">
        <v>1454.32</v>
      </c>
      <c r="S137" s="785">
        <v>1472.13</v>
      </c>
      <c r="T137" s="785">
        <v>1493.23</v>
      </c>
      <c r="U137" s="785">
        <v>1514.98</v>
      </c>
      <c r="V137" s="785">
        <v>1538.45</v>
      </c>
      <c r="W137" s="785">
        <v>1564.3</v>
      </c>
      <c r="X137" s="785">
        <v>1590.55</v>
      </c>
      <c r="Y137" s="785">
        <v>1615.34</v>
      </c>
      <c r="Z137" s="785">
        <v>1640.71</v>
      </c>
      <c r="AA137" s="785">
        <v>1665.62</v>
      </c>
      <c r="AB137" s="785">
        <v>1688.65</v>
      </c>
      <c r="AC137" s="785">
        <v>1712.28</v>
      </c>
      <c r="AD137" s="785">
        <v>1737.37</v>
      </c>
      <c r="AE137" s="819">
        <v>8.0000000000000002E-3</v>
      </c>
      <c r="AF137" s="785"/>
      <c r="AG137" s="785"/>
      <c r="AH137" s="785"/>
      <c r="AI137" s="785"/>
      <c r="AJ137" s="785"/>
      <c r="AK137" s="785"/>
      <c r="AL137" s="785"/>
      <c r="AM137" s="785"/>
      <c r="AN137" s="785"/>
      <c r="AO137" s="785"/>
      <c r="AP137" s="785"/>
      <c r="AQ137" s="785"/>
      <c r="AR137" s="785"/>
      <c r="AS137" s="785"/>
      <c r="AT137" s="785"/>
      <c r="AU137" s="785"/>
      <c r="AV137" s="785"/>
      <c r="AW137" s="785"/>
      <c r="AX137" s="785"/>
      <c r="AY137" s="785"/>
      <c r="AZ137" s="785"/>
      <c r="BA137" s="785"/>
      <c r="BB137" s="785"/>
      <c r="BC137" s="785"/>
      <c r="BD137" s="785"/>
      <c r="BE137" s="785"/>
      <c r="BF137" s="785"/>
      <c r="BG137" s="785"/>
      <c r="BH137" s="785"/>
      <c r="BI137" s="785"/>
      <c r="BJ137" s="785"/>
      <c r="BK137" s="785"/>
      <c r="BL137" s="785"/>
      <c r="BM137" s="785"/>
      <c r="BN137" s="785"/>
      <c r="BO137" s="785"/>
      <c r="BP137" s="785"/>
      <c r="BQ137" s="785"/>
      <c r="BR137" s="785"/>
      <c r="BS137" s="785"/>
      <c r="BT137" s="785"/>
    </row>
    <row r="138" spans="1:72">
      <c r="A138" s="785" t="s">
        <v>627</v>
      </c>
      <c r="B138" s="785">
        <v>0.05</v>
      </c>
      <c r="C138" s="785">
        <v>0.17</v>
      </c>
      <c r="D138" s="785">
        <v>0.04</v>
      </c>
      <c r="E138" s="785">
        <v>0.09</v>
      </c>
      <c r="F138" s="785">
        <v>0.11</v>
      </c>
      <c r="G138" s="785">
        <v>0.13</v>
      </c>
      <c r="H138" s="785">
        <v>0.15</v>
      </c>
      <c r="I138" s="785">
        <v>0.17</v>
      </c>
      <c r="J138" s="785">
        <v>0.21</v>
      </c>
      <c r="K138" s="785">
        <v>2.34</v>
      </c>
      <c r="L138" s="785">
        <v>3.15</v>
      </c>
      <c r="M138" s="785">
        <v>4</v>
      </c>
      <c r="N138" s="785">
        <v>5.31</v>
      </c>
      <c r="O138" s="785">
        <v>7.12</v>
      </c>
      <c r="P138" s="785">
        <v>9.59</v>
      </c>
      <c r="Q138" s="785">
        <v>17.39</v>
      </c>
      <c r="R138" s="785">
        <v>15.56</v>
      </c>
      <c r="S138" s="785">
        <v>14.53</v>
      </c>
      <c r="T138" s="785">
        <v>15.06</v>
      </c>
      <c r="U138" s="785">
        <v>16.98</v>
      </c>
      <c r="V138" s="785">
        <v>18.95</v>
      </c>
      <c r="W138" s="785">
        <v>20.57</v>
      </c>
      <c r="X138" s="785">
        <v>23.66</v>
      </c>
      <c r="Y138" s="785">
        <v>25.05</v>
      </c>
      <c r="Z138" s="785">
        <v>31.91</v>
      </c>
      <c r="AA138" s="785">
        <v>36.74</v>
      </c>
      <c r="AB138" s="785">
        <v>40.74</v>
      </c>
      <c r="AC138" s="785">
        <v>48.35</v>
      </c>
      <c r="AD138" s="785">
        <v>56.42</v>
      </c>
      <c r="AE138" s="819">
        <v>0.24099999999999999</v>
      </c>
      <c r="AF138" s="785"/>
      <c r="AG138" s="785"/>
      <c r="AH138" s="785"/>
      <c r="AI138" s="785"/>
      <c r="AJ138" s="785"/>
      <c r="AK138" s="785"/>
      <c r="AL138" s="785"/>
      <c r="AM138" s="785"/>
      <c r="AN138" s="785"/>
      <c r="AO138" s="785"/>
      <c r="AP138" s="785"/>
      <c r="AQ138" s="785"/>
      <c r="AR138" s="785"/>
      <c r="AS138" s="785"/>
      <c r="AT138" s="785"/>
      <c r="AU138" s="785"/>
      <c r="AV138" s="785"/>
      <c r="AW138" s="785"/>
      <c r="AX138" s="785"/>
      <c r="AY138" s="785"/>
      <c r="AZ138" s="785"/>
      <c r="BA138" s="785"/>
      <c r="BB138" s="785"/>
      <c r="BC138" s="785"/>
      <c r="BD138" s="785"/>
      <c r="BE138" s="785"/>
      <c r="BF138" s="785"/>
      <c r="BG138" s="785"/>
      <c r="BH138" s="785"/>
      <c r="BI138" s="785"/>
      <c r="BJ138" s="785"/>
      <c r="BK138" s="785"/>
      <c r="BL138" s="785"/>
      <c r="BM138" s="785"/>
      <c r="BN138" s="785"/>
      <c r="BO138" s="785"/>
      <c r="BP138" s="785"/>
      <c r="BQ138" s="785"/>
      <c r="BR138" s="785"/>
      <c r="BS138" s="785"/>
      <c r="BT138" s="785"/>
    </row>
    <row r="139" spans="1:72">
      <c r="A139" s="785" t="s">
        <v>516</v>
      </c>
      <c r="B139" s="785">
        <v>1251.3900000000001</v>
      </c>
      <c r="C139" s="785">
        <v>1396.69</v>
      </c>
      <c r="D139" s="785">
        <v>1041.49</v>
      </c>
      <c r="E139" s="785">
        <v>1058.74</v>
      </c>
      <c r="F139" s="785">
        <v>1088.42</v>
      </c>
      <c r="G139" s="785">
        <v>1162.3699999999999</v>
      </c>
      <c r="H139" s="785">
        <v>1220.2</v>
      </c>
      <c r="I139" s="785">
        <v>1252.1600000000001</v>
      </c>
      <c r="J139" s="785">
        <v>1276.9000000000001</v>
      </c>
      <c r="K139" s="785">
        <v>1308.46</v>
      </c>
      <c r="L139" s="785">
        <v>1337.48</v>
      </c>
      <c r="M139" s="785">
        <v>1362.4</v>
      </c>
      <c r="N139" s="785">
        <v>1384.44</v>
      </c>
      <c r="O139" s="785">
        <v>1410.03</v>
      </c>
      <c r="P139" s="785">
        <v>1428.51</v>
      </c>
      <c r="Q139" s="785">
        <v>1450.12</v>
      </c>
      <c r="R139" s="785">
        <v>1469.88</v>
      </c>
      <c r="S139" s="785">
        <v>1486.66</v>
      </c>
      <c r="T139" s="785">
        <v>1508.29</v>
      </c>
      <c r="U139" s="785">
        <v>1531.96</v>
      </c>
      <c r="V139" s="785">
        <v>1557.41</v>
      </c>
      <c r="W139" s="785">
        <v>1584.86</v>
      </c>
      <c r="X139" s="785">
        <v>1614.21</v>
      </c>
      <c r="Y139" s="785">
        <v>1640.39</v>
      </c>
      <c r="Z139" s="785">
        <v>1672.62</v>
      </c>
      <c r="AA139" s="785">
        <v>1702.37</v>
      </c>
      <c r="AB139" s="785">
        <v>1729.39</v>
      </c>
      <c r="AC139" s="785">
        <v>1760.62</v>
      </c>
      <c r="AD139" s="785">
        <v>1793.79</v>
      </c>
      <c r="AE139" s="819">
        <v>8.9999999999999993E-3</v>
      </c>
      <c r="AF139" s="785"/>
      <c r="AG139" s="785"/>
      <c r="AH139" s="785"/>
      <c r="AI139" s="785"/>
      <c r="AJ139" s="785"/>
      <c r="AK139" s="785"/>
      <c r="AL139" s="785"/>
      <c r="AM139" s="785"/>
      <c r="AN139" s="785"/>
      <c r="AO139" s="785"/>
      <c r="AP139" s="785"/>
      <c r="AQ139" s="785"/>
      <c r="AR139" s="785"/>
      <c r="AS139" s="785"/>
      <c r="AT139" s="785"/>
      <c r="AU139" s="785"/>
      <c r="AV139" s="785"/>
      <c r="AW139" s="785"/>
      <c r="AX139" s="785"/>
      <c r="AY139" s="785"/>
      <c r="AZ139" s="785"/>
      <c r="BA139" s="785"/>
      <c r="BB139" s="785"/>
      <c r="BC139" s="785"/>
      <c r="BD139" s="785"/>
      <c r="BE139" s="785"/>
      <c r="BF139" s="785"/>
      <c r="BG139" s="785"/>
      <c r="BH139" s="785"/>
      <c r="BI139" s="785"/>
      <c r="BJ139" s="785"/>
      <c r="BK139" s="785"/>
      <c r="BL139" s="785"/>
      <c r="BM139" s="785"/>
      <c r="BN139" s="785"/>
      <c r="BO139" s="785"/>
      <c r="BP139" s="785"/>
      <c r="BQ139" s="785"/>
      <c r="BR139" s="785"/>
      <c r="BS139" s="785"/>
      <c r="BT139" s="785"/>
    </row>
    <row r="140" spans="1:72">
      <c r="A140" s="785"/>
      <c r="B140" s="785"/>
      <c r="C140" s="785"/>
      <c r="D140" s="785"/>
      <c r="E140" s="785"/>
      <c r="F140" s="785"/>
      <c r="G140" s="785"/>
      <c r="H140" s="785"/>
      <c r="I140" s="785"/>
      <c r="J140" s="785"/>
      <c r="K140" s="785"/>
      <c r="L140" s="785"/>
      <c r="M140" s="785"/>
      <c r="N140" s="785"/>
      <c r="O140" s="785"/>
      <c r="P140" s="785"/>
      <c r="Q140" s="785"/>
      <c r="R140" s="785"/>
      <c r="S140" s="785"/>
      <c r="T140" s="785"/>
      <c r="U140" s="785"/>
      <c r="V140" s="785"/>
      <c r="W140" s="785"/>
      <c r="X140" s="785"/>
      <c r="Y140" s="785"/>
      <c r="Z140" s="785"/>
      <c r="AA140" s="785"/>
      <c r="AB140" s="785"/>
      <c r="AC140" s="785"/>
      <c r="AD140" s="785"/>
      <c r="AE140" s="785"/>
      <c r="AF140" s="785"/>
      <c r="AG140" s="785"/>
      <c r="AH140" s="785"/>
      <c r="AI140" s="785"/>
      <c r="AJ140" s="785"/>
      <c r="AK140" s="785"/>
      <c r="AL140" s="785"/>
      <c r="AM140" s="785"/>
      <c r="AN140" s="785"/>
      <c r="AO140" s="785"/>
      <c r="AP140" s="785"/>
      <c r="AQ140" s="785"/>
      <c r="AR140" s="785"/>
      <c r="AS140" s="785"/>
      <c r="AT140" s="785"/>
      <c r="AU140" s="785"/>
      <c r="AV140" s="785"/>
      <c r="AW140" s="785"/>
      <c r="AX140" s="785"/>
      <c r="AY140" s="785"/>
      <c r="AZ140" s="785"/>
      <c r="BA140" s="785"/>
      <c r="BB140" s="785"/>
      <c r="BC140" s="785"/>
      <c r="BD140" s="785"/>
      <c r="BE140" s="785"/>
      <c r="BF140" s="785"/>
      <c r="BG140" s="785"/>
      <c r="BH140" s="785"/>
      <c r="BI140" s="785"/>
      <c r="BJ140" s="785"/>
      <c r="BK140" s="785"/>
      <c r="BL140" s="785"/>
      <c r="BM140" s="785"/>
      <c r="BN140" s="785"/>
      <c r="BO140" s="785"/>
      <c r="BP140" s="785"/>
      <c r="BQ140" s="785"/>
      <c r="BR140" s="785"/>
      <c r="BS140" s="785"/>
      <c r="BT140" s="785"/>
    </row>
    <row r="141" spans="1:72">
      <c r="A141" s="785"/>
      <c r="B141" s="785"/>
      <c r="C141" s="785"/>
      <c r="D141" s="785"/>
      <c r="E141" s="785"/>
      <c r="F141" s="785"/>
      <c r="G141" s="785"/>
      <c r="H141" s="785"/>
      <c r="I141" s="785"/>
      <c r="J141" s="785"/>
      <c r="K141" s="785"/>
      <c r="L141" s="785"/>
      <c r="M141" s="785"/>
      <c r="N141" s="785"/>
      <c r="O141" s="785"/>
      <c r="P141" s="785"/>
      <c r="Q141" s="785"/>
      <c r="R141" s="785"/>
      <c r="S141" s="785"/>
      <c r="T141" s="785"/>
      <c r="U141" s="785"/>
      <c r="V141" s="785"/>
      <c r="W141" s="785"/>
      <c r="X141" s="785"/>
      <c r="Y141" s="785"/>
      <c r="Z141" s="785"/>
      <c r="AA141" s="785"/>
      <c r="AB141" s="785"/>
      <c r="AC141" s="785"/>
      <c r="AD141" s="785"/>
      <c r="AE141" s="785"/>
      <c r="AF141" s="785"/>
      <c r="AG141" s="785"/>
      <c r="AH141" s="785"/>
      <c r="AI141" s="785"/>
      <c r="AJ141" s="785"/>
      <c r="AK141" s="785"/>
      <c r="AL141" s="785"/>
      <c r="AM141" s="785"/>
      <c r="AN141" s="785"/>
      <c r="AO141" s="785"/>
      <c r="AP141" s="785"/>
      <c r="AQ141" s="785"/>
      <c r="AR141" s="785"/>
      <c r="AS141" s="785"/>
      <c r="AT141" s="785"/>
      <c r="AU141" s="785"/>
      <c r="AV141" s="785"/>
      <c r="AW141" s="785"/>
      <c r="AX141" s="785"/>
      <c r="AY141" s="785"/>
      <c r="AZ141" s="785"/>
      <c r="BA141" s="785"/>
      <c r="BB141" s="785"/>
      <c r="BC141" s="785"/>
      <c r="BD141" s="785"/>
      <c r="BE141" s="785"/>
      <c r="BF141" s="785"/>
      <c r="BG141" s="785"/>
      <c r="BH141" s="785"/>
      <c r="BI141" s="785"/>
      <c r="BJ141" s="785"/>
      <c r="BK141" s="785"/>
      <c r="BL141" s="785"/>
      <c r="BM141" s="785"/>
      <c r="BN141" s="785"/>
      <c r="BO141" s="785"/>
      <c r="BP141" s="785"/>
      <c r="BQ141" s="785"/>
      <c r="BR141" s="785"/>
      <c r="BS141" s="785"/>
      <c r="BT141" s="785"/>
    </row>
    <row r="142" spans="1:72">
      <c r="A142" s="785" t="s">
        <v>724</v>
      </c>
      <c r="B142" s="785"/>
      <c r="C142" s="785"/>
      <c r="D142" s="785"/>
      <c r="E142" s="785"/>
      <c r="F142" s="785"/>
      <c r="G142" s="785"/>
      <c r="H142" s="785"/>
      <c r="I142" s="785"/>
      <c r="J142" s="785"/>
      <c r="K142" s="785"/>
      <c r="L142" s="785"/>
      <c r="M142" s="785"/>
      <c r="N142" s="785"/>
      <c r="O142" s="785"/>
      <c r="P142" s="785"/>
      <c r="Q142" s="785"/>
      <c r="R142" s="785"/>
      <c r="S142" s="785"/>
      <c r="T142" s="785"/>
      <c r="U142" s="785"/>
      <c r="V142" s="785"/>
      <c r="W142" s="785"/>
      <c r="X142" s="785"/>
      <c r="Y142" s="785"/>
      <c r="Z142" s="785"/>
      <c r="AA142" s="785"/>
      <c r="AB142" s="785"/>
      <c r="AC142" s="785"/>
      <c r="AD142" s="785"/>
      <c r="AE142" s="785"/>
      <c r="AF142" s="785"/>
      <c r="AG142" s="785"/>
      <c r="AH142" s="785"/>
      <c r="AI142" s="785"/>
      <c r="AJ142" s="785"/>
      <c r="AK142" s="785"/>
      <c r="AL142" s="785"/>
      <c r="AM142" s="785"/>
      <c r="AN142" s="785"/>
      <c r="AO142" s="785"/>
      <c r="AP142" s="785"/>
      <c r="AQ142" s="785"/>
      <c r="AR142" s="785"/>
      <c r="AS142" s="785"/>
      <c r="AT142" s="785"/>
      <c r="AU142" s="785"/>
      <c r="AV142" s="785"/>
      <c r="AW142" s="785"/>
      <c r="AX142" s="785"/>
      <c r="AY142" s="785"/>
      <c r="AZ142" s="785"/>
      <c r="BA142" s="785"/>
      <c r="BB142" s="785"/>
      <c r="BC142" s="785"/>
      <c r="BD142" s="785"/>
      <c r="BE142" s="785"/>
      <c r="BF142" s="785"/>
      <c r="BG142" s="785"/>
      <c r="BH142" s="785"/>
      <c r="BI142" s="785"/>
      <c r="BJ142" s="785"/>
      <c r="BK142" s="785"/>
      <c r="BL142" s="785"/>
      <c r="BM142" s="785"/>
      <c r="BN142" s="785"/>
      <c r="BO142" s="785"/>
      <c r="BP142" s="785"/>
      <c r="BQ142" s="785"/>
      <c r="BR142" s="785"/>
      <c r="BS142" s="785"/>
      <c r="BT142" s="785"/>
    </row>
    <row r="143" spans="1:72">
      <c r="A143" s="785" t="s">
        <v>471</v>
      </c>
      <c r="B143" s="785"/>
      <c r="C143" s="785"/>
      <c r="D143" s="785"/>
      <c r="E143" s="785"/>
      <c r="F143" s="785"/>
      <c r="G143" s="785"/>
      <c r="H143" s="785"/>
      <c r="I143" s="785"/>
      <c r="J143" s="785"/>
      <c r="K143" s="785"/>
      <c r="L143" s="785"/>
      <c r="M143" s="785"/>
      <c r="N143" s="785"/>
      <c r="O143" s="785"/>
      <c r="P143" s="785"/>
      <c r="Q143" s="785"/>
      <c r="R143" s="785"/>
      <c r="S143" s="785"/>
      <c r="T143" s="785"/>
      <c r="U143" s="785"/>
      <c r="V143" s="785"/>
      <c r="W143" s="785"/>
      <c r="X143" s="785"/>
      <c r="Y143" s="785"/>
      <c r="Z143" s="785"/>
      <c r="AA143" s="785"/>
      <c r="AB143" s="785"/>
      <c r="AC143" s="785"/>
      <c r="AD143" s="785"/>
      <c r="AE143" s="785"/>
      <c r="AF143" s="785"/>
      <c r="AG143" s="785"/>
      <c r="AH143" s="785"/>
      <c r="AI143" s="785"/>
      <c r="AJ143" s="785"/>
      <c r="AK143" s="785"/>
      <c r="AL143" s="785"/>
      <c r="AM143" s="785"/>
      <c r="AN143" s="785"/>
      <c r="AO143" s="785"/>
      <c r="AP143" s="785"/>
      <c r="AQ143" s="785"/>
      <c r="AR143" s="785"/>
      <c r="AS143" s="785"/>
      <c r="AT143" s="785"/>
      <c r="AU143" s="785"/>
      <c r="AV143" s="785"/>
      <c r="AW143" s="785"/>
      <c r="AX143" s="785"/>
      <c r="AY143" s="785"/>
      <c r="AZ143" s="785"/>
      <c r="BA143" s="785"/>
      <c r="BB143" s="785"/>
      <c r="BC143" s="785"/>
      <c r="BD143" s="785"/>
      <c r="BE143" s="785"/>
      <c r="BF143" s="785"/>
      <c r="BG143" s="785"/>
      <c r="BH143" s="785"/>
      <c r="BI143" s="785"/>
      <c r="BJ143" s="785"/>
      <c r="BK143" s="785"/>
      <c r="BL143" s="785"/>
      <c r="BM143" s="785"/>
      <c r="BN143" s="785"/>
      <c r="BO143" s="785"/>
      <c r="BP143" s="785"/>
      <c r="BQ143" s="785"/>
      <c r="BR143" s="785"/>
      <c r="BS143" s="785"/>
      <c r="BT143" s="785"/>
    </row>
    <row r="144" spans="1:72">
      <c r="A144" s="785" t="s">
        <v>607</v>
      </c>
      <c r="B144" s="785">
        <v>25.67</v>
      </c>
      <c r="C144" s="785">
        <v>29.35</v>
      </c>
      <c r="D144" s="785">
        <v>25.28</v>
      </c>
      <c r="E144" s="785">
        <v>24.73</v>
      </c>
      <c r="F144" s="785">
        <v>25.15</v>
      </c>
      <c r="G144" s="785">
        <v>26.73</v>
      </c>
      <c r="H144" s="785">
        <v>28.51</v>
      </c>
      <c r="I144" s="785">
        <v>30.06</v>
      </c>
      <c r="J144" s="785">
        <v>31.23</v>
      </c>
      <c r="K144" s="785">
        <v>32.520000000000003</v>
      </c>
      <c r="L144" s="785">
        <v>33.75</v>
      </c>
      <c r="M144" s="785">
        <v>35.06</v>
      </c>
      <c r="N144" s="785">
        <v>36.020000000000003</v>
      </c>
      <c r="O144" s="785">
        <v>37.020000000000003</v>
      </c>
      <c r="P144" s="785">
        <v>38.1</v>
      </c>
      <c r="Q144" s="785">
        <v>39.200000000000003</v>
      </c>
      <c r="R144" s="785">
        <v>40.409999999999997</v>
      </c>
      <c r="S144" s="785">
        <v>41.61</v>
      </c>
      <c r="T144" s="785">
        <v>42.82</v>
      </c>
      <c r="U144" s="785">
        <v>43.92</v>
      </c>
      <c r="V144" s="785">
        <v>45.24</v>
      </c>
      <c r="W144" s="785">
        <v>46.58</v>
      </c>
      <c r="X144" s="785">
        <v>48.12</v>
      </c>
      <c r="Y144" s="785">
        <v>49.52</v>
      </c>
      <c r="Z144" s="785">
        <v>51.18</v>
      </c>
      <c r="AA144" s="785">
        <v>52.85</v>
      </c>
      <c r="AB144" s="785">
        <v>54.62</v>
      </c>
      <c r="AC144" s="785">
        <v>56.39</v>
      </c>
      <c r="AD144" s="785">
        <v>58.23</v>
      </c>
      <c r="AE144" s="819">
        <v>2.5999999999999999E-2</v>
      </c>
      <c r="AF144" s="785"/>
      <c r="AG144" s="785"/>
      <c r="AH144" s="785"/>
      <c r="AI144" s="785"/>
      <c r="AJ144" s="785"/>
      <c r="AK144" s="785"/>
      <c r="AL144" s="785"/>
      <c r="AM144" s="785"/>
      <c r="AN144" s="785"/>
      <c r="AO144" s="785"/>
      <c r="AP144" s="785"/>
      <c r="AQ144" s="785"/>
      <c r="AR144" s="785"/>
      <c r="AS144" s="785"/>
      <c r="AT144" s="785"/>
      <c r="AU144" s="785"/>
      <c r="AV144" s="785"/>
      <c r="AW144" s="785"/>
      <c r="AX144" s="785"/>
      <c r="AY144" s="785"/>
      <c r="AZ144" s="785"/>
      <c r="BA144" s="785"/>
      <c r="BB144" s="785"/>
      <c r="BC144" s="785"/>
      <c r="BD144" s="785"/>
      <c r="BE144" s="785"/>
      <c r="BF144" s="785"/>
      <c r="BG144" s="785"/>
      <c r="BH144" s="785"/>
      <c r="BI144" s="785"/>
      <c r="BJ144" s="785"/>
      <c r="BK144" s="785"/>
      <c r="BL144" s="785"/>
      <c r="BM144" s="785"/>
      <c r="BN144" s="785"/>
      <c r="BO144" s="785"/>
      <c r="BP144" s="785"/>
      <c r="BQ144" s="785"/>
      <c r="BR144" s="785"/>
      <c r="BS144" s="785"/>
      <c r="BT144" s="785"/>
    </row>
    <row r="145" spans="1:72">
      <c r="A145" s="785" t="s">
        <v>608</v>
      </c>
      <c r="B145" s="785">
        <v>19.86</v>
      </c>
      <c r="C145" s="785">
        <v>24.47</v>
      </c>
      <c r="D145" s="785">
        <v>18.260000000000002</v>
      </c>
      <c r="E145" s="785">
        <v>18.100000000000001</v>
      </c>
      <c r="F145" s="785">
        <v>18.489999999999998</v>
      </c>
      <c r="G145" s="785">
        <v>19.940000000000001</v>
      </c>
      <c r="H145" s="785">
        <v>21.4</v>
      </c>
      <c r="I145" s="785">
        <v>22.55</v>
      </c>
      <c r="J145" s="785">
        <v>23.49</v>
      </c>
      <c r="K145" s="785">
        <v>24.96</v>
      </c>
      <c r="L145" s="785">
        <v>26.17</v>
      </c>
      <c r="M145" s="785">
        <v>27.44</v>
      </c>
      <c r="N145" s="785">
        <v>28.46</v>
      </c>
      <c r="O145" s="785">
        <v>29.45</v>
      </c>
      <c r="P145" s="785">
        <v>30.25</v>
      </c>
      <c r="Q145" s="785">
        <v>31.17</v>
      </c>
      <c r="R145" s="785">
        <v>32.25</v>
      </c>
      <c r="S145" s="785">
        <v>33.17</v>
      </c>
      <c r="T145" s="785">
        <v>34.24</v>
      </c>
      <c r="U145" s="785">
        <v>35.33</v>
      </c>
      <c r="V145" s="785">
        <v>36.380000000000003</v>
      </c>
      <c r="W145" s="785">
        <v>37.630000000000003</v>
      </c>
      <c r="X145" s="785">
        <v>39.049999999999997</v>
      </c>
      <c r="Y145" s="785">
        <v>40.159999999999997</v>
      </c>
      <c r="Z145" s="785">
        <v>41.73</v>
      </c>
      <c r="AA145" s="785">
        <v>43.3</v>
      </c>
      <c r="AB145" s="785">
        <v>44.82</v>
      </c>
      <c r="AC145" s="785">
        <v>46.47</v>
      </c>
      <c r="AD145" s="785">
        <v>48.16</v>
      </c>
      <c r="AE145" s="819">
        <v>2.5000000000000001E-2</v>
      </c>
      <c r="AF145" s="785"/>
      <c r="AG145" s="785"/>
      <c r="AH145" s="785"/>
      <c r="AI145" s="785"/>
      <c r="AJ145" s="785"/>
      <c r="AK145" s="785"/>
      <c r="AL145" s="785"/>
      <c r="AM145" s="785"/>
      <c r="AN145" s="785"/>
      <c r="AO145" s="785"/>
      <c r="AP145" s="785"/>
      <c r="AQ145" s="785"/>
      <c r="AR145" s="785"/>
      <c r="AS145" s="785"/>
      <c r="AT145" s="785"/>
      <c r="AU145" s="785"/>
      <c r="AV145" s="785"/>
      <c r="AW145" s="785"/>
      <c r="AX145" s="785"/>
      <c r="AY145" s="785"/>
      <c r="AZ145" s="785"/>
      <c r="BA145" s="785"/>
      <c r="BB145" s="785"/>
      <c r="BC145" s="785"/>
      <c r="BD145" s="785"/>
      <c r="BE145" s="785"/>
      <c r="BF145" s="785"/>
      <c r="BG145" s="785"/>
      <c r="BH145" s="785"/>
      <c r="BI145" s="785"/>
      <c r="BJ145" s="785"/>
      <c r="BK145" s="785"/>
      <c r="BL145" s="785"/>
      <c r="BM145" s="785"/>
      <c r="BN145" s="785"/>
      <c r="BO145" s="785"/>
      <c r="BP145" s="785"/>
      <c r="BQ145" s="785"/>
      <c r="BR145" s="785"/>
      <c r="BS145" s="785"/>
      <c r="BT145" s="785"/>
    </row>
    <row r="146" spans="1:72">
      <c r="A146" s="785" t="s">
        <v>508</v>
      </c>
      <c r="B146" s="785">
        <v>12.66</v>
      </c>
      <c r="C146" s="785">
        <v>13.48</v>
      </c>
      <c r="D146" s="785">
        <v>11.57</v>
      </c>
      <c r="E146" s="785">
        <v>11.22</v>
      </c>
      <c r="F146" s="785">
        <v>12.29</v>
      </c>
      <c r="G146" s="785">
        <v>12.56</v>
      </c>
      <c r="H146" s="785">
        <v>12.36</v>
      </c>
      <c r="I146" s="785">
        <v>12.51</v>
      </c>
      <c r="J146" s="785">
        <v>12.88</v>
      </c>
      <c r="K146" s="785">
        <v>13.22</v>
      </c>
      <c r="L146" s="785">
        <v>13.5</v>
      </c>
      <c r="M146" s="785">
        <v>13.83</v>
      </c>
      <c r="N146" s="785">
        <v>14.18</v>
      </c>
      <c r="O146" s="785">
        <v>14.61</v>
      </c>
      <c r="P146" s="785">
        <v>15.06</v>
      </c>
      <c r="Q146" s="785">
        <v>15.64</v>
      </c>
      <c r="R146" s="785">
        <v>16.010000000000002</v>
      </c>
      <c r="S146" s="785">
        <v>16.22</v>
      </c>
      <c r="T146" s="785">
        <v>16.68</v>
      </c>
      <c r="U146" s="785">
        <v>17.260000000000002</v>
      </c>
      <c r="V146" s="785">
        <v>17.91</v>
      </c>
      <c r="W146" s="785">
        <v>18.649999999999999</v>
      </c>
      <c r="X146" s="785">
        <v>19.440000000000001</v>
      </c>
      <c r="Y146" s="785">
        <v>20.29</v>
      </c>
      <c r="Z146" s="785">
        <v>21.26</v>
      </c>
      <c r="AA146" s="785">
        <v>21.98</v>
      </c>
      <c r="AB146" s="785">
        <v>22.61</v>
      </c>
      <c r="AC146" s="785">
        <v>23.44</v>
      </c>
      <c r="AD146" s="785">
        <v>24.2</v>
      </c>
      <c r="AE146" s="819">
        <v>2.1999999999999999E-2</v>
      </c>
      <c r="AF146" s="785"/>
      <c r="AG146" s="785"/>
      <c r="AH146" s="785"/>
      <c r="AI146" s="785"/>
      <c r="AJ146" s="785"/>
      <c r="AK146" s="785"/>
      <c r="AL146" s="785"/>
      <c r="AM146" s="785"/>
      <c r="AN146" s="785"/>
      <c r="AO146" s="785"/>
      <c r="AP146" s="785"/>
      <c r="AQ146" s="785"/>
      <c r="AR146" s="785"/>
      <c r="AS146" s="785"/>
      <c r="AT146" s="785"/>
      <c r="AU146" s="785"/>
      <c r="AV146" s="785"/>
      <c r="AW146" s="785"/>
      <c r="AX146" s="785"/>
      <c r="AY146" s="785"/>
      <c r="AZ146" s="785"/>
      <c r="BA146" s="785"/>
      <c r="BB146" s="785"/>
      <c r="BC146" s="785"/>
      <c r="BD146" s="785"/>
      <c r="BE146" s="785"/>
      <c r="BF146" s="785"/>
      <c r="BG146" s="785"/>
      <c r="BH146" s="785"/>
      <c r="BI146" s="785"/>
      <c r="BJ146" s="785"/>
      <c r="BK146" s="785"/>
      <c r="BL146" s="785"/>
      <c r="BM146" s="785"/>
      <c r="BN146" s="785"/>
      <c r="BO146" s="785"/>
      <c r="BP146" s="785"/>
      <c r="BQ146" s="785"/>
      <c r="BR146" s="785"/>
      <c r="BS146" s="785"/>
      <c r="BT146" s="785"/>
    </row>
    <row r="147" spans="1:72">
      <c r="A147" s="785" t="s">
        <v>477</v>
      </c>
      <c r="B147" s="785">
        <v>31.12</v>
      </c>
      <c r="C147" s="785">
        <v>33.29</v>
      </c>
      <c r="D147" s="785">
        <v>32.83</v>
      </c>
      <c r="E147" s="785">
        <v>31.88</v>
      </c>
      <c r="F147" s="785">
        <v>31.21</v>
      </c>
      <c r="G147" s="785">
        <v>32.9</v>
      </c>
      <c r="H147" s="785">
        <v>33.9</v>
      </c>
      <c r="I147" s="785">
        <v>34.5</v>
      </c>
      <c r="J147" s="785">
        <v>35.020000000000003</v>
      </c>
      <c r="K147" s="785">
        <v>35.89</v>
      </c>
      <c r="L147" s="785">
        <v>36.74</v>
      </c>
      <c r="M147" s="785">
        <v>37.39</v>
      </c>
      <c r="N147" s="785">
        <v>37.97</v>
      </c>
      <c r="O147" s="785">
        <v>38.92</v>
      </c>
      <c r="P147" s="785">
        <v>39.950000000000003</v>
      </c>
      <c r="Q147" s="785">
        <v>40.92</v>
      </c>
      <c r="R147" s="785">
        <v>41.95</v>
      </c>
      <c r="S147" s="785">
        <v>42.94</v>
      </c>
      <c r="T147" s="785">
        <v>43.78</v>
      </c>
      <c r="U147" s="785">
        <v>44.88</v>
      </c>
      <c r="V147" s="785">
        <v>46.07</v>
      </c>
      <c r="W147" s="785">
        <v>47.3</v>
      </c>
      <c r="X147" s="785">
        <v>48.93</v>
      </c>
      <c r="Y147" s="785">
        <v>50.5</v>
      </c>
      <c r="Z147" s="785">
        <v>52.16</v>
      </c>
      <c r="AA147" s="785">
        <v>53.81</v>
      </c>
      <c r="AB147" s="785">
        <v>55.2</v>
      </c>
      <c r="AC147" s="785">
        <v>56.77</v>
      </c>
      <c r="AD147" s="785">
        <v>58.33</v>
      </c>
      <c r="AE147" s="819">
        <v>2.1000000000000001E-2</v>
      </c>
      <c r="AF147" s="785"/>
      <c r="AG147" s="785"/>
      <c r="AH147" s="785"/>
      <c r="AI147" s="785"/>
      <c r="AJ147" s="785"/>
      <c r="AK147" s="785"/>
      <c r="AL147" s="785"/>
      <c r="AM147" s="785"/>
      <c r="AN147" s="785"/>
      <c r="AO147" s="785"/>
      <c r="AP147" s="785"/>
      <c r="AQ147" s="785"/>
      <c r="AR147" s="785"/>
      <c r="AS147" s="785"/>
      <c r="AT147" s="785"/>
      <c r="AU147" s="785"/>
      <c r="AV147" s="785"/>
      <c r="AW147" s="785"/>
      <c r="AX147" s="785"/>
      <c r="AY147" s="785"/>
      <c r="AZ147" s="785"/>
      <c r="BA147" s="785"/>
      <c r="BB147" s="785"/>
      <c r="BC147" s="785"/>
      <c r="BD147" s="785"/>
      <c r="BE147" s="785"/>
      <c r="BF147" s="785"/>
      <c r="BG147" s="785"/>
      <c r="BH147" s="785"/>
      <c r="BI147" s="785"/>
      <c r="BJ147" s="785"/>
      <c r="BK147" s="785"/>
      <c r="BL147" s="785"/>
      <c r="BM147" s="785"/>
      <c r="BN147" s="785"/>
      <c r="BO147" s="785"/>
      <c r="BP147" s="785"/>
      <c r="BQ147" s="785"/>
      <c r="BR147" s="785"/>
      <c r="BS147" s="785"/>
      <c r="BT147" s="785"/>
    </row>
    <row r="148" spans="1:72">
      <c r="A148" s="785"/>
      <c r="B148" s="785"/>
      <c r="C148" s="785"/>
      <c r="D148" s="785"/>
      <c r="E148" s="785"/>
      <c r="F148" s="785"/>
      <c r="G148" s="785"/>
      <c r="H148" s="785"/>
      <c r="I148" s="785"/>
      <c r="J148" s="785"/>
      <c r="K148" s="785"/>
      <c r="L148" s="785"/>
      <c r="M148" s="785"/>
      <c r="N148" s="785"/>
      <c r="O148" s="785"/>
      <c r="P148" s="785"/>
      <c r="Q148" s="785"/>
      <c r="R148" s="785"/>
      <c r="S148" s="785"/>
      <c r="T148" s="785"/>
      <c r="U148" s="785"/>
      <c r="V148" s="785"/>
      <c r="W148" s="785"/>
      <c r="X148" s="785"/>
      <c r="Y148" s="785"/>
      <c r="Z148" s="785"/>
      <c r="AA148" s="785"/>
      <c r="AB148" s="785"/>
      <c r="AC148" s="785"/>
      <c r="AD148" s="785"/>
      <c r="AE148" s="785"/>
      <c r="AF148" s="785"/>
      <c r="AG148" s="785"/>
      <c r="AH148" s="785"/>
      <c r="AI148" s="785"/>
      <c r="AJ148" s="785"/>
      <c r="AK148" s="785"/>
      <c r="AL148" s="785"/>
      <c r="AM148" s="785"/>
      <c r="AN148" s="785"/>
      <c r="AO148" s="785"/>
      <c r="AP148" s="785"/>
      <c r="AQ148" s="785"/>
      <c r="AR148" s="785"/>
      <c r="AS148" s="785"/>
      <c r="AT148" s="785"/>
      <c r="AU148" s="785"/>
      <c r="AV148" s="785"/>
      <c r="AW148" s="785"/>
      <c r="AX148" s="785"/>
      <c r="AY148" s="785"/>
      <c r="AZ148" s="785"/>
      <c r="BA148" s="785"/>
      <c r="BB148" s="785"/>
      <c r="BC148" s="785"/>
      <c r="BD148" s="785"/>
      <c r="BE148" s="785"/>
      <c r="BF148" s="785"/>
      <c r="BG148" s="785"/>
      <c r="BH148" s="785"/>
      <c r="BI148" s="785"/>
      <c r="BJ148" s="785"/>
      <c r="BK148" s="785"/>
      <c r="BL148" s="785"/>
      <c r="BM148" s="785"/>
      <c r="BN148" s="785"/>
      <c r="BO148" s="785"/>
      <c r="BP148" s="785"/>
      <c r="BQ148" s="785"/>
      <c r="BR148" s="785"/>
      <c r="BS148" s="785"/>
      <c r="BT148" s="785"/>
    </row>
    <row r="149" spans="1:72">
      <c r="A149" s="785" t="s">
        <v>478</v>
      </c>
      <c r="B149" s="785"/>
      <c r="C149" s="785"/>
      <c r="D149" s="785"/>
      <c r="E149" s="785"/>
      <c r="F149" s="785"/>
      <c r="G149" s="785"/>
      <c r="H149" s="785"/>
      <c r="I149" s="785"/>
      <c r="J149" s="785"/>
      <c r="K149" s="785"/>
      <c r="L149" s="785"/>
      <c r="M149" s="785"/>
      <c r="N149" s="785"/>
      <c r="O149" s="785"/>
      <c r="P149" s="785"/>
      <c r="Q149" s="785"/>
      <c r="R149" s="785"/>
      <c r="S149" s="785"/>
      <c r="T149" s="785"/>
      <c r="U149" s="785"/>
      <c r="V149" s="785"/>
      <c r="W149" s="785"/>
      <c r="X149" s="785"/>
      <c r="Y149" s="785"/>
      <c r="Z149" s="785"/>
      <c r="AA149" s="785"/>
      <c r="AB149" s="785"/>
      <c r="AC149" s="785"/>
      <c r="AD149" s="785"/>
      <c r="AE149" s="785"/>
      <c r="AF149" s="785"/>
      <c r="AG149" s="785"/>
      <c r="AH149" s="785"/>
      <c r="AI149" s="785"/>
      <c r="AJ149" s="785"/>
      <c r="AK149" s="785"/>
      <c r="AL149" s="785"/>
      <c r="AM149" s="785"/>
      <c r="AN149" s="785"/>
      <c r="AO149" s="785"/>
      <c r="AP149" s="785"/>
      <c r="AQ149" s="785"/>
      <c r="AR149" s="785"/>
      <c r="AS149" s="785"/>
      <c r="AT149" s="785"/>
      <c r="AU149" s="785"/>
      <c r="AV149" s="785"/>
      <c r="AW149" s="785"/>
      <c r="AX149" s="785"/>
      <c r="AY149" s="785"/>
      <c r="AZ149" s="785"/>
      <c r="BA149" s="785"/>
      <c r="BB149" s="785"/>
      <c r="BC149" s="785"/>
      <c r="BD149" s="785"/>
      <c r="BE149" s="785"/>
      <c r="BF149" s="785"/>
      <c r="BG149" s="785"/>
      <c r="BH149" s="785"/>
      <c r="BI149" s="785"/>
      <c r="BJ149" s="785"/>
      <c r="BK149" s="785"/>
      <c r="BL149" s="785"/>
      <c r="BM149" s="785"/>
      <c r="BN149" s="785"/>
      <c r="BO149" s="785"/>
      <c r="BP149" s="785"/>
      <c r="BQ149" s="785"/>
      <c r="BR149" s="785"/>
      <c r="BS149" s="785"/>
      <c r="BT149" s="785"/>
    </row>
    <row r="150" spans="1:72">
      <c r="A150" s="785" t="s">
        <v>607</v>
      </c>
      <c r="B150" s="785">
        <v>20.2</v>
      </c>
      <c r="C150" s="785">
        <v>26.15</v>
      </c>
      <c r="D150" s="785">
        <v>20.12</v>
      </c>
      <c r="E150" s="785">
        <v>21.4</v>
      </c>
      <c r="F150" s="785">
        <v>21.77</v>
      </c>
      <c r="G150" s="785">
        <v>23.3</v>
      </c>
      <c r="H150" s="785">
        <v>25.02</v>
      </c>
      <c r="I150" s="785">
        <v>26.51</v>
      </c>
      <c r="J150" s="785">
        <v>27.61</v>
      </c>
      <c r="K150" s="785">
        <v>28.83</v>
      </c>
      <c r="L150" s="785">
        <v>29.98</v>
      </c>
      <c r="M150" s="785">
        <v>31.22</v>
      </c>
      <c r="N150" s="785">
        <v>32.11</v>
      </c>
      <c r="O150" s="785">
        <v>33.020000000000003</v>
      </c>
      <c r="P150" s="785">
        <v>34.01</v>
      </c>
      <c r="Q150" s="785">
        <v>35.020000000000003</v>
      </c>
      <c r="R150" s="785">
        <v>36.130000000000003</v>
      </c>
      <c r="S150" s="785">
        <v>37.24</v>
      </c>
      <c r="T150" s="785">
        <v>38.35</v>
      </c>
      <c r="U150" s="785">
        <v>39.36</v>
      </c>
      <c r="V150" s="785">
        <v>40.57</v>
      </c>
      <c r="W150" s="785">
        <v>41.81</v>
      </c>
      <c r="X150" s="785">
        <v>43.24</v>
      </c>
      <c r="Y150" s="785">
        <v>44.53</v>
      </c>
      <c r="Z150" s="785">
        <v>46.07</v>
      </c>
      <c r="AA150" s="785">
        <v>47.62</v>
      </c>
      <c r="AB150" s="785">
        <v>49.27</v>
      </c>
      <c r="AC150" s="785">
        <v>50.92</v>
      </c>
      <c r="AD150" s="785">
        <v>52.64</v>
      </c>
      <c r="AE150" s="819">
        <v>2.5999999999999999E-2</v>
      </c>
      <c r="AF150" s="785"/>
      <c r="AG150" s="785"/>
      <c r="AH150" s="785"/>
      <c r="AI150" s="785"/>
      <c r="AJ150" s="785"/>
      <c r="AK150" s="785"/>
      <c r="AL150" s="785"/>
      <c r="AM150" s="785"/>
      <c r="AN150" s="785"/>
      <c r="AO150" s="785"/>
      <c r="AP150" s="785"/>
      <c r="AQ150" s="785"/>
      <c r="AR150" s="785"/>
      <c r="AS150" s="785"/>
      <c r="AT150" s="785"/>
      <c r="AU150" s="785"/>
      <c r="AV150" s="785"/>
      <c r="AW150" s="785"/>
      <c r="AX150" s="785"/>
      <c r="AY150" s="785"/>
      <c r="AZ150" s="785"/>
      <c r="BA150" s="785"/>
      <c r="BB150" s="785"/>
      <c r="BC150" s="785"/>
      <c r="BD150" s="785"/>
      <c r="BE150" s="785"/>
      <c r="BF150" s="785"/>
      <c r="BG150" s="785"/>
      <c r="BH150" s="785"/>
      <c r="BI150" s="785"/>
      <c r="BJ150" s="785"/>
      <c r="BK150" s="785"/>
      <c r="BL150" s="785"/>
      <c r="BM150" s="785"/>
      <c r="BN150" s="785"/>
      <c r="BO150" s="785"/>
      <c r="BP150" s="785"/>
      <c r="BQ150" s="785"/>
      <c r="BR150" s="785"/>
      <c r="BS150" s="785"/>
      <c r="BT150" s="785"/>
    </row>
    <row r="151" spans="1:72">
      <c r="A151" s="785" t="s">
        <v>608</v>
      </c>
      <c r="B151" s="785">
        <v>17.100000000000001</v>
      </c>
      <c r="C151" s="785">
        <v>21.5</v>
      </c>
      <c r="D151" s="785">
        <v>16.04</v>
      </c>
      <c r="E151" s="785">
        <v>15.27</v>
      </c>
      <c r="F151" s="785">
        <v>15.91</v>
      </c>
      <c r="G151" s="785">
        <v>17.34</v>
      </c>
      <c r="H151" s="785">
        <v>18.739999999999998</v>
      </c>
      <c r="I151" s="785">
        <v>19.850000000000001</v>
      </c>
      <c r="J151" s="785">
        <v>20.86</v>
      </c>
      <c r="K151" s="785">
        <v>22.18</v>
      </c>
      <c r="L151" s="785">
        <v>23.33</v>
      </c>
      <c r="M151" s="785">
        <v>24.52</v>
      </c>
      <c r="N151" s="785">
        <v>25.47</v>
      </c>
      <c r="O151" s="785">
        <v>26.39</v>
      </c>
      <c r="P151" s="785">
        <v>27.18</v>
      </c>
      <c r="Q151" s="785">
        <v>28.11</v>
      </c>
      <c r="R151" s="785">
        <v>29.04</v>
      </c>
      <c r="S151" s="785">
        <v>29.83</v>
      </c>
      <c r="T151" s="785">
        <v>30.83</v>
      </c>
      <c r="U151" s="785">
        <v>31.82</v>
      </c>
      <c r="V151" s="785">
        <v>32.83</v>
      </c>
      <c r="W151" s="785">
        <v>34.01</v>
      </c>
      <c r="X151" s="785">
        <v>35.340000000000003</v>
      </c>
      <c r="Y151" s="785">
        <v>36.380000000000003</v>
      </c>
      <c r="Z151" s="785">
        <v>37.86</v>
      </c>
      <c r="AA151" s="785">
        <v>39.340000000000003</v>
      </c>
      <c r="AB151" s="785">
        <v>40.74</v>
      </c>
      <c r="AC151" s="785">
        <v>42.29</v>
      </c>
      <c r="AD151" s="785">
        <v>43.92</v>
      </c>
      <c r="AE151" s="819">
        <v>2.7E-2</v>
      </c>
      <c r="AF151" s="785"/>
      <c r="AG151" s="785"/>
      <c r="AH151" s="785"/>
      <c r="AI151" s="785"/>
      <c r="AJ151" s="785"/>
      <c r="AK151" s="785"/>
      <c r="AL151" s="785"/>
      <c r="AM151" s="785"/>
      <c r="AN151" s="785"/>
      <c r="AO151" s="785"/>
      <c r="AP151" s="785"/>
      <c r="AQ151" s="785"/>
      <c r="AR151" s="785"/>
      <c r="AS151" s="785"/>
      <c r="AT151" s="785"/>
      <c r="AU151" s="785"/>
      <c r="AV151" s="785"/>
      <c r="AW151" s="785"/>
      <c r="AX151" s="785"/>
      <c r="AY151" s="785"/>
      <c r="AZ151" s="785"/>
      <c r="BA151" s="785"/>
      <c r="BB151" s="785"/>
      <c r="BC151" s="785"/>
      <c r="BD151" s="785"/>
      <c r="BE151" s="785"/>
      <c r="BF151" s="785"/>
      <c r="BG151" s="785"/>
      <c r="BH151" s="785"/>
      <c r="BI151" s="785"/>
      <c r="BJ151" s="785"/>
      <c r="BK151" s="785"/>
      <c r="BL151" s="785"/>
      <c r="BM151" s="785"/>
      <c r="BN151" s="785"/>
      <c r="BO151" s="785"/>
      <c r="BP151" s="785"/>
      <c r="BQ151" s="785"/>
      <c r="BR151" s="785"/>
      <c r="BS151" s="785"/>
      <c r="BT151" s="785"/>
    </row>
    <row r="152" spans="1:72">
      <c r="A152" s="785" t="s">
        <v>721</v>
      </c>
      <c r="B152" s="785">
        <v>8.2100000000000009</v>
      </c>
      <c r="C152" s="785">
        <v>15.52</v>
      </c>
      <c r="D152" s="785">
        <v>9.41</v>
      </c>
      <c r="E152" s="785">
        <v>9.74</v>
      </c>
      <c r="F152" s="785">
        <v>10.050000000000001</v>
      </c>
      <c r="G152" s="785">
        <v>11.48</v>
      </c>
      <c r="H152" s="785">
        <v>12.9</v>
      </c>
      <c r="I152" s="785">
        <v>13.98</v>
      </c>
      <c r="J152" s="785">
        <v>14.63</v>
      </c>
      <c r="K152" s="785">
        <v>15.52</v>
      </c>
      <c r="L152" s="785">
        <v>16.37</v>
      </c>
      <c r="M152" s="785">
        <v>17.29</v>
      </c>
      <c r="N152" s="785">
        <v>18.29</v>
      </c>
      <c r="O152" s="785">
        <v>18.899999999999999</v>
      </c>
      <c r="P152" s="785">
        <v>19.57</v>
      </c>
      <c r="Q152" s="785">
        <v>20.27</v>
      </c>
      <c r="R152" s="785">
        <v>21.01</v>
      </c>
      <c r="S152" s="785">
        <v>21.73</v>
      </c>
      <c r="T152" s="785">
        <v>22.45</v>
      </c>
      <c r="U152" s="785">
        <v>23.04</v>
      </c>
      <c r="V152" s="785">
        <v>23.8</v>
      </c>
      <c r="W152" s="785">
        <v>24.66</v>
      </c>
      <c r="X152" s="785">
        <v>25.52</v>
      </c>
      <c r="Y152" s="785">
        <v>26.47</v>
      </c>
      <c r="Z152" s="785">
        <v>27.6</v>
      </c>
      <c r="AA152" s="785">
        <v>28.58</v>
      </c>
      <c r="AB152" s="785">
        <v>29.4</v>
      </c>
      <c r="AC152" s="785">
        <v>30.75</v>
      </c>
      <c r="AD152" s="785">
        <v>31.66</v>
      </c>
      <c r="AE152" s="819">
        <v>2.7E-2</v>
      </c>
      <c r="AF152" s="785"/>
      <c r="AG152" s="785"/>
      <c r="AH152" s="785"/>
      <c r="AI152" s="785"/>
      <c r="AJ152" s="785"/>
      <c r="AK152" s="785"/>
      <c r="AL152" s="785"/>
      <c r="AM152" s="785"/>
      <c r="AN152" s="785"/>
      <c r="AO152" s="785"/>
      <c r="AP152" s="785"/>
      <c r="AQ152" s="785"/>
      <c r="AR152" s="785"/>
      <c r="AS152" s="785"/>
      <c r="AT152" s="785"/>
      <c r="AU152" s="785"/>
      <c r="AV152" s="785"/>
      <c r="AW152" s="785"/>
      <c r="AX152" s="785"/>
      <c r="AY152" s="785"/>
      <c r="AZ152" s="785"/>
      <c r="BA152" s="785"/>
      <c r="BB152" s="785"/>
      <c r="BC152" s="785"/>
      <c r="BD152" s="785"/>
      <c r="BE152" s="785"/>
      <c r="BF152" s="785"/>
      <c r="BG152" s="785"/>
      <c r="BH152" s="785"/>
      <c r="BI152" s="785"/>
      <c r="BJ152" s="785"/>
      <c r="BK152" s="785"/>
      <c r="BL152" s="785"/>
      <c r="BM152" s="785"/>
      <c r="BN152" s="785"/>
      <c r="BO152" s="785"/>
      <c r="BP152" s="785"/>
      <c r="BQ152" s="785"/>
      <c r="BR152" s="785"/>
      <c r="BS152" s="785"/>
      <c r="BT152" s="785"/>
    </row>
    <row r="153" spans="1:72">
      <c r="A153" s="785" t="s">
        <v>508</v>
      </c>
      <c r="B153" s="785">
        <v>10.96</v>
      </c>
      <c r="C153" s="785">
        <v>11.94</v>
      </c>
      <c r="D153" s="785">
        <v>9.18</v>
      </c>
      <c r="E153" s="785">
        <v>8.93</v>
      </c>
      <c r="F153" s="785">
        <v>10.15</v>
      </c>
      <c r="G153" s="785">
        <v>10.65</v>
      </c>
      <c r="H153" s="785">
        <v>10.68</v>
      </c>
      <c r="I153" s="785">
        <v>10.8</v>
      </c>
      <c r="J153" s="785">
        <v>11.14</v>
      </c>
      <c r="K153" s="785">
        <v>11.44</v>
      </c>
      <c r="L153" s="785">
        <v>11.67</v>
      </c>
      <c r="M153" s="785">
        <v>11.96</v>
      </c>
      <c r="N153" s="785">
        <v>12.27</v>
      </c>
      <c r="O153" s="785">
        <v>12.65</v>
      </c>
      <c r="P153" s="785">
        <v>13.05</v>
      </c>
      <c r="Q153" s="785">
        <v>13.58</v>
      </c>
      <c r="R153" s="785">
        <v>13.92</v>
      </c>
      <c r="S153" s="785">
        <v>14.13</v>
      </c>
      <c r="T153" s="785">
        <v>14.53</v>
      </c>
      <c r="U153" s="785">
        <v>15.05</v>
      </c>
      <c r="V153" s="785">
        <v>15.62</v>
      </c>
      <c r="W153" s="785">
        <v>16.3</v>
      </c>
      <c r="X153" s="785">
        <v>17.010000000000002</v>
      </c>
      <c r="Y153" s="785">
        <v>17.78</v>
      </c>
      <c r="Z153" s="785">
        <v>18.690000000000001</v>
      </c>
      <c r="AA153" s="785">
        <v>19.329999999999998</v>
      </c>
      <c r="AB153" s="785">
        <v>19.86</v>
      </c>
      <c r="AC153" s="785">
        <v>20.61</v>
      </c>
      <c r="AD153" s="785">
        <v>21.27</v>
      </c>
      <c r="AE153" s="819">
        <v>2.1999999999999999E-2</v>
      </c>
      <c r="AF153" s="785"/>
      <c r="AG153" s="785"/>
      <c r="AH153" s="785"/>
      <c r="AI153" s="785"/>
      <c r="AJ153" s="785"/>
      <c r="AK153" s="785"/>
      <c r="AL153" s="785"/>
      <c r="AM153" s="785"/>
      <c r="AN153" s="785"/>
      <c r="AO153" s="785"/>
      <c r="AP153" s="785"/>
      <c r="AQ153" s="785"/>
      <c r="AR153" s="785"/>
      <c r="AS153" s="785"/>
      <c r="AT153" s="785"/>
      <c r="AU153" s="785"/>
      <c r="AV153" s="785"/>
      <c r="AW153" s="785"/>
      <c r="AX153" s="785"/>
      <c r="AY153" s="785"/>
      <c r="AZ153" s="785"/>
      <c r="BA153" s="785"/>
      <c r="BB153" s="785"/>
      <c r="BC153" s="785"/>
      <c r="BD153" s="785"/>
      <c r="BE153" s="785"/>
      <c r="BF153" s="785"/>
      <c r="BG153" s="785"/>
      <c r="BH153" s="785"/>
      <c r="BI153" s="785"/>
      <c r="BJ153" s="785"/>
      <c r="BK153" s="785"/>
      <c r="BL153" s="785"/>
      <c r="BM153" s="785"/>
      <c r="BN153" s="785"/>
      <c r="BO153" s="785"/>
      <c r="BP153" s="785"/>
      <c r="BQ153" s="785"/>
      <c r="BR153" s="785"/>
      <c r="BS153" s="785"/>
      <c r="BT153" s="785"/>
    </row>
    <row r="154" spans="1:72">
      <c r="A154" s="785" t="s">
        <v>477</v>
      </c>
      <c r="B154" s="785">
        <v>28.18</v>
      </c>
      <c r="C154" s="785">
        <v>30.47</v>
      </c>
      <c r="D154" s="785">
        <v>29.38</v>
      </c>
      <c r="E154" s="785">
        <v>28.19</v>
      </c>
      <c r="F154" s="785">
        <v>26.85</v>
      </c>
      <c r="G154" s="785">
        <v>28.28</v>
      </c>
      <c r="H154" s="785">
        <v>28.88</v>
      </c>
      <c r="I154" s="785">
        <v>29.09</v>
      </c>
      <c r="J154" s="785">
        <v>29.58</v>
      </c>
      <c r="K154" s="785">
        <v>30.41</v>
      </c>
      <c r="L154" s="785">
        <v>31.16</v>
      </c>
      <c r="M154" s="785">
        <v>31.75</v>
      </c>
      <c r="N154" s="785">
        <v>32.270000000000003</v>
      </c>
      <c r="O154" s="785">
        <v>33.15</v>
      </c>
      <c r="P154" s="785">
        <v>34.090000000000003</v>
      </c>
      <c r="Q154" s="785">
        <v>34.97</v>
      </c>
      <c r="R154" s="785">
        <v>35.99</v>
      </c>
      <c r="S154" s="785">
        <v>36.94</v>
      </c>
      <c r="T154" s="785">
        <v>37.619999999999997</v>
      </c>
      <c r="U154" s="785">
        <v>38.61</v>
      </c>
      <c r="V154" s="785">
        <v>39.68</v>
      </c>
      <c r="W154" s="785">
        <v>40.82</v>
      </c>
      <c r="X154" s="785">
        <v>42.33</v>
      </c>
      <c r="Y154" s="785">
        <v>43.75</v>
      </c>
      <c r="Z154" s="785">
        <v>45.32</v>
      </c>
      <c r="AA154" s="785">
        <v>46.89</v>
      </c>
      <c r="AB154" s="785">
        <v>48.18</v>
      </c>
      <c r="AC154" s="785">
        <v>49.63</v>
      </c>
      <c r="AD154" s="785">
        <v>51.04</v>
      </c>
      <c r="AE154" s="819">
        <v>1.9E-2</v>
      </c>
      <c r="AF154" s="785"/>
      <c r="AG154" s="785"/>
      <c r="AH154" s="785"/>
      <c r="AI154" s="785"/>
      <c r="AJ154" s="785"/>
      <c r="AK154" s="785"/>
      <c r="AL154" s="785"/>
      <c r="AM154" s="785"/>
      <c r="AN154" s="785"/>
      <c r="AO154" s="785"/>
      <c r="AP154" s="785"/>
      <c r="AQ154" s="785"/>
      <c r="AR154" s="785"/>
      <c r="AS154" s="785"/>
      <c r="AT154" s="785"/>
      <c r="AU154" s="785"/>
      <c r="AV154" s="785"/>
      <c r="AW154" s="785"/>
      <c r="AX154" s="785"/>
      <c r="AY154" s="785"/>
      <c r="AZ154" s="785"/>
      <c r="BA154" s="785"/>
      <c r="BB154" s="785"/>
      <c r="BC154" s="785"/>
      <c r="BD154" s="785"/>
      <c r="BE154" s="785"/>
      <c r="BF154" s="785"/>
      <c r="BG154" s="785"/>
      <c r="BH154" s="785"/>
      <c r="BI154" s="785"/>
      <c r="BJ154" s="785"/>
      <c r="BK154" s="785"/>
      <c r="BL154" s="785"/>
      <c r="BM154" s="785"/>
      <c r="BN154" s="785"/>
      <c r="BO154" s="785"/>
      <c r="BP154" s="785"/>
      <c r="BQ154" s="785"/>
      <c r="BR154" s="785"/>
      <c r="BS154" s="785"/>
      <c r="BT154" s="785"/>
    </row>
    <row r="155" spans="1:72">
      <c r="A155" s="785"/>
      <c r="B155" s="785"/>
      <c r="C155" s="785"/>
      <c r="D155" s="785"/>
      <c r="E155" s="785"/>
      <c r="F155" s="785"/>
      <c r="G155" s="785"/>
      <c r="H155" s="785"/>
      <c r="I155" s="785"/>
      <c r="J155" s="785"/>
      <c r="K155" s="785"/>
      <c r="L155" s="785"/>
      <c r="M155" s="785"/>
      <c r="N155" s="785"/>
      <c r="O155" s="785"/>
      <c r="P155" s="785"/>
      <c r="Q155" s="785"/>
      <c r="R155" s="785"/>
      <c r="S155" s="785"/>
      <c r="T155" s="785"/>
      <c r="U155" s="785"/>
      <c r="V155" s="785"/>
      <c r="W155" s="785"/>
      <c r="X155" s="785"/>
      <c r="Y155" s="785"/>
      <c r="Z155" s="785"/>
      <c r="AA155" s="785"/>
      <c r="AB155" s="785"/>
      <c r="AC155" s="785"/>
      <c r="AD155" s="785"/>
      <c r="AE155" s="785"/>
      <c r="AF155" s="785"/>
      <c r="AG155" s="785"/>
      <c r="AH155" s="785"/>
      <c r="AI155" s="785"/>
      <c r="AJ155" s="785"/>
      <c r="AK155" s="785"/>
      <c r="AL155" s="785"/>
      <c r="AM155" s="785"/>
      <c r="AN155" s="785"/>
      <c r="AO155" s="785"/>
      <c r="AP155" s="785"/>
      <c r="AQ155" s="785"/>
      <c r="AR155" s="785"/>
      <c r="AS155" s="785"/>
      <c r="AT155" s="785"/>
      <c r="AU155" s="785"/>
      <c r="AV155" s="785"/>
      <c r="AW155" s="785"/>
      <c r="AX155" s="785"/>
      <c r="AY155" s="785"/>
      <c r="AZ155" s="785"/>
      <c r="BA155" s="785"/>
      <c r="BB155" s="785"/>
      <c r="BC155" s="785"/>
      <c r="BD155" s="785"/>
      <c r="BE155" s="785"/>
      <c r="BF155" s="785"/>
      <c r="BG155" s="785"/>
      <c r="BH155" s="785"/>
      <c r="BI155" s="785"/>
      <c r="BJ155" s="785"/>
      <c r="BK155" s="785"/>
      <c r="BL155" s="785"/>
      <c r="BM155" s="785"/>
      <c r="BN155" s="785"/>
      <c r="BO155" s="785"/>
      <c r="BP155" s="785"/>
      <c r="BQ155" s="785"/>
      <c r="BR155" s="785"/>
      <c r="BS155" s="785"/>
      <c r="BT155" s="785"/>
    </row>
    <row r="156" spans="1:72">
      <c r="A156" s="785" t="s">
        <v>610</v>
      </c>
      <c r="B156" s="785"/>
      <c r="C156" s="785"/>
      <c r="D156" s="785"/>
      <c r="E156" s="785"/>
      <c r="F156" s="785"/>
      <c r="G156" s="785"/>
      <c r="H156" s="785"/>
      <c r="I156" s="785"/>
      <c r="J156" s="785"/>
      <c r="K156" s="785"/>
      <c r="L156" s="785"/>
      <c r="M156" s="785"/>
      <c r="N156" s="785"/>
      <c r="O156" s="785"/>
      <c r="P156" s="785"/>
      <c r="Q156" s="785"/>
      <c r="R156" s="785"/>
      <c r="S156" s="785"/>
      <c r="T156" s="785"/>
      <c r="U156" s="785"/>
      <c r="V156" s="785"/>
      <c r="W156" s="785"/>
      <c r="X156" s="785"/>
      <c r="Y156" s="785"/>
      <c r="Z156" s="785"/>
      <c r="AA156" s="785"/>
      <c r="AB156" s="785"/>
      <c r="AC156" s="785"/>
      <c r="AD156" s="785"/>
      <c r="AE156" s="785"/>
      <c r="AF156" s="785"/>
      <c r="AG156" s="785"/>
      <c r="AH156" s="785"/>
      <c r="AI156" s="785"/>
      <c r="AJ156" s="785"/>
      <c r="AK156" s="785"/>
      <c r="AL156" s="785"/>
      <c r="AM156" s="785"/>
      <c r="AN156" s="785"/>
      <c r="AO156" s="785"/>
      <c r="AP156" s="785"/>
      <c r="AQ156" s="785"/>
      <c r="AR156" s="785"/>
      <c r="AS156" s="785"/>
      <c r="AT156" s="785"/>
      <c r="AU156" s="785"/>
      <c r="AV156" s="785"/>
      <c r="AW156" s="785"/>
      <c r="AX156" s="785"/>
      <c r="AY156" s="785"/>
      <c r="AZ156" s="785"/>
      <c r="BA156" s="785"/>
      <c r="BB156" s="785"/>
      <c r="BC156" s="785"/>
      <c r="BD156" s="785"/>
      <c r="BE156" s="785"/>
      <c r="BF156" s="785"/>
      <c r="BG156" s="785"/>
      <c r="BH156" s="785"/>
      <c r="BI156" s="785"/>
      <c r="BJ156" s="785"/>
      <c r="BK156" s="785"/>
      <c r="BL156" s="785"/>
      <c r="BM156" s="785"/>
      <c r="BN156" s="785"/>
      <c r="BO156" s="785"/>
      <c r="BP156" s="785"/>
      <c r="BQ156" s="785"/>
      <c r="BR156" s="785"/>
      <c r="BS156" s="785"/>
      <c r="BT156" s="785"/>
    </row>
    <row r="157" spans="1:72">
      <c r="A157" s="785" t="s">
        <v>607</v>
      </c>
      <c r="B157" s="785">
        <v>21.53</v>
      </c>
      <c r="C157" s="785">
        <v>24.2</v>
      </c>
      <c r="D157" s="785">
        <v>18.920000000000002</v>
      </c>
      <c r="E157" s="785">
        <v>18.920000000000002</v>
      </c>
      <c r="F157" s="785">
        <v>19.260000000000002</v>
      </c>
      <c r="G157" s="785">
        <v>20.76</v>
      </c>
      <c r="H157" s="785">
        <v>22.51</v>
      </c>
      <c r="I157" s="785">
        <v>24</v>
      </c>
      <c r="J157" s="785">
        <v>25.06</v>
      </c>
      <c r="K157" s="785">
        <v>26.38</v>
      </c>
      <c r="L157" s="785">
        <v>27.45</v>
      </c>
      <c r="M157" s="785">
        <v>28.6</v>
      </c>
      <c r="N157" s="785">
        <v>29.51</v>
      </c>
      <c r="O157" s="785">
        <v>30.38</v>
      </c>
      <c r="P157" s="785">
        <v>31.31</v>
      </c>
      <c r="Q157" s="785">
        <v>32.270000000000003</v>
      </c>
      <c r="R157" s="785">
        <v>33.340000000000003</v>
      </c>
      <c r="S157" s="785">
        <v>34.39</v>
      </c>
      <c r="T157" s="785">
        <v>35.450000000000003</v>
      </c>
      <c r="U157" s="785">
        <v>36.4</v>
      </c>
      <c r="V157" s="785">
        <v>37.549999999999997</v>
      </c>
      <c r="W157" s="785">
        <v>38.729999999999997</v>
      </c>
      <c r="X157" s="785">
        <v>40.1</v>
      </c>
      <c r="Y157" s="785">
        <v>41.33</v>
      </c>
      <c r="Z157" s="785">
        <v>42.81</v>
      </c>
      <c r="AA157" s="785">
        <v>44.29</v>
      </c>
      <c r="AB157" s="785">
        <v>45.9</v>
      </c>
      <c r="AC157" s="785">
        <v>47.5</v>
      </c>
      <c r="AD157" s="785">
        <v>49.15</v>
      </c>
      <c r="AE157" s="819">
        <v>2.7E-2</v>
      </c>
      <c r="AF157" s="785"/>
      <c r="AG157" s="785"/>
      <c r="AH157" s="785"/>
      <c r="AI157" s="785"/>
      <c r="AJ157" s="785"/>
      <c r="AK157" s="785"/>
      <c r="AL157" s="785"/>
      <c r="AM157" s="785"/>
      <c r="AN157" s="785"/>
      <c r="AO157" s="785"/>
      <c r="AP157" s="785"/>
      <c r="AQ157" s="785"/>
      <c r="AR157" s="785"/>
      <c r="AS157" s="785"/>
      <c r="AT157" s="785"/>
      <c r="AU157" s="785"/>
      <c r="AV157" s="785"/>
      <c r="AW157" s="785"/>
      <c r="AX157" s="785"/>
      <c r="AY157" s="785"/>
      <c r="AZ157" s="785"/>
      <c r="BA157" s="785"/>
      <c r="BB157" s="785"/>
      <c r="BC157" s="785"/>
      <c r="BD157" s="785"/>
      <c r="BE157" s="785"/>
      <c r="BF157" s="785"/>
      <c r="BG157" s="785"/>
      <c r="BH157" s="785"/>
      <c r="BI157" s="785"/>
      <c r="BJ157" s="785"/>
      <c r="BK157" s="785"/>
      <c r="BL157" s="785"/>
      <c r="BM157" s="785"/>
      <c r="BN157" s="785"/>
      <c r="BO157" s="785"/>
      <c r="BP157" s="785"/>
      <c r="BQ157" s="785"/>
      <c r="BR157" s="785"/>
      <c r="BS157" s="785"/>
      <c r="BT157" s="785"/>
    </row>
    <row r="158" spans="1:72">
      <c r="A158" s="785" t="s">
        <v>608</v>
      </c>
      <c r="B158" s="785">
        <v>17.68</v>
      </c>
      <c r="C158" s="785">
        <v>22.31</v>
      </c>
      <c r="D158" s="785">
        <v>16.649999999999999</v>
      </c>
      <c r="E158" s="785">
        <v>14.82</v>
      </c>
      <c r="F158" s="785">
        <v>16.05</v>
      </c>
      <c r="G158" s="785">
        <v>17.52</v>
      </c>
      <c r="H158" s="785">
        <v>18.95</v>
      </c>
      <c r="I158" s="785">
        <v>20.07</v>
      </c>
      <c r="J158" s="785">
        <v>21.18</v>
      </c>
      <c r="K158" s="785">
        <v>22.46</v>
      </c>
      <c r="L158" s="785">
        <v>23.62</v>
      </c>
      <c r="M158" s="785">
        <v>24.81</v>
      </c>
      <c r="N158" s="785">
        <v>25.76</v>
      </c>
      <c r="O158" s="785">
        <v>26.68</v>
      </c>
      <c r="P158" s="785">
        <v>27.5</v>
      </c>
      <c r="Q158" s="785">
        <v>28.52</v>
      </c>
      <c r="R158" s="785">
        <v>29.39</v>
      </c>
      <c r="S158" s="785">
        <v>30.15</v>
      </c>
      <c r="T158" s="785">
        <v>31.18</v>
      </c>
      <c r="U158" s="785">
        <v>32.159999999999997</v>
      </c>
      <c r="V158" s="785">
        <v>33.21</v>
      </c>
      <c r="W158" s="785">
        <v>34.409999999999997</v>
      </c>
      <c r="X158" s="785">
        <v>35.770000000000003</v>
      </c>
      <c r="Y158" s="785">
        <v>36.83</v>
      </c>
      <c r="Z158" s="785">
        <v>38.33</v>
      </c>
      <c r="AA158" s="785">
        <v>39.83</v>
      </c>
      <c r="AB158" s="785">
        <v>41.25</v>
      </c>
      <c r="AC158" s="785">
        <v>42.82</v>
      </c>
      <c r="AD158" s="785">
        <v>44.51</v>
      </c>
      <c r="AE158" s="819">
        <v>2.5999999999999999E-2</v>
      </c>
      <c r="AF158" s="785"/>
      <c r="AG158" s="785"/>
      <c r="AH158" s="785"/>
      <c r="AI158" s="785"/>
      <c r="AJ158" s="785"/>
      <c r="AK158" s="785"/>
      <c r="AL158" s="785"/>
      <c r="AM158" s="785"/>
      <c r="AN158" s="785"/>
      <c r="AO158" s="785"/>
      <c r="AP158" s="785"/>
      <c r="AQ158" s="785"/>
      <c r="AR158" s="785"/>
      <c r="AS158" s="785"/>
      <c r="AT158" s="785"/>
      <c r="AU158" s="785"/>
      <c r="AV158" s="785"/>
      <c r="AW158" s="785"/>
      <c r="AX158" s="785"/>
      <c r="AY158" s="785"/>
      <c r="AZ158" s="785"/>
      <c r="BA158" s="785"/>
      <c r="BB158" s="785"/>
      <c r="BC158" s="785"/>
      <c r="BD158" s="785"/>
      <c r="BE158" s="785"/>
      <c r="BF158" s="785"/>
      <c r="BG158" s="785"/>
      <c r="BH158" s="785"/>
      <c r="BI158" s="785"/>
      <c r="BJ158" s="785"/>
      <c r="BK158" s="785"/>
      <c r="BL158" s="785"/>
      <c r="BM158" s="785"/>
      <c r="BN158" s="785"/>
      <c r="BO158" s="785"/>
      <c r="BP158" s="785"/>
      <c r="BQ158" s="785"/>
      <c r="BR158" s="785"/>
      <c r="BS158" s="785"/>
      <c r="BT158" s="785"/>
    </row>
    <row r="159" spans="1:72">
      <c r="A159" s="785" t="s">
        <v>609</v>
      </c>
      <c r="B159" s="785">
        <v>8.65</v>
      </c>
      <c r="C159" s="785">
        <v>16.309999999999999</v>
      </c>
      <c r="D159" s="785">
        <v>9.89</v>
      </c>
      <c r="E159" s="785">
        <v>13.52</v>
      </c>
      <c r="F159" s="785">
        <v>13.82</v>
      </c>
      <c r="G159" s="785">
        <v>15.16</v>
      </c>
      <c r="H159" s="785">
        <v>16.489999999999998</v>
      </c>
      <c r="I159" s="785">
        <v>17.62</v>
      </c>
      <c r="J159" s="785">
        <v>18.350000000000001</v>
      </c>
      <c r="K159" s="785">
        <v>19.239999999999998</v>
      </c>
      <c r="L159" s="785">
        <v>20.059999999999999</v>
      </c>
      <c r="M159" s="785">
        <v>20.97</v>
      </c>
      <c r="N159" s="785">
        <v>21.68</v>
      </c>
      <c r="O159" s="785">
        <v>22.24</v>
      </c>
      <c r="P159" s="785">
        <v>23</v>
      </c>
      <c r="Q159" s="785">
        <v>23.74</v>
      </c>
      <c r="R159" s="785">
        <v>24.52</v>
      </c>
      <c r="S159" s="785">
        <v>25.31</v>
      </c>
      <c r="T159" s="785">
        <v>26.1</v>
      </c>
      <c r="U159" s="785">
        <v>26.74</v>
      </c>
      <c r="V159" s="785">
        <v>27.57</v>
      </c>
      <c r="W159" s="785">
        <v>28.51</v>
      </c>
      <c r="X159" s="785">
        <v>29.51</v>
      </c>
      <c r="Y159" s="785">
        <v>30.6</v>
      </c>
      <c r="Z159" s="785">
        <v>31.8</v>
      </c>
      <c r="AA159" s="785">
        <v>32.92</v>
      </c>
      <c r="AB159" s="785">
        <v>34.03</v>
      </c>
      <c r="AC159" s="785">
        <v>35.29</v>
      </c>
      <c r="AD159" s="785">
        <v>36.5</v>
      </c>
      <c r="AE159" s="819">
        <v>0.03</v>
      </c>
      <c r="AF159" s="785"/>
      <c r="AG159" s="785"/>
      <c r="AH159" s="785"/>
      <c r="AI159" s="785"/>
      <c r="AJ159" s="785"/>
      <c r="AK159" s="785"/>
      <c r="AL159" s="785"/>
      <c r="AM159" s="785"/>
      <c r="AN159" s="785"/>
      <c r="AO159" s="785"/>
      <c r="AP159" s="785"/>
      <c r="AQ159" s="785"/>
      <c r="AR159" s="785"/>
      <c r="AS159" s="785"/>
      <c r="AT159" s="785"/>
      <c r="AU159" s="785"/>
      <c r="AV159" s="785"/>
      <c r="AW159" s="785"/>
      <c r="AX159" s="785"/>
      <c r="AY159" s="785"/>
      <c r="AZ159" s="785"/>
      <c r="BA159" s="785"/>
      <c r="BB159" s="785"/>
      <c r="BC159" s="785"/>
      <c r="BD159" s="785"/>
      <c r="BE159" s="785"/>
      <c r="BF159" s="785"/>
      <c r="BG159" s="785"/>
      <c r="BH159" s="785"/>
      <c r="BI159" s="785"/>
      <c r="BJ159" s="785"/>
      <c r="BK159" s="785"/>
      <c r="BL159" s="785"/>
      <c r="BM159" s="785"/>
      <c r="BN159" s="785"/>
      <c r="BO159" s="785"/>
      <c r="BP159" s="785"/>
      <c r="BQ159" s="785"/>
      <c r="BR159" s="785"/>
      <c r="BS159" s="785"/>
      <c r="BT159" s="785"/>
    </row>
    <row r="160" spans="1:72">
      <c r="A160" s="785" t="s">
        <v>611</v>
      </c>
      <c r="B160" s="785">
        <v>7.41</v>
      </c>
      <c r="C160" s="785">
        <v>9.11</v>
      </c>
      <c r="D160" s="785">
        <v>4.26</v>
      </c>
      <c r="E160" s="785">
        <v>5.0199999999999996</v>
      </c>
      <c r="F160" s="785">
        <v>6.23</v>
      </c>
      <c r="G160" s="785">
        <v>6.76</v>
      </c>
      <c r="H160" s="785">
        <v>6.82</v>
      </c>
      <c r="I160" s="785">
        <v>6.89</v>
      </c>
      <c r="J160" s="785">
        <v>7.18</v>
      </c>
      <c r="K160" s="785">
        <v>7.39</v>
      </c>
      <c r="L160" s="785">
        <v>7.52</v>
      </c>
      <c r="M160" s="785">
        <v>7.71</v>
      </c>
      <c r="N160" s="785">
        <v>7.91</v>
      </c>
      <c r="O160" s="785">
        <v>8.19</v>
      </c>
      <c r="P160" s="785">
        <v>8.4700000000000006</v>
      </c>
      <c r="Q160" s="785">
        <v>8.8800000000000008</v>
      </c>
      <c r="R160" s="785">
        <v>9.14</v>
      </c>
      <c r="S160" s="785">
        <v>9.26</v>
      </c>
      <c r="T160" s="785">
        <v>9.52</v>
      </c>
      <c r="U160" s="785">
        <v>9.9</v>
      </c>
      <c r="V160" s="785">
        <v>10.31</v>
      </c>
      <c r="W160" s="785">
        <v>10.85</v>
      </c>
      <c r="X160" s="785">
        <v>11.41</v>
      </c>
      <c r="Y160" s="785">
        <v>12.04</v>
      </c>
      <c r="Z160" s="785">
        <v>12.79</v>
      </c>
      <c r="AA160" s="785">
        <v>13.25</v>
      </c>
      <c r="AB160" s="785">
        <v>13.56</v>
      </c>
      <c r="AC160" s="785">
        <v>14.17</v>
      </c>
      <c r="AD160" s="785">
        <v>14.67</v>
      </c>
      <c r="AE160" s="819">
        <v>1.7999999999999999E-2</v>
      </c>
      <c r="AF160" s="785"/>
      <c r="AG160" s="785"/>
      <c r="AH160" s="785"/>
      <c r="AI160" s="785"/>
      <c r="AJ160" s="785"/>
      <c r="AK160" s="785"/>
      <c r="AL160" s="785"/>
      <c r="AM160" s="785"/>
      <c r="AN160" s="785"/>
      <c r="AO160" s="785"/>
      <c r="AP160" s="785"/>
      <c r="AQ160" s="785"/>
      <c r="AR160" s="785"/>
      <c r="AS160" s="785"/>
      <c r="AT160" s="785"/>
      <c r="AU160" s="785"/>
      <c r="AV160" s="785"/>
      <c r="AW160" s="785"/>
      <c r="AX160" s="785"/>
      <c r="AY160" s="785"/>
      <c r="AZ160" s="785"/>
      <c r="BA160" s="785"/>
      <c r="BB160" s="785"/>
      <c r="BC160" s="785"/>
      <c r="BD160" s="785"/>
      <c r="BE160" s="785"/>
      <c r="BF160" s="785"/>
      <c r="BG160" s="785"/>
      <c r="BH160" s="785"/>
      <c r="BI160" s="785"/>
      <c r="BJ160" s="785"/>
      <c r="BK160" s="785"/>
      <c r="BL160" s="785"/>
      <c r="BM160" s="785"/>
      <c r="BN160" s="785"/>
      <c r="BO160" s="785"/>
      <c r="BP160" s="785"/>
      <c r="BQ160" s="785"/>
      <c r="BR160" s="785"/>
      <c r="BS160" s="785"/>
      <c r="BT160" s="785"/>
    </row>
    <row r="161" spans="1:72">
      <c r="A161" s="785" t="s">
        <v>612</v>
      </c>
      <c r="B161" s="785">
        <v>3.61</v>
      </c>
      <c r="C161" s="785">
        <v>4.49</v>
      </c>
      <c r="D161" s="785">
        <v>4.79</v>
      </c>
      <c r="E161" s="785">
        <v>4.9400000000000004</v>
      </c>
      <c r="F161" s="785">
        <v>5.07</v>
      </c>
      <c r="G161" s="785">
        <v>5.31</v>
      </c>
      <c r="H161" s="785">
        <v>5.44</v>
      </c>
      <c r="I161" s="785">
        <v>5.56</v>
      </c>
      <c r="J161" s="785">
        <v>5.66</v>
      </c>
      <c r="K161" s="785">
        <v>5.77</v>
      </c>
      <c r="L161" s="785">
        <v>5.97</v>
      </c>
      <c r="M161" s="785">
        <v>6.14</v>
      </c>
      <c r="N161" s="785">
        <v>6.34</v>
      </c>
      <c r="O161" s="785">
        <v>6.5</v>
      </c>
      <c r="P161" s="785">
        <v>6.68</v>
      </c>
      <c r="Q161" s="785">
        <v>6.84</v>
      </c>
      <c r="R161" s="785">
        <v>6.98</v>
      </c>
      <c r="S161" s="785">
        <v>7.07</v>
      </c>
      <c r="T161" s="785">
        <v>7.11</v>
      </c>
      <c r="U161" s="785">
        <v>7.15</v>
      </c>
      <c r="V161" s="785">
        <v>7.27</v>
      </c>
      <c r="W161" s="785">
        <v>7.43</v>
      </c>
      <c r="X161" s="785">
        <v>7.55</v>
      </c>
      <c r="Y161" s="785">
        <v>7.72</v>
      </c>
      <c r="Z161" s="785">
        <v>7.86</v>
      </c>
      <c r="AA161" s="785">
        <v>8.02</v>
      </c>
      <c r="AB161" s="785">
        <v>8.18</v>
      </c>
      <c r="AC161" s="785">
        <v>8.33</v>
      </c>
      <c r="AD161" s="785">
        <v>8.5</v>
      </c>
      <c r="AE161" s="819">
        <v>2.4E-2</v>
      </c>
      <c r="AF161" s="785"/>
      <c r="AG161" s="785"/>
      <c r="AH161" s="785"/>
      <c r="AI161" s="785"/>
      <c r="AJ161" s="785"/>
      <c r="AK161" s="785"/>
      <c r="AL161" s="785"/>
      <c r="AM161" s="785"/>
      <c r="AN161" s="785"/>
      <c r="AO161" s="785"/>
      <c r="AP161" s="785"/>
      <c r="AQ161" s="785"/>
      <c r="AR161" s="785"/>
      <c r="AS161" s="785"/>
      <c r="AT161" s="785"/>
      <c r="AU161" s="785"/>
      <c r="AV161" s="785"/>
      <c r="AW161" s="785"/>
      <c r="AX161" s="785"/>
      <c r="AY161" s="785"/>
      <c r="AZ161" s="785"/>
      <c r="BA161" s="785"/>
      <c r="BB161" s="785"/>
      <c r="BC161" s="785"/>
      <c r="BD161" s="785"/>
      <c r="BE161" s="785"/>
      <c r="BF161" s="785"/>
      <c r="BG161" s="785"/>
      <c r="BH161" s="785"/>
      <c r="BI161" s="785"/>
      <c r="BJ161" s="785"/>
      <c r="BK161" s="785"/>
      <c r="BL161" s="785"/>
      <c r="BM161" s="785"/>
      <c r="BN161" s="785"/>
      <c r="BO161" s="785"/>
      <c r="BP161" s="785"/>
      <c r="BQ161" s="785"/>
      <c r="BR161" s="785"/>
      <c r="BS161" s="785"/>
      <c r="BT161" s="785"/>
    </row>
    <row r="162" spans="1:72">
      <c r="A162" s="785" t="s">
        <v>613</v>
      </c>
      <c r="B162" s="785">
        <v>2.4300000000000002</v>
      </c>
      <c r="C162" s="785">
        <v>2.84</v>
      </c>
      <c r="D162" s="785">
        <v>2.83</v>
      </c>
      <c r="E162" s="785">
        <v>2.77</v>
      </c>
      <c r="F162" s="785">
        <v>2.81</v>
      </c>
      <c r="G162" s="785">
        <v>2.85</v>
      </c>
      <c r="H162" s="785">
        <v>2.86</v>
      </c>
      <c r="I162" s="785">
        <v>2.93</v>
      </c>
      <c r="J162" s="785">
        <v>3</v>
      </c>
      <c r="K162" s="785">
        <v>3.04</v>
      </c>
      <c r="L162" s="785">
        <v>3.11</v>
      </c>
      <c r="M162" s="785">
        <v>3.16</v>
      </c>
      <c r="N162" s="785">
        <v>3.2</v>
      </c>
      <c r="O162" s="785">
        <v>3.26</v>
      </c>
      <c r="P162" s="785">
        <v>3.31</v>
      </c>
      <c r="Q162" s="785">
        <v>3.38</v>
      </c>
      <c r="R162" s="785">
        <v>3.43</v>
      </c>
      <c r="S162" s="785">
        <v>3.5</v>
      </c>
      <c r="T162" s="785">
        <v>3.56</v>
      </c>
      <c r="U162" s="785">
        <v>3.65</v>
      </c>
      <c r="V162" s="785">
        <v>3.72</v>
      </c>
      <c r="W162" s="785">
        <v>3.82</v>
      </c>
      <c r="X162" s="785">
        <v>3.91</v>
      </c>
      <c r="Y162" s="785">
        <v>4.01</v>
      </c>
      <c r="Z162" s="785">
        <v>4.12</v>
      </c>
      <c r="AA162" s="785">
        <v>4.21</v>
      </c>
      <c r="AB162" s="785">
        <v>4.33</v>
      </c>
      <c r="AC162" s="785">
        <v>4.4400000000000004</v>
      </c>
      <c r="AD162" s="785">
        <v>4.55</v>
      </c>
      <c r="AE162" s="819">
        <v>1.7999999999999999E-2</v>
      </c>
      <c r="AF162" s="785"/>
      <c r="AG162" s="785"/>
      <c r="AH162" s="785"/>
      <c r="AI162" s="785"/>
      <c r="AJ162" s="785"/>
      <c r="AK162" s="785"/>
      <c r="AL162" s="785"/>
      <c r="AM162" s="785"/>
      <c r="AN162" s="785"/>
      <c r="AO162" s="785"/>
      <c r="AP162" s="785"/>
      <c r="AQ162" s="785"/>
      <c r="AR162" s="785"/>
      <c r="AS162" s="785"/>
      <c r="AT162" s="785"/>
      <c r="AU162" s="785"/>
      <c r="AV162" s="785"/>
      <c r="AW162" s="785"/>
      <c r="AX162" s="785"/>
      <c r="AY162" s="785"/>
      <c r="AZ162" s="785"/>
      <c r="BA162" s="785"/>
      <c r="BB162" s="785"/>
      <c r="BC162" s="785"/>
      <c r="BD162" s="785"/>
      <c r="BE162" s="785"/>
      <c r="BF162" s="785"/>
      <c r="BG162" s="785"/>
      <c r="BH162" s="785"/>
      <c r="BI162" s="785"/>
      <c r="BJ162" s="785"/>
      <c r="BK162" s="785"/>
      <c r="BL162" s="785"/>
      <c r="BM162" s="785"/>
      <c r="BN162" s="785"/>
      <c r="BO162" s="785"/>
      <c r="BP162" s="785"/>
      <c r="BQ162" s="785"/>
      <c r="BR162" s="785"/>
      <c r="BS162" s="785"/>
      <c r="BT162" s="785"/>
    </row>
    <row r="163" spans="1:72">
      <c r="A163" s="785" t="s">
        <v>614</v>
      </c>
      <c r="B163" s="785" t="s">
        <v>786</v>
      </c>
      <c r="C163" s="785" t="s">
        <v>786</v>
      </c>
      <c r="D163" s="785" t="s">
        <v>786</v>
      </c>
      <c r="E163" s="785" t="s">
        <v>786</v>
      </c>
      <c r="F163" s="785">
        <v>1.32</v>
      </c>
      <c r="G163" s="785">
        <v>1.1000000000000001</v>
      </c>
      <c r="H163" s="785">
        <v>1.1200000000000001</v>
      </c>
      <c r="I163" s="785">
        <v>1.55</v>
      </c>
      <c r="J163" s="785">
        <v>1.58</v>
      </c>
      <c r="K163" s="785">
        <v>1.65</v>
      </c>
      <c r="L163" s="785">
        <v>1.72</v>
      </c>
      <c r="M163" s="785">
        <v>1.74</v>
      </c>
      <c r="N163" s="785">
        <v>1.76</v>
      </c>
      <c r="O163" s="785">
        <v>1.79</v>
      </c>
      <c r="P163" s="785">
        <v>1.86</v>
      </c>
      <c r="Q163" s="785">
        <v>1.91</v>
      </c>
      <c r="R163" s="785">
        <v>1.98</v>
      </c>
      <c r="S163" s="785">
        <v>1.99</v>
      </c>
      <c r="T163" s="785">
        <v>2.02</v>
      </c>
      <c r="U163" s="785">
        <v>2.04</v>
      </c>
      <c r="V163" s="785">
        <v>2.0699999999999998</v>
      </c>
      <c r="W163" s="785">
        <v>2.1</v>
      </c>
      <c r="X163" s="785">
        <v>2.13</v>
      </c>
      <c r="Y163" s="785">
        <v>2.1800000000000002</v>
      </c>
      <c r="Z163" s="785">
        <v>2.2200000000000002</v>
      </c>
      <c r="AA163" s="785">
        <v>2.2799999999999998</v>
      </c>
      <c r="AB163" s="785">
        <v>2.35</v>
      </c>
      <c r="AC163" s="785">
        <v>2.44</v>
      </c>
      <c r="AD163" s="785">
        <v>2.5299999999999998</v>
      </c>
      <c r="AE163" s="785" t="s">
        <v>786</v>
      </c>
      <c r="AF163" s="785"/>
      <c r="AG163" s="785"/>
      <c r="AH163" s="785"/>
      <c r="AI163" s="785"/>
      <c r="AJ163" s="785"/>
      <c r="AK163" s="785"/>
      <c r="AL163" s="785"/>
      <c r="AM163" s="785"/>
      <c r="AN163" s="785"/>
      <c r="AO163" s="785"/>
      <c r="AP163" s="785"/>
      <c r="AQ163" s="785"/>
      <c r="AR163" s="785"/>
      <c r="AS163" s="785"/>
      <c r="AT163" s="785"/>
      <c r="AU163" s="785"/>
      <c r="AV163" s="785"/>
      <c r="AW163" s="785"/>
      <c r="AX163" s="785"/>
      <c r="AY163" s="785"/>
      <c r="AZ163" s="785"/>
      <c r="BA163" s="785"/>
      <c r="BB163" s="785"/>
      <c r="BC163" s="785"/>
      <c r="BD163" s="785"/>
      <c r="BE163" s="785"/>
      <c r="BF163" s="785"/>
      <c r="BG163" s="785"/>
      <c r="BH163" s="785"/>
      <c r="BI163" s="785"/>
      <c r="BJ163" s="785"/>
      <c r="BK163" s="785"/>
      <c r="BL163" s="785"/>
      <c r="BM163" s="785"/>
      <c r="BN163" s="785"/>
      <c r="BO163" s="785"/>
      <c r="BP163" s="785"/>
      <c r="BQ163" s="785"/>
      <c r="BR163" s="785"/>
      <c r="BS163" s="785"/>
      <c r="BT163" s="785"/>
    </row>
    <row r="164" spans="1:72">
      <c r="A164" s="785" t="s">
        <v>477</v>
      </c>
      <c r="B164" s="785">
        <v>18.600000000000001</v>
      </c>
      <c r="C164" s="785">
        <v>20.21</v>
      </c>
      <c r="D164" s="785">
        <v>20.350000000000001</v>
      </c>
      <c r="E164" s="785">
        <v>19.73</v>
      </c>
      <c r="F164" s="785">
        <v>17.86</v>
      </c>
      <c r="G164" s="785">
        <v>18.77</v>
      </c>
      <c r="H164" s="785">
        <v>18.98</v>
      </c>
      <c r="I164" s="785">
        <v>19.010000000000002</v>
      </c>
      <c r="J164" s="785">
        <v>19.36</v>
      </c>
      <c r="K164" s="785">
        <v>19.989999999999998</v>
      </c>
      <c r="L164" s="785">
        <v>20.51</v>
      </c>
      <c r="M164" s="785">
        <v>20.91</v>
      </c>
      <c r="N164" s="785">
        <v>21.27</v>
      </c>
      <c r="O164" s="785">
        <v>21.9</v>
      </c>
      <c r="P164" s="785">
        <v>22.56</v>
      </c>
      <c r="Q164" s="785">
        <v>23.2</v>
      </c>
      <c r="R164" s="785">
        <v>23.95</v>
      </c>
      <c r="S164" s="785">
        <v>24.64</v>
      </c>
      <c r="T164" s="785">
        <v>25.11</v>
      </c>
      <c r="U164" s="785">
        <v>25.79</v>
      </c>
      <c r="V164" s="785">
        <v>26.57</v>
      </c>
      <c r="W164" s="785">
        <v>27.41</v>
      </c>
      <c r="X164" s="785">
        <v>28.5</v>
      </c>
      <c r="Y164" s="785">
        <v>29.55</v>
      </c>
      <c r="Z164" s="785">
        <v>30.67</v>
      </c>
      <c r="AA164" s="785">
        <v>31.8</v>
      </c>
      <c r="AB164" s="785">
        <v>32.71</v>
      </c>
      <c r="AC164" s="785">
        <v>33.76</v>
      </c>
      <c r="AD164" s="785">
        <v>34.799999999999997</v>
      </c>
      <c r="AE164" s="819">
        <v>0.02</v>
      </c>
      <c r="AF164" s="785"/>
      <c r="AG164" s="785"/>
      <c r="AH164" s="785"/>
      <c r="AI164" s="785"/>
      <c r="AJ164" s="785"/>
      <c r="AK164" s="785"/>
      <c r="AL164" s="785"/>
      <c r="AM164" s="785"/>
      <c r="AN164" s="785"/>
      <c r="AO164" s="785"/>
      <c r="AP164" s="785"/>
      <c r="AQ164" s="785"/>
      <c r="AR164" s="785"/>
      <c r="AS164" s="785"/>
      <c r="AT164" s="785"/>
      <c r="AU164" s="785"/>
      <c r="AV164" s="785"/>
      <c r="AW164" s="785"/>
      <c r="AX164" s="785"/>
      <c r="AY164" s="785"/>
      <c r="AZ164" s="785"/>
      <c r="BA164" s="785"/>
      <c r="BB164" s="785"/>
      <c r="BC164" s="785"/>
      <c r="BD164" s="785"/>
      <c r="BE164" s="785"/>
      <c r="BF164" s="785"/>
      <c r="BG164" s="785"/>
      <c r="BH164" s="785"/>
      <c r="BI164" s="785"/>
      <c r="BJ164" s="785"/>
      <c r="BK164" s="785"/>
      <c r="BL164" s="785"/>
      <c r="BM164" s="785"/>
      <c r="BN164" s="785"/>
      <c r="BO164" s="785"/>
      <c r="BP164" s="785"/>
      <c r="BQ164" s="785"/>
      <c r="BR164" s="785"/>
      <c r="BS164" s="785"/>
      <c r="BT164" s="785"/>
    </row>
    <row r="165" spans="1:72">
      <c r="A165" s="785"/>
      <c r="B165" s="785"/>
      <c r="C165" s="785"/>
      <c r="D165" s="785"/>
      <c r="E165" s="785"/>
      <c r="F165" s="785"/>
      <c r="G165" s="785"/>
      <c r="H165" s="785"/>
      <c r="I165" s="785"/>
      <c r="J165" s="785"/>
      <c r="K165" s="785"/>
      <c r="L165" s="785"/>
      <c r="M165" s="785"/>
      <c r="N165" s="785"/>
      <c r="O165" s="785"/>
      <c r="P165" s="785"/>
      <c r="Q165" s="785"/>
      <c r="R165" s="785"/>
      <c r="S165" s="785"/>
      <c r="T165" s="785"/>
      <c r="U165" s="785"/>
      <c r="V165" s="785"/>
      <c r="W165" s="785"/>
      <c r="X165" s="785"/>
      <c r="Y165" s="785"/>
      <c r="Z165" s="785"/>
      <c r="AA165" s="785"/>
      <c r="AB165" s="785"/>
      <c r="AC165" s="785"/>
      <c r="AD165" s="785"/>
      <c r="AE165" s="785"/>
      <c r="AF165" s="785"/>
      <c r="AG165" s="785"/>
      <c r="AH165" s="785"/>
      <c r="AI165" s="785"/>
      <c r="AJ165" s="785"/>
      <c r="AK165" s="785"/>
      <c r="AL165" s="785"/>
      <c r="AM165" s="785"/>
      <c r="AN165" s="785"/>
      <c r="AO165" s="785"/>
      <c r="AP165" s="785"/>
      <c r="AQ165" s="785"/>
      <c r="AR165" s="785"/>
      <c r="AS165" s="785"/>
      <c r="AT165" s="785"/>
      <c r="AU165" s="785"/>
      <c r="AV165" s="785"/>
      <c r="AW165" s="785"/>
      <c r="AX165" s="785"/>
      <c r="AY165" s="785"/>
      <c r="AZ165" s="785"/>
      <c r="BA165" s="785"/>
      <c r="BB165" s="785"/>
      <c r="BC165" s="785"/>
      <c r="BD165" s="785"/>
      <c r="BE165" s="785"/>
      <c r="BF165" s="785"/>
      <c r="BG165" s="785"/>
      <c r="BH165" s="785"/>
      <c r="BI165" s="785"/>
      <c r="BJ165" s="785"/>
      <c r="BK165" s="785"/>
      <c r="BL165" s="785"/>
      <c r="BM165" s="785"/>
      <c r="BN165" s="785"/>
      <c r="BO165" s="785"/>
      <c r="BP165" s="785"/>
      <c r="BQ165" s="785"/>
      <c r="BR165" s="785"/>
      <c r="BS165" s="785"/>
      <c r="BT165" s="785"/>
    </row>
    <row r="166" spans="1:72">
      <c r="A166" s="785" t="s">
        <v>485</v>
      </c>
      <c r="B166" s="785"/>
      <c r="C166" s="785"/>
      <c r="D166" s="785"/>
      <c r="E166" s="785"/>
      <c r="F166" s="785"/>
      <c r="G166" s="785"/>
      <c r="H166" s="785"/>
      <c r="I166" s="785"/>
      <c r="J166" s="785"/>
      <c r="K166" s="785"/>
      <c r="L166" s="785"/>
      <c r="M166" s="785"/>
      <c r="N166" s="785"/>
      <c r="O166" s="785"/>
      <c r="P166" s="785"/>
      <c r="Q166" s="785"/>
      <c r="R166" s="785"/>
      <c r="S166" s="785"/>
      <c r="T166" s="785"/>
      <c r="U166" s="785"/>
      <c r="V166" s="785"/>
      <c r="W166" s="785"/>
      <c r="X166" s="785"/>
      <c r="Y166" s="785"/>
      <c r="Z166" s="785"/>
      <c r="AA166" s="785"/>
      <c r="AB166" s="785"/>
      <c r="AC166" s="785"/>
      <c r="AD166" s="785"/>
      <c r="AE166" s="785"/>
      <c r="AF166" s="785"/>
      <c r="AG166" s="785"/>
      <c r="AH166" s="785"/>
      <c r="AI166" s="785"/>
      <c r="AJ166" s="785"/>
      <c r="AK166" s="785"/>
      <c r="AL166" s="785"/>
      <c r="AM166" s="785"/>
      <c r="AN166" s="785"/>
      <c r="AO166" s="785"/>
      <c r="AP166" s="785"/>
      <c r="AQ166" s="785"/>
      <c r="AR166" s="785"/>
      <c r="AS166" s="785"/>
      <c r="AT166" s="785"/>
      <c r="AU166" s="785"/>
      <c r="AV166" s="785"/>
      <c r="AW166" s="785"/>
      <c r="AX166" s="785"/>
      <c r="AY166" s="785"/>
      <c r="AZ166" s="785"/>
      <c r="BA166" s="785"/>
      <c r="BB166" s="785"/>
      <c r="BC166" s="785"/>
      <c r="BD166" s="785"/>
      <c r="BE166" s="785"/>
      <c r="BF166" s="785"/>
      <c r="BG166" s="785"/>
      <c r="BH166" s="785"/>
      <c r="BI166" s="785"/>
      <c r="BJ166" s="785"/>
      <c r="BK166" s="785"/>
      <c r="BL166" s="785"/>
      <c r="BM166" s="785"/>
      <c r="BN166" s="785"/>
      <c r="BO166" s="785"/>
      <c r="BP166" s="785"/>
      <c r="BQ166" s="785"/>
      <c r="BR166" s="785"/>
      <c r="BS166" s="785"/>
      <c r="BT166" s="785"/>
    </row>
    <row r="167" spans="1:72">
      <c r="A167" s="785" t="s">
        <v>615</v>
      </c>
      <c r="B167" s="785">
        <v>23.31</v>
      </c>
      <c r="C167" s="785">
        <v>29.93</v>
      </c>
      <c r="D167" s="785">
        <v>25.58</v>
      </c>
      <c r="E167" s="785">
        <v>24.61</v>
      </c>
      <c r="F167" s="785">
        <v>25.02</v>
      </c>
      <c r="G167" s="785">
        <v>26.61</v>
      </c>
      <c r="H167" s="785">
        <v>28.36</v>
      </c>
      <c r="I167" s="785">
        <v>29.9</v>
      </c>
      <c r="J167" s="785">
        <v>31.07</v>
      </c>
      <c r="K167" s="785">
        <v>32.36</v>
      </c>
      <c r="L167" s="785">
        <v>33.58</v>
      </c>
      <c r="M167" s="785">
        <v>34.89</v>
      </c>
      <c r="N167" s="785">
        <v>35.840000000000003</v>
      </c>
      <c r="O167" s="785">
        <v>36.82</v>
      </c>
      <c r="P167" s="785">
        <v>37.89</v>
      </c>
      <c r="Q167" s="785">
        <v>38.979999999999997</v>
      </c>
      <c r="R167" s="785">
        <v>40.17</v>
      </c>
      <c r="S167" s="785">
        <v>41.36</v>
      </c>
      <c r="T167" s="785">
        <v>42.56</v>
      </c>
      <c r="U167" s="785">
        <v>43.64</v>
      </c>
      <c r="V167" s="785">
        <v>44.94</v>
      </c>
      <c r="W167" s="785">
        <v>46.27</v>
      </c>
      <c r="X167" s="785">
        <v>47.79</v>
      </c>
      <c r="Y167" s="785">
        <v>49.17</v>
      </c>
      <c r="Z167" s="785">
        <v>50.81</v>
      </c>
      <c r="AA167" s="785">
        <v>52.46</v>
      </c>
      <c r="AB167" s="785">
        <v>54.21</v>
      </c>
      <c r="AC167" s="785">
        <v>55.95</v>
      </c>
      <c r="AD167" s="785">
        <v>57.77</v>
      </c>
      <c r="AE167" s="819">
        <v>2.5000000000000001E-2</v>
      </c>
      <c r="AF167" s="785"/>
      <c r="AG167" s="785"/>
      <c r="AH167" s="785"/>
      <c r="AI167" s="785"/>
      <c r="AJ167" s="785"/>
      <c r="AK167" s="785"/>
      <c r="AL167" s="785"/>
      <c r="AM167" s="785"/>
      <c r="AN167" s="785"/>
      <c r="AO167" s="785"/>
      <c r="AP167" s="785"/>
      <c r="AQ167" s="785"/>
      <c r="AR167" s="785"/>
      <c r="AS167" s="785"/>
      <c r="AT167" s="785"/>
      <c r="AU167" s="785"/>
      <c r="AV167" s="785"/>
      <c r="AW167" s="785"/>
      <c r="AX167" s="785"/>
      <c r="AY167" s="785"/>
      <c r="AZ167" s="785"/>
      <c r="BA167" s="785"/>
      <c r="BB167" s="785"/>
      <c r="BC167" s="785"/>
      <c r="BD167" s="785"/>
      <c r="BE167" s="785"/>
      <c r="BF167" s="785"/>
      <c r="BG167" s="785"/>
      <c r="BH167" s="785"/>
      <c r="BI167" s="785"/>
      <c r="BJ167" s="785"/>
      <c r="BK167" s="785"/>
      <c r="BL167" s="785"/>
      <c r="BM167" s="785"/>
      <c r="BN167" s="785"/>
      <c r="BO167" s="785"/>
      <c r="BP167" s="785"/>
      <c r="BQ167" s="785"/>
      <c r="BR167" s="785"/>
      <c r="BS167" s="785"/>
      <c r="BT167" s="785"/>
    </row>
    <row r="168" spans="1:72">
      <c r="A168" s="785" t="s">
        <v>616</v>
      </c>
      <c r="B168" s="785">
        <v>26.83</v>
      </c>
      <c r="C168" s="785">
        <v>26.93</v>
      </c>
      <c r="D168" s="785">
        <v>23.64</v>
      </c>
      <c r="E168" s="785">
        <v>21.26</v>
      </c>
      <c r="F168" s="785">
        <v>21.89</v>
      </c>
      <c r="G168" s="785">
        <v>23.43</v>
      </c>
      <c r="H168" s="785">
        <v>26.07</v>
      </c>
      <c r="I168" s="785">
        <v>27.64</v>
      </c>
      <c r="J168" s="785">
        <v>28.47</v>
      </c>
      <c r="K168" s="785">
        <v>28.45</v>
      </c>
      <c r="L168" s="785">
        <v>29.92</v>
      </c>
      <c r="M168" s="785">
        <v>31.23</v>
      </c>
      <c r="N168" s="785">
        <v>31.97</v>
      </c>
      <c r="O168" s="785">
        <v>32.94</v>
      </c>
      <c r="P168" s="785">
        <v>34.090000000000003</v>
      </c>
      <c r="Q168" s="785">
        <v>35.479999999999997</v>
      </c>
      <c r="R168" s="785">
        <v>36.880000000000003</v>
      </c>
      <c r="S168" s="785">
        <v>37.979999999999997</v>
      </c>
      <c r="T168" s="785">
        <v>39.17</v>
      </c>
      <c r="U168" s="785">
        <v>40.479999999999997</v>
      </c>
      <c r="V168" s="785">
        <v>41.72</v>
      </c>
      <c r="W168" s="785">
        <v>43.4</v>
      </c>
      <c r="X168" s="785">
        <v>44.96</v>
      </c>
      <c r="Y168" s="785">
        <v>46.25</v>
      </c>
      <c r="Z168" s="785">
        <v>47.62</v>
      </c>
      <c r="AA168" s="785">
        <v>49.36</v>
      </c>
      <c r="AB168" s="785">
        <v>50.75</v>
      </c>
      <c r="AC168" s="785">
        <v>52.29</v>
      </c>
      <c r="AD168" s="785">
        <v>54.17</v>
      </c>
      <c r="AE168" s="819">
        <v>2.5999999999999999E-2</v>
      </c>
      <c r="AF168" s="785"/>
      <c r="AG168" s="785"/>
      <c r="AH168" s="785"/>
      <c r="AI168" s="785"/>
      <c r="AJ168" s="785"/>
      <c r="AK168" s="785"/>
      <c r="AL168" s="785"/>
      <c r="AM168" s="785"/>
      <c r="AN168" s="785"/>
      <c r="AO168" s="785"/>
      <c r="AP168" s="785"/>
      <c r="AQ168" s="785"/>
      <c r="AR168" s="785"/>
      <c r="AS168" s="785"/>
      <c r="AT168" s="785"/>
      <c r="AU168" s="785"/>
      <c r="AV168" s="785"/>
      <c r="AW168" s="785"/>
      <c r="AX168" s="785"/>
      <c r="AY168" s="785"/>
      <c r="AZ168" s="785"/>
      <c r="BA168" s="785"/>
      <c r="BB168" s="785"/>
      <c r="BC168" s="785"/>
      <c r="BD168" s="785"/>
      <c r="BE168" s="785"/>
      <c r="BF168" s="785"/>
      <c r="BG168" s="785"/>
      <c r="BH168" s="785"/>
      <c r="BI168" s="785"/>
      <c r="BJ168" s="785"/>
      <c r="BK168" s="785"/>
      <c r="BL168" s="785"/>
      <c r="BM168" s="785"/>
      <c r="BN168" s="785"/>
      <c r="BO168" s="785"/>
      <c r="BP168" s="785"/>
      <c r="BQ168" s="785"/>
      <c r="BR168" s="785"/>
      <c r="BS168" s="785"/>
      <c r="BT168" s="785"/>
    </row>
    <row r="169" spans="1:72">
      <c r="A169" s="785" t="s">
        <v>617</v>
      </c>
      <c r="B169" s="785">
        <v>23.15</v>
      </c>
      <c r="C169" s="785">
        <v>26.76</v>
      </c>
      <c r="D169" s="785">
        <v>19.43</v>
      </c>
      <c r="E169" s="785">
        <v>21.17</v>
      </c>
      <c r="F169" s="785">
        <v>21.79</v>
      </c>
      <c r="G169" s="785">
        <v>23.32</v>
      </c>
      <c r="H169" s="785">
        <v>25.87</v>
      </c>
      <c r="I169" s="785">
        <v>27.33</v>
      </c>
      <c r="J169" s="785">
        <v>28.27</v>
      </c>
      <c r="K169" s="785">
        <v>29.42</v>
      </c>
      <c r="L169" s="785">
        <v>30.58</v>
      </c>
      <c r="M169" s="785">
        <v>31.65</v>
      </c>
      <c r="N169" s="785">
        <v>32.6</v>
      </c>
      <c r="O169" s="785">
        <v>33.72</v>
      </c>
      <c r="P169" s="785">
        <v>34.72</v>
      </c>
      <c r="Q169" s="785">
        <v>35.94</v>
      </c>
      <c r="R169" s="785">
        <v>37.020000000000003</v>
      </c>
      <c r="S169" s="785">
        <v>37.96</v>
      </c>
      <c r="T169" s="785">
        <v>39.18</v>
      </c>
      <c r="U169" s="785">
        <v>40.44</v>
      </c>
      <c r="V169" s="785">
        <v>41.69</v>
      </c>
      <c r="W169" s="785">
        <v>43.21</v>
      </c>
      <c r="X169" s="785">
        <v>44.7</v>
      </c>
      <c r="Y169" s="785">
        <v>45.91</v>
      </c>
      <c r="Z169" s="785">
        <v>47.47</v>
      </c>
      <c r="AA169" s="785">
        <v>49.16</v>
      </c>
      <c r="AB169" s="785">
        <v>50.66</v>
      </c>
      <c r="AC169" s="785">
        <v>52.36</v>
      </c>
      <c r="AD169" s="785">
        <v>54.33</v>
      </c>
      <c r="AE169" s="819">
        <v>2.7E-2</v>
      </c>
      <c r="AF169" s="785"/>
      <c r="AG169" s="785"/>
      <c r="AH169" s="785"/>
      <c r="AI169" s="785"/>
      <c r="AJ169" s="785"/>
      <c r="AK169" s="785"/>
      <c r="AL169" s="785"/>
      <c r="AM169" s="785"/>
      <c r="AN169" s="785"/>
      <c r="AO169" s="785"/>
      <c r="AP169" s="785"/>
      <c r="AQ169" s="785"/>
      <c r="AR169" s="785"/>
      <c r="AS169" s="785"/>
      <c r="AT169" s="785"/>
      <c r="AU169" s="785"/>
      <c r="AV169" s="785"/>
      <c r="AW169" s="785"/>
      <c r="AX169" s="785"/>
      <c r="AY169" s="785"/>
      <c r="AZ169" s="785"/>
      <c r="BA169" s="785"/>
      <c r="BB169" s="785"/>
      <c r="BC169" s="785"/>
      <c r="BD169" s="785"/>
      <c r="BE169" s="785"/>
      <c r="BF169" s="785"/>
      <c r="BG169" s="785"/>
      <c r="BH169" s="785"/>
      <c r="BI169" s="785"/>
      <c r="BJ169" s="785"/>
      <c r="BK169" s="785"/>
      <c r="BL169" s="785"/>
      <c r="BM169" s="785"/>
      <c r="BN169" s="785"/>
      <c r="BO169" s="785"/>
      <c r="BP169" s="785"/>
      <c r="BQ169" s="785"/>
      <c r="BR169" s="785"/>
      <c r="BS169" s="785"/>
      <c r="BT169" s="785"/>
    </row>
    <row r="170" spans="1:72">
      <c r="A170" s="785" t="s">
        <v>618</v>
      </c>
      <c r="B170" s="785">
        <v>15.42</v>
      </c>
      <c r="C170" s="785">
        <v>22.71</v>
      </c>
      <c r="D170" s="785">
        <v>12.92</v>
      </c>
      <c r="E170" s="785">
        <v>15.23</v>
      </c>
      <c r="F170" s="785">
        <v>15.82</v>
      </c>
      <c r="G170" s="785">
        <v>17.510000000000002</v>
      </c>
      <c r="H170" s="785">
        <v>19.05</v>
      </c>
      <c r="I170" s="785">
        <v>20.23</v>
      </c>
      <c r="J170" s="785">
        <v>21.21</v>
      </c>
      <c r="K170" s="785">
        <v>22.42</v>
      </c>
      <c r="L170" s="785">
        <v>23.58</v>
      </c>
      <c r="M170" s="785">
        <v>24.67</v>
      </c>
      <c r="N170" s="785">
        <v>25.58</v>
      </c>
      <c r="O170" s="785">
        <v>26.51</v>
      </c>
      <c r="P170" s="785">
        <v>27.27</v>
      </c>
      <c r="Q170" s="785">
        <v>28.18</v>
      </c>
      <c r="R170" s="785">
        <v>29.2</v>
      </c>
      <c r="S170" s="785">
        <v>30.07</v>
      </c>
      <c r="T170" s="785">
        <v>31.1</v>
      </c>
      <c r="U170" s="785">
        <v>32.130000000000003</v>
      </c>
      <c r="V170" s="785">
        <v>33.21</v>
      </c>
      <c r="W170" s="785">
        <v>34.54</v>
      </c>
      <c r="X170" s="785">
        <v>35.83</v>
      </c>
      <c r="Y170" s="785">
        <v>36.99</v>
      </c>
      <c r="Z170" s="785">
        <v>38.42</v>
      </c>
      <c r="AA170" s="785">
        <v>39.92</v>
      </c>
      <c r="AB170" s="785">
        <v>41.32</v>
      </c>
      <c r="AC170" s="785">
        <v>42.87</v>
      </c>
      <c r="AD170" s="785">
        <v>44.51</v>
      </c>
      <c r="AE170" s="819">
        <v>2.5000000000000001E-2</v>
      </c>
      <c r="AF170" s="785"/>
      <c r="AG170" s="785"/>
      <c r="AH170" s="785"/>
      <c r="AI170" s="785"/>
      <c r="AJ170" s="785"/>
      <c r="AK170" s="785"/>
      <c r="AL170" s="785"/>
      <c r="AM170" s="785"/>
      <c r="AN170" s="785"/>
      <c r="AO170" s="785"/>
      <c r="AP170" s="785"/>
      <c r="AQ170" s="785"/>
      <c r="AR170" s="785"/>
      <c r="AS170" s="785"/>
      <c r="AT170" s="785"/>
      <c r="AU170" s="785"/>
      <c r="AV170" s="785"/>
      <c r="AW170" s="785"/>
      <c r="AX170" s="785"/>
      <c r="AY170" s="785"/>
      <c r="AZ170" s="785"/>
      <c r="BA170" s="785"/>
      <c r="BB170" s="785"/>
      <c r="BC170" s="785"/>
      <c r="BD170" s="785"/>
      <c r="BE170" s="785"/>
      <c r="BF170" s="785"/>
      <c r="BG170" s="785"/>
      <c r="BH170" s="785"/>
      <c r="BI170" s="785"/>
      <c r="BJ170" s="785"/>
      <c r="BK170" s="785"/>
      <c r="BL170" s="785"/>
      <c r="BM170" s="785"/>
      <c r="BN170" s="785"/>
      <c r="BO170" s="785"/>
      <c r="BP170" s="785"/>
      <c r="BQ170" s="785"/>
      <c r="BR170" s="785"/>
      <c r="BS170" s="785"/>
      <c r="BT170" s="785"/>
    </row>
    <row r="171" spans="1:72">
      <c r="A171" s="785" t="s">
        <v>722</v>
      </c>
      <c r="B171" s="785">
        <v>21.08</v>
      </c>
      <c r="C171" s="785">
        <v>27.65</v>
      </c>
      <c r="D171" s="785">
        <v>18.04</v>
      </c>
      <c r="E171" s="785">
        <v>19.7</v>
      </c>
      <c r="F171" s="785">
        <v>20.149999999999999</v>
      </c>
      <c r="G171" s="785">
        <v>21.71</v>
      </c>
      <c r="H171" s="785">
        <v>23.2</v>
      </c>
      <c r="I171" s="785">
        <v>24.38</v>
      </c>
      <c r="J171" s="785">
        <v>25.56</v>
      </c>
      <c r="K171" s="785">
        <v>26.86</v>
      </c>
      <c r="L171" s="785">
        <v>28.03</v>
      </c>
      <c r="M171" s="785">
        <v>29.31</v>
      </c>
      <c r="N171" s="785">
        <v>30.31</v>
      </c>
      <c r="O171" s="785">
        <v>31.28</v>
      </c>
      <c r="P171" s="785">
        <v>32.19</v>
      </c>
      <c r="Q171" s="785">
        <v>33.32</v>
      </c>
      <c r="R171" s="785">
        <v>34.22</v>
      </c>
      <c r="S171" s="785">
        <v>35.03</v>
      </c>
      <c r="T171" s="785">
        <v>36.130000000000003</v>
      </c>
      <c r="U171" s="785">
        <v>37.17</v>
      </c>
      <c r="V171" s="785">
        <v>38.32</v>
      </c>
      <c r="W171" s="785">
        <v>39.61</v>
      </c>
      <c r="X171" s="785">
        <v>41.05</v>
      </c>
      <c r="Y171" s="785">
        <v>42.2</v>
      </c>
      <c r="Z171" s="785">
        <v>43.79</v>
      </c>
      <c r="AA171" s="785">
        <v>45.41</v>
      </c>
      <c r="AB171" s="785">
        <v>46.88</v>
      </c>
      <c r="AC171" s="785">
        <v>48.53</v>
      </c>
      <c r="AD171" s="785">
        <v>50.35</v>
      </c>
      <c r="AE171" s="819">
        <v>2.1999999999999999E-2</v>
      </c>
      <c r="AF171" s="785"/>
      <c r="AG171" s="785"/>
      <c r="AH171" s="785"/>
      <c r="AI171" s="785"/>
      <c r="AJ171" s="785"/>
      <c r="AK171" s="785"/>
      <c r="AL171" s="785"/>
      <c r="AM171" s="785"/>
      <c r="AN171" s="785"/>
      <c r="AO171" s="785"/>
      <c r="AP171" s="785"/>
      <c r="AQ171" s="785"/>
      <c r="AR171" s="785"/>
      <c r="AS171" s="785"/>
      <c r="AT171" s="785"/>
      <c r="AU171" s="785"/>
      <c r="AV171" s="785"/>
      <c r="AW171" s="785"/>
      <c r="AX171" s="785"/>
      <c r="AY171" s="785"/>
      <c r="AZ171" s="785"/>
      <c r="BA171" s="785"/>
      <c r="BB171" s="785"/>
      <c r="BC171" s="785"/>
      <c r="BD171" s="785"/>
      <c r="BE171" s="785"/>
      <c r="BF171" s="785"/>
      <c r="BG171" s="785"/>
      <c r="BH171" s="785"/>
      <c r="BI171" s="785"/>
      <c r="BJ171" s="785"/>
      <c r="BK171" s="785"/>
      <c r="BL171" s="785"/>
      <c r="BM171" s="785"/>
      <c r="BN171" s="785"/>
      <c r="BO171" s="785"/>
      <c r="BP171" s="785"/>
      <c r="BQ171" s="785"/>
      <c r="BR171" s="785"/>
      <c r="BS171" s="785"/>
      <c r="BT171" s="785"/>
    </row>
    <row r="172" spans="1:72">
      <c r="A172" s="785" t="s">
        <v>609</v>
      </c>
      <c r="B172" s="785">
        <v>8.99</v>
      </c>
      <c r="C172" s="785">
        <v>14.49</v>
      </c>
      <c r="D172" s="785">
        <v>9</v>
      </c>
      <c r="E172" s="785">
        <v>10.51</v>
      </c>
      <c r="F172" s="785">
        <v>10.77</v>
      </c>
      <c r="G172" s="785">
        <v>12.17</v>
      </c>
      <c r="H172" s="785">
        <v>13.4</v>
      </c>
      <c r="I172" s="785">
        <v>14.45</v>
      </c>
      <c r="J172" s="785">
        <v>15.13</v>
      </c>
      <c r="K172" s="785">
        <v>15.77</v>
      </c>
      <c r="L172" s="785">
        <v>16.670000000000002</v>
      </c>
      <c r="M172" s="785">
        <v>17.43</v>
      </c>
      <c r="N172" s="785">
        <v>17.940000000000001</v>
      </c>
      <c r="O172" s="785">
        <v>18.32</v>
      </c>
      <c r="P172" s="785">
        <v>19</v>
      </c>
      <c r="Q172" s="785">
        <v>19.57</v>
      </c>
      <c r="R172" s="785">
        <v>20.260000000000002</v>
      </c>
      <c r="S172" s="785">
        <v>20.94</v>
      </c>
      <c r="T172" s="785">
        <v>21.63</v>
      </c>
      <c r="U172" s="785">
        <v>22.13</v>
      </c>
      <c r="V172" s="785">
        <v>23.02</v>
      </c>
      <c r="W172" s="785">
        <v>23.85</v>
      </c>
      <c r="X172" s="785">
        <v>24.8</v>
      </c>
      <c r="Y172" s="785">
        <v>25.81</v>
      </c>
      <c r="Z172" s="785">
        <v>26.88</v>
      </c>
      <c r="AA172" s="785">
        <v>27.91</v>
      </c>
      <c r="AB172" s="785">
        <v>28.9</v>
      </c>
      <c r="AC172" s="785">
        <v>30.02</v>
      </c>
      <c r="AD172" s="785">
        <v>31.26</v>
      </c>
      <c r="AE172" s="819">
        <v>2.9000000000000001E-2</v>
      </c>
      <c r="AF172" s="785"/>
      <c r="AG172" s="785"/>
      <c r="AH172" s="785"/>
      <c r="AI172" s="785"/>
      <c r="AJ172" s="785"/>
      <c r="AK172" s="785"/>
      <c r="AL172" s="785"/>
      <c r="AM172" s="785"/>
      <c r="AN172" s="785"/>
      <c r="AO172" s="785"/>
      <c r="AP172" s="785"/>
      <c r="AQ172" s="785"/>
      <c r="AR172" s="785"/>
      <c r="AS172" s="785"/>
      <c r="AT172" s="785"/>
      <c r="AU172" s="785"/>
      <c r="AV172" s="785"/>
      <c r="AW172" s="785"/>
      <c r="AX172" s="785"/>
      <c r="AY172" s="785"/>
      <c r="AZ172" s="785"/>
      <c r="BA172" s="785"/>
      <c r="BB172" s="785"/>
      <c r="BC172" s="785"/>
      <c r="BD172" s="785"/>
      <c r="BE172" s="785"/>
      <c r="BF172" s="785"/>
      <c r="BG172" s="785"/>
      <c r="BH172" s="785"/>
      <c r="BI172" s="785"/>
      <c r="BJ172" s="785"/>
      <c r="BK172" s="785"/>
      <c r="BL172" s="785"/>
      <c r="BM172" s="785"/>
      <c r="BN172" s="785"/>
      <c r="BO172" s="785"/>
      <c r="BP172" s="785"/>
      <c r="BQ172" s="785"/>
      <c r="BR172" s="785"/>
      <c r="BS172" s="785"/>
      <c r="BT172" s="785"/>
    </row>
    <row r="173" spans="1:72">
      <c r="A173" s="785" t="s">
        <v>620</v>
      </c>
      <c r="B173" s="785">
        <v>13.54</v>
      </c>
      <c r="C173" s="785">
        <v>15.96</v>
      </c>
      <c r="D173" s="785">
        <v>11.54</v>
      </c>
      <c r="E173" s="785">
        <v>12.36</v>
      </c>
      <c r="F173" s="785">
        <v>13.66</v>
      </c>
      <c r="G173" s="785">
        <v>14.28</v>
      </c>
      <c r="H173" s="785">
        <v>14.39</v>
      </c>
      <c r="I173" s="785">
        <v>14.52</v>
      </c>
      <c r="J173" s="785">
        <v>14.9</v>
      </c>
      <c r="K173" s="785">
        <v>15.21</v>
      </c>
      <c r="L173" s="785">
        <v>15.46</v>
      </c>
      <c r="M173" s="785">
        <v>15.74</v>
      </c>
      <c r="N173" s="785">
        <v>16.04</v>
      </c>
      <c r="O173" s="785">
        <v>16.43</v>
      </c>
      <c r="P173" s="785">
        <v>16.8</v>
      </c>
      <c r="Q173" s="785">
        <v>17.32</v>
      </c>
      <c r="R173" s="785">
        <v>17.64</v>
      </c>
      <c r="S173" s="785">
        <v>17.829999999999998</v>
      </c>
      <c r="T173" s="785">
        <v>18.23</v>
      </c>
      <c r="U173" s="785">
        <v>18.760000000000002</v>
      </c>
      <c r="V173" s="785">
        <v>19.309999999999999</v>
      </c>
      <c r="W173" s="785">
        <v>19.98</v>
      </c>
      <c r="X173" s="785">
        <v>20.67</v>
      </c>
      <c r="Y173" s="785">
        <v>21.42</v>
      </c>
      <c r="Z173" s="785">
        <v>22.31</v>
      </c>
      <c r="AA173" s="785">
        <v>22.94</v>
      </c>
      <c r="AB173" s="785">
        <v>23.44</v>
      </c>
      <c r="AC173" s="785">
        <v>24.19</v>
      </c>
      <c r="AD173" s="785">
        <v>24.84</v>
      </c>
      <c r="AE173" s="819">
        <v>1.7000000000000001E-2</v>
      </c>
      <c r="AF173" s="785"/>
      <c r="AG173" s="785"/>
      <c r="AH173" s="785"/>
      <c r="AI173" s="785"/>
      <c r="AJ173" s="785"/>
      <c r="AK173" s="785"/>
      <c r="AL173" s="785"/>
      <c r="AM173" s="785"/>
      <c r="AN173" s="785"/>
      <c r="AO173" s="785"/>
      <c r="AP173" s="785"/>
      <c r="AQ173" s="785"/>
      <c r="AR173" s="785"/>
      <c r="AS173" s="785"/>
      <c r="AT173" s="785"/>
      <c r="AU173" s="785"/>
      <c r="AV173" s="785"/>
      <c r="AW173" s="785"/>
      <c r="AX173" s="785"/>
      <c r="AY173" s="785"/>
      <c r="AZ173" s="785"/>
      <c r="BA173" s="785"/>
      <c r="BB173" s="785"/>
      <c r="BC173" s="785"/>
      <c r="BD173" s="785"/>
      <c r="BE173" s="785"/>
      <c r="BF173" s="785"/>
      <c r="BG173" s="785"/>
      <c r="BH173" s="785"/>
      <c r="BI173" s="785"/>
      <c r="BJ173" s="785"/>
      <c r="BK173" s="785"/>
      <c r="BL173" s="785"/>
      <c r="BM173" s="785"/>
      <c r="BN173" s="785"/>
      <c r="BO173" s="785"/>
      <c r="BP173" s="785"/>
      <c r="BQ173" s="785"/>
      <c r="BR173" s="785"/>
      <c r="BS173" s="785"/>
      <c r="BT173" s="785"/>
    </row>
    <row r="174" spans="1:72">
      <c r="A174" s="785" t="s">
        <v>477</v>
      </c>
      <c r="B174" s="785">
        <v>31.32</v>
      </c>
      <c r="C174" s="785">
        <v>33.729999999999997</v>
      </c>
      <c r="D174" s="785">
        <v>32.79</v>
      </c>
      <c r="E174" s="785">
        <v>31.2</v>
      </c>
      <c r="F174" s="785">
        <v>28.83</v>
      </c>
      <c r="G174" s="785">
        <v>31.39</v>
      </c>
      <c r="H174" s="785">
        <v>32.01</v>
      </c>
      <c r="I174" s="785">
        <v>31.85</v>
      </c>
      <c r="J174" s="785">
        <v>32.08</v>
      </c>
      <c r="K174" s="785">
        <v>32.909999999999997</v>
      </c>
      <c r="L174" s="785">
        <v>33.549999999999997</v>
      </c>
      <c r="M174" s="785">
        <v>33.97</v>
      </c>
      <c r="N174" s="785">
        <v>34.26</v>
      </c>
      <c r="O174" s="785">
        <v>34.89</v>
      </c>
      <c r="P174" s="785">
        <v>35.61</v>
      </c>
      <c r="Q174" s="785">
        <v>36.26</v>
      </c>
      <c r="R174" s="785">
        <v>37.11</v>
      </c>
      <c r="S174" s="785">
        <v>38.1</v>
      </c>
      <c r="T174" s="785">
        <v>38.86</v>
      </c>
      <c r="U174" s="785">
        <v>40</v>
      </c>
      <c r="V174" s="785">
        <v>41.47</v>
      </c>
      <c r="W174" s="785">
        <v>43.05</v>
      </c>
      <c r="X174" s="785">
        <v>45.05</v>
      </c>
      <c r="Y174" s="785">
        <v>46.8</v>
      </c>
      <c r="Z174" s="785">
        <v>48.78</v>
      </c>
      <c r="AA174" s="785">
        <v>50.72</v>
      </c>
      <c r="AB174" s="785">
        <v>52.33</v>
      </c>
      <c r="AC174" s="785">
        <v>54.13</v>
      </c>
      <c r="AD174" s="785">
        <v>55.89</v>
      </c>
      <c r="AE174" s="819">
        <v>1.9E-2</v>
      </c>
      <c r="AF174" s="785"/>
      <c r="AG174" s="785"/>
      <c r="AH174" s="785"/>
      <c r="AI174" s="785"/>
      <c r="AJ174" s="785"/>
      <c r="AK174" s="785"/>
      <c r="AL174" s="785"/>
      <c r="AM174" s="785"/>
      <c r="AN174" s="785"/>
      <c r="AO174" s="785"/>
      <c r="AP174" s="785"/>
      <c r="AQ174" s="785"/>
      <c r="AR174" s="785"/>
      <c r="AS174" s="785"/>
      <c r="AT174" s="785"/>
      <c r="AU174" s="785"/>
      <c r="AV174" s="785"/>
      <c r="AW174" s="785"/>
      <c r="AX174" s="785"/>
      <c r="AY174" s="785"/>
      <c r="AZ174" s="785"/>
      <c r="BA174" s="785"/>
      <c r="BB174" s="785"/>
      <c r="BC174" s="785"/>
      <c r="BD174" s="785"/>
      <c r="BE174" s="785"/>
      <c r="BF174" s="785"/>
      <c r="BG174" s="785"/>
      <c r="BH174" s="785"/>
      <c r="BI174" s="785"/>
      <c r="BJ174" s="785"/>
      <c r="BK174" s="785"/>
      <c r="BL174" s="785"/>
      <c r="BM174" s="785"/>
      <c r="BN174" s="785"/>
      <c r="BO174" s="785"/>
      <c r="BP174" s="785"/>
      <c r="BQ174" s="785"/>
      <c r="BR174" s="785"/>
      <c r="BS174" s="785"/>
      <c r="BT174" s="785"/>
    </row>
    <row r="175" spans="1:72">
      <c r="A175" s="785"/>
      <c r="B175" s="785"/>
      <c r="C175" s="785"/>
      <c r="D175" s="785"/>
      <c r="E175" s="785"/>
      <c r="F175" s="785"/>
      <c r="G175" s="785"/>
      <c r="H175" s="785"/>
      <c r="I175" s="785"/>
      <c r="J175" s="785"/>
      <c r="K175" s="785"/>
      <c r="L175" s="785"/>
      <c r="M175" s="785"/>
      <c r="N175" s="785"/>
      <c r="O175" s="785"/>
      <c r="P175" s="785"/>
      <c r="Q175" s="785"/>
      <c r="R175" s="785"/>
      <c r="S175" s="785"/>
      <c r="T175" s="785"/>
      <c r="U175" s="785"/>
      <c r="V175" s="785"/>
      <c r="W175" s="785"/>
      <c r="X175" s="785"/>
      <c r="Y175" s="785"/>
      <c r="Z175" s="785"/>
      <c r="AA175" s="785"/>
      <c r="AB175" s="785"/>
      <c r="AC175" s="785"/>
      <c r="AD175" s="785"/>
      <c r="AE175" s="785"/>
      <c r="AF175" s="785"/>
      <c r="AG175" s="785"/>
      <c r="AH175" s="785"/>
      <c r="AI175" s="785"/>
      <c r="AJ175" s="785"/>
      <c r="AK175" s="785"/>
      <c r="AL175" s="785"/>
      <c r="AM175" s="785"/>
      <c r="AN175" s="785"/>
      <c r="AO175" s="785"/>
      <c r="AP175" s="785"/>
      <c r="AQ175" s="785"/>
      <c r="AR175" s="785"/>
      <c r="AS175" s="785"/>
      <c r="AT175" s="785"/>
      <c r="AU175" s="785"/>
      <c r="AV175" s="785"/>
      <c r="AW175" s="785"/>
      <c r="AX175" s="785"/>
      <c r="AY175" s="785"/>
      <c r="AZ175" s="785"/>
      <c r="BA175" s="785"/>
      <c r="BB175" s="785"/>
      <c r="BC175" s="785"/>
      <c r="BD175" s="785"/>
      <c r="BE175" s="785"/>
      <c r="BF175" s="785"/>
      <c r="BG175" s="785"/>
      <c r="BH175" s="785"/>
      <c r="BI175" s="785"/>
      <c r="BJ175" s="785"/>
      <c r="BK175" s="785"/>
      <c r="BL175" s="785"/>
      <c r="BM175" s="785"/>
      <c r="BN175" s="785"/>
      <c r="BO175" s="785"/>
      <c r="BP175" s="785"/>
      <c r="BQ175" s="785"/>
      <c r="BR175" s="785"/>
      <c r="BS175" s="785"/>
      <c r="BT175" s="785"/>
    </row>
    <row r="176" spans="1:72">
      <c r="A176" s="785" t="s">
        <v>621</v>
      </c>
      <c r="B176" s="785"/>
      <c r="C176" s="785"/>
      <c r="D176" s="785"/>
      <c r="E176" s="785"/>
      <c r="F176" s="785"/>
      <c r="G176" s="785"/>
      <c r="H176" s="785"/>
      <c r="I176" s="785"/>
      <c r="J176" s="785"/>
      <c r="K176" s="785"/>
      <c r="L176" s="785"/>
      <c r="M176" s="785"/>
      <c r="N176" s="785"/>
      <c r="O176" s="785"/>
      <c r="P176" s="785"/>
      <c r="Q176" s="785"/>
      <c r="R176" s="785"/>
      <c r="S176" s="785"/>
      <c r="T176" s="785"/>
      <c r="U176" s="785"/>
      <c r="V176" s="785"/>
      <c r="W176" s="785"/>
      <c r="X176" s="785"/>
      <c r="Y176" s="785"/>
      <c r="Z176" s="785"/>
      <c r="AA176" s="785"/>
      <c r="AB176" s="785"/>
      <c r="AC176" s="785"/>
      <c r="AD176" s="785"/>
      <c r="AE176" s="785"/>
      <c r="AF176" s="785"/>
      <c r="AG176" s="785"/>
      <c r="AH176" s="785"/>
      <c r="AI176" s="785"/>
      <c r="AJ176" s="785"/>
      <c r="AK176" s="785"/>
      <c r="AL176" s="785"/>
      <c r="AM176" s="785"/>
      <c r="AN176" s="785"/>
      <c r="AO176" s="785"/>
      <c r="AP176" s="785"/>
      <c r="AQ176" s="785"/>
      <c r="AR176" s="785"/>
      <c r="AS176" s="785"/>
      <c r="AT176" s="785"/>
      <c r="AU176" s="785"/>
      <c r="AV176" s="785"/>
      <c r="AW176" s="785"/>
      <c r="AX176" s="785"/>
      <c r="AY176" s="785"/>
      <c r="AZ176" s="785"/>
      <c r="BA176" s="785"/>
      <c r="BB176" s="785"/>
      <c r="BC176" s="785"/>
      <c r="BD176" s="785"/>
      <c r="BE176" s="785"/>
      <c r="BF176" s="785"/>
      <c r="BG176" s="785"/>
      <c r="BH176" s="785"/>
      <c r="BI176" s="785"/>
      <c r="BJ176" s="785"/>
      <c r="BK176" s="785"/>
      <c r="BL176" s="785"/>
      <c r="BM176" s="785"/>
      <c r="BN176" s="785"/>
      <c r="BO176" s="785"/>
      <c r="BP176" s="785"/>
      <c r="BQ176" s="785"/>
      <c r="BR176" s="785"/>
      <c r="BS176" s="785"/>
      <c r="BT176" s="785"/>
    </row>
    <row r="177" spans="1:72">
      <c r="A177" s="785" t="s">
        <v>608</v>
      </c>
      <c r="B177" s="785">
        <v>15.41</v>
      </c>
      <c r="C177" s="785">
        <v>19.37</v>
      </c>
      <c r="D177" s="785">
        <v>14.46</v>
      </c>
      <c r="E177" s="785">
        <v>14.33</v>
      </c>
      <c r="F177" s="785">
        <v>14.68</v>
      </c>
      <c r="G177" s="785">
        <v>16.09</v>
      </c>
      <c r="H177" s="785">
        <v>17.46</v>
      </c>
      <c r="I177" s="785">
        <v>18.510000000000002</v>
      </c>
      <c r="J177" s="785">
        <v>19.350000000000001</v>
      </c>
      <c r="K177" s="785">
        <v>20.67</v>
      </c>
      <c r="L177" s="785">
        <v>21.81</v>
      </c>
      <c r="M177" s="785">
        <v>22.96</v>
      </c>
      <c r="N177" s="785">
        <v>23.88</v>
      </c>
      <c r="O177" s="785">
        <v>24.75</v>
      </c>
      <c r="P177" s="785">
        <v>25.46</v>
      </c>
      <c r="Q177" s="785">
        <v>26.24</v>
      </c>
      <c r="R177" s="785">
        <v>27.22</v>
      </c>
      <c r="S177" s="785">
        <v>28.03</v>
      </c>
      <c r="T177" s="785">
        <v>28.98</v>
      </c>
      <c r="U177" s="785">
        <v>29.93</v>
      </c>
      <c r="V177" s="785">
        <v>30.88</v>
      </c>
      <c r="W177" s="785">
        <v>32</v>
      </c>
      <c r="X177" s="785">
        <v>33.28</v>
      </c>
      <c r="Y177" s="785">
        <v>34.28</v>
      </c>
      <c r="Z177" s="785">
        <v>35.71</v>
      </c>
      <c r="AA177" s="785">
        <v>37.130000000000003</v>
      </c>
      <c r="AB177" s="785">
        <v>38.46</v>
      </c>
      <c r="AC177" s="785">
        <v>39.950000000000003</v>
      </c>
      <c r="AD177" s="785">
        <v>41.52</v>
      </c>
      <c r="AE177" s="819">
        <v>2.9000000000000001E-2</v>
      </c>
      <c r="AF177" s="785"/>
      <c r="AG177" s="785"/>
      <c r="AH177" s="785"/>
      <c r="AI177" s="785"/>
      <c r="AJ177" s="785"/>
      <c r="AK177" s="785"/>
      <c r="AL177" s="785"/>
      <c r="AM177" s="785"/>
      <c r="AN177" s="785"/>
      <c r="AO177" s="785"/>
      <c r="AP177" s="785"/>
      <c r="AQ177" s="785"/>
      <c r="AR177" s="785"/>
      <c r="AS177" s="785"/>
      <c r="AT177" s="785"/>
      <c r="AU177" s="785"/>
      <c r="AV177" s="785"/>
      <c r="AW177" s="785"/>
      <c r="AX177" s="785"/>
      <c r="AY177" s="785"/>
      <c r="AZ177" s="785"/>
      <c r="BA177" s="785"/>
      <c r="BB177" s="785"/>
      <c r="BC177" s="785"/>
      <c r="BD177" s="785"/>
      <c r="BE177" s="785"/>
      <c r="BF177" s="785"/>
      <c r="BG177" s="785"/>
      <c r="BH177" s="785"/>
      <c r="BI177" s="785"/>
      <c r="BJ177" s="785"/>
      <c r="BK177" s="785"/>
      <c r="BL177" s="785"/>
      <c r="BM177" s="785"/>
      <c r="BN177" s="785"/>
      <c r="BO177" s="785"/>
      <c r="BP177" s="785"/>
      <c r="BQ177" s="785"/>
      <c r="BR177" s="785"/>
      <c r="BS177" s="785"/>
      <c r="BT177" s="785"/>
    </row>
    <row r="178" spans="1:72">
      <c r="A178" s="785" t="s">
        <v>609</v>
      </c>
      <c r="B178" s="785">
        <v>8.84</v>
      </c>
      <c r="C178" s="785">
        <v>14.56</v>
      </c>
      <c r="D178" s="785">
        <v>8.92</v>
      </c>
      <c r="E178" s="785">
        <v>12.37</v>
      </c>
      <c r="F178" s="785">
        <v>12.7</v>
      </c>
      <c r="G178" s="785">
        <v>14.13</v>
      </c>
      <c r="H178" s="785">
        <v>15.48</v>
      </c>
      <c r="I178" s="785">
        <v>16.55</v>
      </c>
      <c r="J178" s="785">
        <v>17.3</v>
      </c>
      <c r="K178" s="785">
        <v>18.07</v>
      </c>
      <c r="L178" s="785">
        <v>19.010000000000002</v>
      </c>
      <c r="M178" s="785">
        <v>19.88</v>
      </c>
      <c r="N178" s="785">
        <v>20.54</v>
      </c>
      <c r="O178" s="785">
        <v>21.05</v>
      </c>
      <c r="P178" s="785">
        <v>21.8</v>
      </c>
      <c r="Q178" s="785">
        <v>22.48</v>
      </c>
      <c r="R178" s="785">
        <v>23.26</v>
      </c>
      <c r="S178" s="785">
        <v>24.05</v>
      </c>
      <c r="T178" s="785">
        <v>24.83</v>
      </c>
      <c r="U178" s="785">
        <v>25.46</v>
      </c>
      <c r="V178" s="785">
        <v>26.42</v>
      </c>
      <c r="W178" s="785">
        <v>27.37</v>
      </c>
      <c r="X178" s="785">
        <v>28.4</v>
      </c>
      <c r="Y178" s="785">
        <v>29.5</v>
      </c>
      <c r="Z178" s="785">
        <v>30.7</v>
      </c>
      <c r="AA178" s="785">
        <v>31.85</v>
      </c>
      <c r="AB178" s="785">
        <v>32.92</v>
      </c>
      <c r="AC178" s="785">
        <v>34.19</v>
      </c>
      <c r="AD178" s="785">
        <v>35.49</v>
      </c>
      <c r="AE178" s="819">
        <v>3.4000000000000002E-2</v>
      </c>
      <c r="AF178" s="785"/>
      <c r="AG178" s="785"/>
      <c r="AH178" s="785"/>
      <c r="AI178" s="785"/>
      <c r="AJ178" s="785"/>
      <c r="AK178" s="785"/>
      <c r="AL178" s="785"/>
      <c r="AM178" s="785"/>
      <c r="AN178" s="785"/>
      <c r="AO178" s="785"/>
      <c r="AP178" s="785"/>
      <c r="AQ178" s="785"/>
      <c r="AR178" s="785"/>
      <c r="AS178" s="785"/>
      <c r="AT178" s="785"/>
      <c r="AU178" s="785"/>
      <c r="AV178" s="785"/>
      <c r="AW178" s="785"/>
      <c r="AX178" s="785"/>
      <c r="AY178" s="785"/>
      <c r="AZ178" s="785"/>
      <c r="BA178" s="785"/>
      <c r="BB178" s="785"/>
      <c r="BC178" s="785"/>
      <c r="BD178" s="785"/>
      <c r="BE178" s="785"/>
      <c r="BF178" s="785"/>
      <c r="BG178" s="785"/>
      <c r="BH178" s="785"/>
      <c r="BI178" s="785"/>
      <c r="BJ178" s="785"/>
      <c r="BK178" s="785"/>
      <c r="BL178" s="785"/>
      <c r="BM178" s="785"/>
      <c r="BN178" s="785"/>
      <c r="BO178" s="785"/>
      <c r="BP178" s="785"/>
      <c r="BQ178" s="785"/>
      <c r="BR178" s="785"/>
      <c r="BS178" s="785"/>
      <c r="BT178" s="785"/>
    </row>
    <row r="179" spans="1:72">
      <c r="A179" s="785" t="s">
        <v>508</v>
      </c>
      <c r="B179" s="785">
        <v>7.1</v>
      </c>
      <c r="C179" s="785">
        <v>9.09</v>
      </c>
      <c r="D179" s="785">
        <v>4.2</v>
      </c>
      <c r="E179" s="785">
        <v>4.99</v>
      </c>
      <c r="F179" s="785">
        <v>6.07</v>
      </c>
      <c r="G179" s="785">
        <v>6.53</v>
      </c>
      <c r="H179" s="785">
        <v>6.4</v>
      </c>
      <c r="I179" s="785">
        <v>6.47</v>
      </c>
      <c r="J179" s="785">
        <v>6.77</v>
      </c>
      <c r="K179" s="785">
        <v>6.99</v>
      </c>
      <c r="L179" s="785">
        <v>7.13</v>
      </c>
      <c r="M179" s="785">
        <v>7.32</v>
      </c>
      <c r="N179" s="785">
        <v>7.53</v>
      </c>
      <c r="O179" s="785">
        <v>7.85</v>
      </c>
      <c r="P179" s="785">
        <v>8.1300000000000008</v>
      </c>
      <c r="Q179" s="785">
        <v>8.5399999999999991</v>
      </c>
      <c r="R179" s="785">
        <v>8.7799999999999994</v>
      </c>
      <c r="S179" s="785">
        <v>8.91</v>
      </c>
      <c r="T179" s="785">
        <v>9.17</v>
      </c>
      <c r="U179" s="785">
        <v>9.57</v>
      </c>
      <c r="V179" s="785">
        <v>9.9700000000000006</v>
      </c>
      <c r="W179" s="785">
        <v>10.51</v>
      </c>
      <c r="X179" s="785">
        <v>11.09</v>
      </c>
      <c r="Y179" s="785">
        <v>11.66</v>
      </c>
      <c r="Z179" s="785">
        <v>12.38</v>
      </c>
      <c r="AA179" s="785">
        <v>12.84</v>
      </c>
      <c r="AB179" s="785">
        <v>13.16</v>
      </c>
      <c r="AC179" s="785">
        <v>13.75</v>
      </c>
      <c r="AD179" s="785">
        <v>14.22</v>
      </c>
      <c r="AE179" s="819">
        <v>1.7000000000000001E-2</v>
      </c>
      <c r="AF179" s="785"/>
      <c r="AG179" s="785"/>
      <c r="AH179" s="785"/>
      <c r="AI179" s="785"/>
      <c r="AJ179" s="785"/>
      <c r="AK179" s="785"/>
      <c r="AL179" s="785"/>
      <c r="AM179" s="785"/>
      <c r="AN179" s="785"/>
      <c r="AO179" s="785"/>
      <c r="AP179" s="785"/>
      <c r="AQ179" s="785"/>
      <c r="AR179" s="785"/>
      <c r="AS179" s="785"/>
      <c r="AT179" s="785"/>
      <c r="AU179" s="785"/>
      <c r="AV179" s="785"/>
      <c r="AW179" s="785"/>
      <c r="AX179" s="785"/>
      <c r="AY179" s="785"/>
      <c r="AZ179" s="785"/>
      <c r="BA179" s="785"/>
      <c r="BB179" s="785"/>
      <c r="BC179" s="785"/>
      <c r="BD179" s="785"/>
      <c r="BE179" s="785"/>
      <c r="BF179" s="785"/>
      <c r="BG179" s="785"/>
      <c r="BH179" s="785"/>
      <c r="BI179" s="785"/>
      <c r="BJ179" s="785"/>
      <c r="BK179" s="785"/>
      <c r="BL179" s="785"/>
      <c r="BM179" s="785"/>
      <c r="BN179" s="785"/>
      <c r="BO179" s="785"/>
      <c r="BP179" s="785"/>
      <c r="BQ179" s="785"/>
      <c r="BR179" s="785"/>
      <c r="BS179" s="785"/>
      <c r="BT179" s="785"/>
    </row>
    <row r="180" spans="1:72">
      <c r="A180" s="785" t="s">
        <v>622</v>
      </c>
      <c r="B180" s="785">
        <v>1.76</v>
      </c>
      <c r="C180" s="785">
        <v>2.0499999999999998</v>
      </c>
      <c r="D180" s="785">
        <v>2.1800000000000002</v>
      </c>
      <c r="E180" s="785">
        <v>2.0499999999999998</v>
      </c>
      <c r="F180" s="785">
        <v>2.0699999999999998</v>
      </c>
      <c r="G180" s="785">
        <v>2.1</v>
      </c>
      <c r="H180" s="785">
        <v>2.15</v>
      </c>
      <c r="I180" s="785">
        <v>2.19</v>
      </c>
      <c r="J180" s="785">
        <v>2.2400000000000002</v>
      </c>
      <c r="K180" s="785">
        <v>2.2599999999999998</v>
      </c>
      <c r="L180" s="785">
        <v>2.31</v>
      </c>
      <c r="M180" s="785">
        <v>2.34</v>
      </c>
      <c r="N180" s="785">
        <v>2.38</v>
      </c>
      <c r="O180" s="785">
        <v>2.42</v>
      </c>
      <c r="P180" s="785">
        <v>2.4700000000000002</v>
      </c>
      <c r="Q180" s="785">
        <v>2.54</v>
      </c>
      <c r="R180" s="785">
        <v>2.59</v>
      </c>
      <c r="S180" s="785">
        <v>2.65</v>
      </c>
      <c r="T180" s="785">
        <v>2.69</v>
      </c>
      <c r="U180" s="785">
        <v>2.77</v>
      </c>
      <c r="V180" s="785">
        <v>2.82</v>
      </c>
      <c r="W180" s="785">
        <v>2.9</v>
      </c>
      <c r="X180" s="785">
        <v>2.98</v>
      </c>
      <c r="Y180" s="785">
        <v>3.06</v>
      </c>
      <c r="Z180" s="785">
        <v>3.15</v>
      </c>
      <c r="AA180" s="785">
        <v>3.23</v>
      </c>
      <c r="AB180" s="785">
        <v>3.32</v>
      </c>
      <c r="AC180" s="785">
        <v>3.41</v>
      </c>
      <c r="AD180" s="785">
        <v>3.51</v>
      </c>
      <c r="AE180" s="819">
        <v>0.02</v>
      </c>
      <c r="AF180" s="785"/>
      <c r="AG180" s="785"/>
      <c r="AH180" s="785"/>
      <c r="AI180" s="785"/>
      <c r="AJ180" s="785"/>
      <c r="AK180" s="785"/>
      <c r="AL180" s="785"/>
      <c r="AM180" s="785"/>
      <c r="AN180" s="785"/>
      <c r="AO180" s="785"/>
      <c r="AP180" s="785"/>
      <c r="AQ180" s="785"/>
      <c r="AR180" s="785"/>
      <c r="AS180" s="785"/>
      <c r="AT180" s="785"/>
      <c r="AU180" s="785"/>
      <c r="AV180" s="785"/>
      <c r="AW180" s="785"/>
      <c r="AX180" s="785"/>
      <c r="AY180" s="785"/>
      <c r="AZ180" s="785"/>
      <c r="BA180" s="785"/>
      <c r="BB180" s="785"/>
      <c r="BC180" s="785"/>
      <c r="BD180" s="785"/>
      <c r="BE180" s="785"/>
      <c r="BF180" s="785"/>
      <c r="BG180" s="785"/>
      <c r="BH180" s="785"/>
      <c r="BI180" s="785"/>
      <c r="BJ180" s="785"/>
      <c r="BK180" s="785"/>
      <c r="BL180" s="785"/>
      <c r="BM180" s="785"/>
      <c r="BN180" s="785"/>
      <c r="BO180" s="785"/>
      <c r="BP180" s="785"/>
      <c r="BQ180" s="785"/>
      <c r="BR180" s="785"/>
      <c r="BS180" s="785"/>
      <c r="BT180" s="785"/>
    </row>
    <row r="181" spans="1:72">
      <c r="A181" s="785"/>
      <c r="B181" s="785"/>
      <c r="C181" s="785"/>
      <c r="D181" s="785"/>
      <c r="E181" s="785"/>
      <c r="F181" s="785"/>
      <c r="G181" s="785"/>
      <c r="H181" s="785"/>
      <c r="I181" s="785"/>
      <c r="J181" s="785"/>
      <c r="K181" s="785"/>
      <c r="L181" s="785"/>
      <c r="M181" s="785"/>
      <c r="N181" s="785"/>
      <c r="O181" s="785"/>
      <c r="P181" s="785"/>
      <c r="Q181" s="785"/>
      <c r="R181" s="785"/>
      <c r="S181" s="785"/>
      <c r="T181" s="785"/>
      <c r="U181" s="785"/>
      <c r="V181" s="785"/>
      <c r="W181" s="785"/>
      <c r="X181" s="785"/>
      <c r="Y181" s="785"/>
      <c r="Z181" s="785"/>
      <c r="AA181" s="785"/>
      <c r="AB181" s="785"/>
      <c r="AC181" s="785"/>
      <c r="AD181" s="785"/>
      <c r="AE181" s="785"/>
      <c r="AF181" s="785"/>
      <c r="AG181" s="785"/>
      <c r="AH181" s="785"/>
      <c r="AI181" s="785"/>
      <c r="AJ181" s="785"/>
      <c r="AK181" s="785"/>
      <c r="AL181" s="785"/>
      <c r="AM181" s="785"/>
      <c r="AN181" s="785"/>
      <c r="AO181" s="785"/>
      <c r="AP181" s="785"/>
      <c r="AQ181" s="785"/>
      <c r="AR181" s="785"/>
      <c r="AS181" s="785"/>
      <c r="AT181" s="785"/>
      <c r="AU181" s="785"/>
      <c r="AV181" s="785"/>
      <c r="AW181" s="785"/>
      <c r="AX181" s="785"/>
      <c r="AY181" s="785"/>
      <c r="AZ181" s="785"/>
      <c r="BA181" s="785"/>
      <c r="BB181" s="785"/>
      <c r="BC181" s="785"/>
      <c r="BD181" s="785"/>
      <c r="BE181" s="785"/>
      <c r="BF181" s="785"/>
      <c r="BG181" s="785"/>
      <c r="BH181" s="785"/>
      <c r="BI181" s="785"/>
      <c r="BJ181" s="785"/>
      <c r="BK181" s="785"/>
      <c r="BL181" s="785"/>
      <c r="BM181" s="785"/>
      <c r="BN181" s="785"/>
      <c r="BO181" s="785"/>
      <c r="BP181" s="785"/>
      <c r="BQ181" s="785"/>
      <c r="BR181" s="785"/>
      <c r="BS181" s="785"/>
      <c r="BT181" s="785"/>
    </row>
    <row r="182" spans="1:72">
      <c r="A182" s="785" t="s">
        <v>623</v>
      </c>
      <c r="B182" s="785"/>
      <c r="C182" s="785"/>
      <c r="D182" s="785"/>
      <c r="E182" s="785"/>
      <c r="F182" s="785"/>
      <c r="G182" s="785"/>
      <c r="H182" s="785"/>
      <c r="I182" s="785"/>
      <c r="J182" s="785"/>
      <c r="K182" s="785"/>
      <c r="L182" s="785"/>
      <c r="M182" s="785"/>
      <c r="N182" s="785"/>
      <c r="O182" s="785"/>
      <c r="P182" s="785"/>
      <c r="Q182" s="785"/>
      <c r="R182" s="785"/>
      <c r="S182" s="785"/>
      <c r="T182" s="785"/>
      <c r="U182" s="785"/>
      <c r="V182" s="785"/>
      <c r="W182" s="785"/>
      <c r="X182" s="785"/>
      <c r="Y182" s="785"/>
      <c r="Z182" s="785"/>
      <c r="AA182" s="785"/>
      <c r="AB182" s="785"/>
      <c r="AC182" s="785"/>
      <c r="AD182" s="785"/>
      <c r="AE182" s="785"/>
      <c r="AF182" s="785"/>
      <c r="AG182" s="785"/>
      <c r="AH182" s="785"/>
      <c r="AI182" s="785"/>
      <c r="AJ182" s="785"/>
      <c r="AK182" s="785"/>
      <c r="AL182" s="785"/>
      <c r="AM182" s="785"/>
      <c r="AN182" s="785"/>
      <c r="AO182" s="785"/>
      <c r="AP182" s="785"/>
      <c r="AQ182" s="785"/>
      <c r="AR182" s="785"/>
      <c r="AS182" s="785"/>
      <c r="AT182" s="785"/>
      <c r="AU182" s="785"/>
      <c r="AV182" s="785"/>
      <c r="AW182" s="785"/>
      <c r="AX182" s="785"/>
      <c r="AY182" s="785"/>
      <c r="AZ182" s="785"/>
      <c r="BA182" s="785"/>
      <c r="BB182" s="785"/>
      <c r="BC182" s="785"/>
      <c r="BD182" s="785"/>
      <c r="BE182" s="785"/>
      <c r="BF182" s="785"/>
      <c r="BG182" s="785"/>
      <c r="BH182" s="785"/>
      <c r="BI182" s="785"/>
      <c r="BJ182" s="785"/>
      <c r="BK182" s="785"/>
      <c r="BL182" s="785"/>
      <c r="BM182" s="785"/>
      <c r="BN182" s="785"/>
      <c r="BO182" s="785"/>
      <c r="BP182" s="785"/>
      <c r="BQ182" s="785"/>
      <c r="BR182" s="785"/>
      <c r="BS182" s="785"/>
      <c r="BT182" s="785"/>
    </row>
    <row r="183" spans="1:72">
      <c r="A183" s="785" t="s">
        <v>607</v>
      </c>
      <c r="B183" s="785">
        <v>18.53</v>
      </c>
      <c r="C183" s="785">
        <v>20.190000000000001</v>
      </c>
      <c r="D183" s="785">
        <v>18.64</v>
      </c>
      <c r="E183" s="785">
        <v>17.36</v>
      </c>
      <c r="F183" s="785">
        <v>17.61</v>
      </c>
      <c r="G183" s="785">
        <v>18.920000000000002</v>
      </c>
      <c r="H183" s="785">
        <v>20.43</v>
      </c>
      <c r="I183" s="785">
        <v>21.72</v>
      </c>
      <c r="J183" s="785">
        <v>22.62</v>
      </c>
      <c r="K183" s="785">
        <v>23.64</v>
      </c>
      <c r="L183" s="785">
        <v>24.56</v>
      </c>
      <c r="M183" s="785">
        <v>25.55</v>
      </c>
      <c r="N183" s="785">
        <v>26.28</v>
      </c>
      <c r="O183" s="785">
        <v>27.06</v>
      </c>
      <c r="P183" s="785">
        <v>27.91</v>
      </c>
      <c r="Q183" s="785">
        <v>28.78</v>
      </c>
      <c r="R183" s="785">
        <v>29.75</v>
      </c>
      <c r="S183" s="785">
        <v>30.7</v>
      </c>
      <c r="T183" s="785">
        <v>31.68</v>
      </c>
      <c r="U183" s="785">
        <v>32.54</v>
      </c>
      <c r="V183" s="785">
        <v>33.6</v>
      </c>
      <c r="W183" s="785">
        <v>34.69</v>
      </c>
      <c r="X183" s="785">
        <v>35.950000000000003</v>
      </c>
      <c r="Y183" s="785">
        <v>37.049999999999997</v>
      </c>
      <c r="Z183" s="785">
        <v>38.44</v>
      </c>
      <c r="AA183" s="785">
        <v>39.83</v>
      </c>
      <c r="AB183" s="785">
        <v>41.29</v>
      </c>
      <c r="AC183" s="785">
        <v>42.77</v>
      </c>
      <c r="AD183" s="785">
        <v>44.32</v>
      </c>
      <c r="AE183" s="819">
        <v>0.03</v>
      </c>
      <c r="AF183" s="785"/>
      <c r="AG183" s="785"/>
      <c r="AH183" s="785"/>
      <c r="AI183" s="785"/>
      <c r="AJ183" s="785"/>
      <c r="AK183" s="785"/>
      <c r="AL183" s="785"/>
      <c r="AM183" s="785"/>
      <c r="AN183" s="785"/>
      <c r="AO183" s="785"/>
      <c r="AP183" s="785"/>
      <c r="AQ183" s="785"/>
      <c r="AR183" s="785"/>
      <c r="AS183" s="785"/>
      <c r="AT183" s="785"/>
      <c r="AU183" s="785"/>
      <c r="AV183" s="785"/>
      <c r="AW183" s="785"/>
      <c r="AX183" s="785"/>
      <c r="AY183" s="785"/>
      <c r="AZ183" s="785"/>
      <c r="BA183" s="785"/>
      <c r="BB183" s="785"/>
      <c r="BC183" s="785"/>
      <c r="BD183" s="785"/>
      <c r="BE183" s="785"/>
      <c r="BF183" s="785"/>
      <c r="BG183" s="785"/>
      <c r="BH183" s="785"/>
      <c r="BI183" s="785"/>
      <c r="BJ183" s="785"/>
      <c r="BK183" s="785"/>
      <c r="BL183" s="785"/>
      <c r="BM183" s="785"/>
      <c r="BN183" s="785"/>
      <c r="BO183" s="785"/>
      <c r="BP183" s="785"/>
      <c r="BQ183" s="785"/>
      <c r="BR183" s="785"/>
      <c r="BS183" s="785"/>
      <c r="BT183" s="785"/>
    </row>
    <row r="184" spans="1:72">
      <c r="A184" s="785" t="s">
        <v>616</v>
      </c>
      <c r="B184" s="785">
        <v>26.83</v>
      </c>
      <c r="C184" s="785">
        <v>26.93</v>
      </c>
      <c r="D184" s="785">
        <v>23.64</v>
      </c>
      <c r="E184" s="785">
        <v>21.26</v>
      </c>
      <c r="F184" s="785">
        <v>21.89</v>
      </c>
      <c r="G184" s="785">
        <v>23.43</v>
      </c>
      <c r="H184" s="785">
        <v>26.07</v>
      </c>
      <c r="I184" s="785">
        <v>27.64</v>
      </c>
      <c r="J184" s="785">
        <v>28.47</v>
      </c>
      <c r="K184" s="785">
        <v>28.45</v>
      </c>
      <c r="L184" s="785">
        <v>29.92</v>
      </c>
      <c r="M184" s="785">
        <v>31.23</v>
      </c>
      <c r="N184" s="785">
        <v>31.97</v>
      </c>
      <c r="O184" s="785">
        <v>32.94</v>
      </c>
      <c r="P184" s="785">
        <v>34.090000000000003</v>
      </c>
      <c r="Q184" s="785">
        <v>35.479999999999997</v>
      </c>
      <c r="R184" s="785">
        <v>36.880000000000003</v>
      </c>
      <c r="S184" s="785">
        <v>37.979999999999997</v>
      </c>
      <c r="T184" s="785">
        <v>39.17</v>
      </c>
      <c r="U184" s="785">
        <v>40.479999999999997</v>
      </c>
      <c r="V184" s="785">
        <v>41.72</v>
      </c>
      <c r="W184" s="785">
        <v>43.4</v>
      </c>
      <c r="X184" s="785">
        <v>44.96</v>
      </c>
      <c r="Y184" s="785">
        <v>46.25</v>
      </c>
      <c r="Z184" s="785">
        <v>47.62</v>
      </c>
      <c r="AA184" s="785">
        <v>49.36</v>
      </c>
      <c r="AB184" s="785">
        <v>50.75</v>
      </c>
      <c r="AC184" s="785">
        <v>52.29</v>
      </c>
      <c r="AD184" s="785">
        <v>54.17</v>
      </c>
      <c r="AE184" s="819">
        <v>2.5999999999999999E-2</v>
      </c>
      <c r="AF184" s="785"/>
      <c r="AG184" s="785"/>
      <c r="AH184" s="785"/>
      <c r="AI184" s="785"/>
      <c r="AJ184" s="785"/>
      <c r="AK184" s="785"/>
      <c r="AL184" s="785"/>
      <c r="AM184" s="785"/>
      <c r="AN184" s="785"/>
      <c r="AO184" s="785"/>
      <c r="AP184" s="785"/>
      <c r="AQ184" s="785"/>
      <c r="AR184" s="785"/>
      <c r="AS184" s="785"/>
      <c r="AT184" s="785"/>
      <c r="AU184" s="785"/>
      <c r="AV184" s="785"/>
      <c r="AW184" s="785"/>
      <c r="AX184" s="785"/>
      <c r="AY184" s="785"/>
      <c r="AZ184" s="785"/>
      <c r="BA184" s="785"/>
      <c r="BB184" s="785"/>
      <c r="BC184" s="785"/>
      <c r="BD184" s="785"/>
      <c r="BE184" s="785"/>
      <c r="BF184" s="785"/>
      <c r="BG184" s="785"/>
      <c r="BH184" s="785"/>
      <c r="BI184" s="785"/>
      <c r="BJ184" s="785"/>
      <c r="BK184" s="785"/>
      <c r="BL184" s="785"/>
      <c r="BM184" s="785"/>
      <c r="BN184" s="785"/>
      <c r="BO184" s="785"/>
      <c r="BP184" s="785"/>
      <c r="BQ184" s="785"/>
      <c r="BR184" s="785"/>
      <c r="BS184" s="785"/>
      <c r="BT184" s="785"/>
    </row>
    <row r="185" spans="1:72">
      <c r="A185" s="785" t="s">
        <v>617</v>
      </c>
      <c r="B185" s="785">
        <v>23.03</v>
      </c>
      <c r="C185" s="785">
        <v>26.54</v>
      </c>
      <c r="D185" s="785">
        <v>19.440000000000001</v>
      </c>
      <c r="E185" s="785">
        <v>21.17</v>
      </c>
      <c r="F185" s="785">
        <v>21.79</v>
      </c>
      <c r="G185" s="785">
        <v>23.32</v>
      </c>
      <c r="H185" s="785">
        <v>25.87</v>
      </c>
      <c r="I185" s="785">
        <v>27.33</v>
      </c>
      <c r="J185" s="785">
        <v>28.27</v>
      </c>
      <c r="K185" s="785">
        <v>29.42</v>
      </c>
      <c r="L185" s="785">
        <v>30.58</v>
      </c>
      <c r="M185" s="785">
        <v>31.64</v>
      </c>
      <c r="N185" s="785">
        <v>32.6</v>
      </c>
      <c r="O185" s="785">
        <v>33.71</v>
      </c>
      <c r="P185" s="785">
        <v>34.71</v>
      </c>
      <c r="Q185" s="785">
        <v>35.93</v>
      </c>
      <c r="R185" s="785">
        <v>37.020000000000003</v>
      </c>
      <c r="S185" s="785">
        <v>37.950000000000003</v>
      </c>
      <c r="T185" s="785">
        <v>39.17</v>
      </c>
      <c r="U185" s="785">
        <v>40.43</v>
      </c>
      <c r="V185" s="785">
        <v>41.68</v>
      </c>
      <c r="W185" s="785">
        <v>43.21</v>
      </c>
      <c r="X185" s="785">
        <v>44.69</v>
      </c>
      <c r="Y185" s="785">
        <v>45.9</v>
      </c>
      <c r="Z185" s="785">
        <v>47.46</v>
      </c>
      <c r="AA185" s="785">
        <v>49.15</v>
      </c>
      <c r="AB185" s="785">
        <v>50.65</v>
      </c>
      <c r="AC185" s="785">
        <v>52.35</v>
      </c>
      <c r="AD185" s="785">
        <v>54.32</v>
      </c>
      <c r="AE185" s="819">
        <v>2.7E-2</v>
      </c>
      <c r="AF185" s="785"/>
      <c r="AG185" s="785"/>
      <c r="AH185" s="785"/>
      <c r="AI185" s="785"/>
      <c r="AJ185" s="785"/>
      <c r="AK185" s="785"/>
      <c r="AL185" s="785"/>
      <c r="AM185" s="785"/>
      <c r="AN185" s="785"/>
      <c r="AO185" s="785"/>
      <c r="AP185" s="785"/>
      <c r="AQ185" s="785"/>
      <c r="AR185" s="785"/>
      <c r="AS185" s="785"/>
      <c r="AT185" s="785"/>
      <c r="AU185" s="785"/>
      <c r="AV185" s="785"/>
      <c r="AW185" s="785"/>
      <c r="AX185" s="785"/>
      <c r="AY185" s="785"/>
      <c r="AZ185" s="785"/>
      <c r="BA185" s="785"/>
      <c r="BB185" s="785"/>
      <c r="BC185" s="785"/>
      <c r="BD185" s="785"/>
      <c r="BE185" s="785"/>
      <c r="BF185" s="785"/>
      <c r="BG185" s="785"/>
      <c r="BH185" s="785"/>
      <c r="BI185" s="785"/>
      <c r="BJ185" s="785"/>
      <c r="BK185" s="785"/>
      <c r="BL185" s="785"/>
      <c r="BM185" s="785"/>
      <c r="BN185" s="785"/>
      <c r="BO185" s="785"/>
      <c r="BP185" s="785"/>
      <c r="BQ185" s="785"/>
      <c r="BR185" s="785"/>
      <c r="BS185" s="785"/>
      <c r="BT185" s="785"/>
    </row>
    <row r="186" spans="1:72">
      <c r="A186" s="785" t="s">
        <v>624</v>
      </c>
      <c r="B186" s="785">
        <v>15.42</v>
      </c>
      <c r="C186" s="785">
        <v>22.71</v>
      </c>
      <c r="D186" s="785">
        <v>12.92</v>
      </c>
      <c r="E186" s="785">
        <v>15.23</v>
      </c>
      <c r="F186" s="785">
        <v>15.82</v>
      </c>
      <c r="G186" s="785">
        <v>17.510000000000002</v>
      </c>
      <c r="H186" s="785">
        <v>19.05</v>
      </c>
      <c r="I186" s="785">
        <v>20.23</v>
      </c>
      <c r="J186" s="785">
        <v>21.21</v>
      </c>
      <c r="K186" s="785">
        <v>22.42</v>
      </c>
      <c r="L186" s="785">
        <v>23.58</v>
      </c>
      <c r="M186" s="785">
        <v>24.67</v>
      </c>
      <c r="N186" s="785">
        <v>25.58</v>
      </c>
      <c r="O186" s="785">
        <v>26.51</v>
      </c>
      <c r="P186" s="785">
        <v>27.27</v>
      </c>
      <c r="Q186" s="785">
        <v>28.18</v>
      </c>
      <c r="R186" s="785">
        <v>29.2</v>
      </c>
      <c r="S186" s="785">
        <v>30.07</v>
      </c>
      <c r="T186" s="785">
        <v>31.1</v>
      </c>
      <c r="U186" s="785">
        <v>32.130000000000003</v>
      </c>
      <c r="V186" s="785">
        <v>33.21</v>
      </c>
      <c r="W186" s="785">
        <v>34.54</v>
      </c>
      <c r="X186" s="785">
        <v>35.83</v>
      </c>
      <c r="Y186" s="785">
        <v>36.99</v>
      </c>
      <c r="Z186" s="785">
        <v>38.42</v>
      </c>
      <c r="AA186" s="785">
        <v>39.92</v>
      </c>
      <c r="AB186" s="785">
        <v>41.32</v>
      </c>
      <c r="AC186" s="785">
        <v>42.87</v>
      </c>
      <c r="AD186" s="785">
        <v>44.51</v>
      </c>
      <c r="AE186" s="819">
        <v>2.5000000000000001E-2</v>
      </c>
      <c r="AF186" s="785"/>
      <c r="AG186" s="785"/>
      <c r="AH186" s="785"/>
      <c r="AI186" s="785"/>
      <c r="AJ186" s="785"/>
      <c r="AK186" s="785"/>
      <c r="AL186" s="785"/>
      <c r="AM186" s="785"/>
      <c r="AN186" s="785"/>
      <c r="AO186" s="785"/>
      <c r="AP186" s="785"/>
      <c r="AQ186" s="785"/>
      <c r="AR186" s="785"/>
      <c r="AS186" s="785"/>
      <c r="AT186" s="785"/>
      <c r="AU186" s="785"/>
      <c r="AV186" s="785"/>
      <c r="AW186" s="785"/>
      <c r="AX186" s="785"/>
      <c r="AY186" s="785"/>
      <c r="AZ186" s="785"/>
      <c r="BA186" s="785"/>
      <c r="BB186" s="785"/>
      <c r="BC186" s="785"/>
      <c r="BD186" s="785"/>
      <c r="BE186" s="785"/>
      <c r="BF186" s="785"/>
      <c r="BG186" s="785"/>
      <c r="BH186" s="785"/>
      <c r="BI186" s="785"/>
      <c r="BJ186" s="785"/>
      <c r="BK186" s="785"/>
      <c r="BL186" s="785"/>
      <c r="BM186" s="785"/>
      <c r="BN186" s="785"/>
      <c r="BO186" s="785"/>
      <c r="BP186" s="785"/>
      <c r="BQ186" s="785"/>
      <c r="BR186" s="785"/>
      <c r="BS186" s="785"/>
      <c r="BT186" s="785"/>
    </row>
    <row r="187" spans="1:72">
      <c r="A187" s="785" t="s">
        <v>608</v>
      </c>
      <c r="B187" s="785">
        <v>20.260000000000002</v>
      </c>
      <c r="C187" s="785">
        <v>26.27</v>
      </c>
      <c r="D187" s="785">
        <v>17.73</v>
      </c>
      <c r="E187" s="785">
        <v>18.260000000000002</v>
      </c>
      <c r="F187" s="785">
        <v>18.940000000000001</v>
      </c>
      <c r="G187" s="785">
        <v>20.58</v>
      </c>
      <c r="H187" s="785">
        <v>22.21</v>
      </c>
      <c r="I187" s="785">
        <v>23.39</v>
      </c>
      <c r="J187" s="785">
        <v>24.55</v>
      </c>
      <c r="K187" s="785">
        <v>25.86</v>
      </c>
      <c r="L187" s="785">
        <v>27.09</v>
      </c>
      <c r="M187" s="785">
        <v>28.33</v>
      </c>
      <c r="N187" s="785">
        <v>29.33</v>
      </c>
      <c r="O187" s="785">
        <v>30.3</v>
      </c>
      <c r="P187" s="785">
        <v>31.19</v>
      </c>
      <c r="Q187" s="785">
        <v>32.29</v>
      </c>
      <c r="R187" s="785">
        <v>33.22</v>
      </c>
      <c r="S187" s="785">
        <v>34.04</v>
      </c>
      <c r="T187" s="785">
        <v>35.14</v>
      </c>
      <c r="U187" s="785">
        <v>36.19</v>
      </c>
      <c r="V187" s="785">
        <v>37.31</v>
      </c>
      <c r="W187" s="785">
        <v>38.6</v>
      </c>
      <c r="X187" s="785">
        <v>40.04</v>
      </c>
      <c r="Y187" s="785">
        <v>41.2</v>
      </c>
      <c r="Z187" s="785">
        <v>42.78</v>
      </c>
      <c r="AA187" s="785">
        <v>44.38</v>
      </c>
      <c r="AB187" s="785">
        <v>45.87</v>
      </c>
      <c r="AC187" s="785">
        <v>47.52</v>
      </c>
      <c r="AD187" s="785">
        <v>49.31</v>
      </c>
      <c r="AE187" s="819">
        <v>2.4E-2</v>
      </c>
      <c r="AF187" s="785"/>
      <c r="AG187" s="785"/>
      <c r="AH187" s="785"/>
      <c r="AI187" s="785"/>
      <c r="AJ187" s="785"/>
      <c r="AK187" s="785"/>
      <c r="AL187" s="785"/>
      <c r="AM187" s="785"/>
      <c r="AN187" s="785"/>
      <c r="AO187" s="785"/>
      <c r="AP187" s="785"/>
      <c r="AQ187" s="785"/>
      <c r="AR187" s="785"/>
      <c r="AS187" s="785"/>
      <c r="AT187" s="785"/>
      <c r="AU187" s="785"/>
      <c r="AV187" s="785"/>
      <c r="AW187" s="785"/>
      <c r="AX187" s="785"/>
      <c r="AY187" s="785"/>
      <c r="AZ187" s="785"/>
      <c r="BA187" s="785"/>
      <c r="BB187" s="785"/>
      <c r="BC187" s="785"/>
      <c r="BD187" s="785"/>
      <c r="BE187" s="785"/>
      <c r="BF187" s="785"/>
      <c r="BG187" s="785"/>
      <c r="BH187" s="785"/>
      <c r="BI187" s="785"/>
      <c r="BJ187" s="785"/>
      <c r="BK187" s="785"/>
      <c r="BL187" s="785"/>
      <c r="BM187" s="785"/>
      <c r="BN187" s="785"/>
      <c r="BO187" s="785"/>
      <c r="BP187" s="785"/>
      <c r="BQ187" s="785"/>
      <c r="BR187" s="785"/>
      <c r="BS187" s="785"/>
      <c r="BT187" s="785"/>
    </row>
    <row r="188" spans="1:72">
      <c r="A188" s="785" t="s">
        <v>609</v>
      </c>
      <c r="B188" s="785">
        <v>8.8699999999999992</v>
      </c>
      <c r="C188" s="785">
        <v>14.77</v>
      </c>
      <c r="D188" s="785">
        <v>9.1</v>
      </c>
      <c r="E188" s="785">
        <v>11.22</v>
      </c>
      <c r="F188" s="785">
        <v>11.49</v>
      </c>
      <c r="G188" s="785">
        <v>12.89</v>
      </c>
      <c r="H188" s="785">
        <v>14.14</v>
      </c>
      <c r="I188" s="785">
        <v>15.19</v>
      </c>
      <c r="J188" s="785">
        <v>15.89</v>
      </c>
      <c r="K188" s="785">
        <v>16.600000000000001</v>
      </c>
      <c r="L188" s="785">
        <v>17.5</v>
      </c>
      <c r="M188" s="785">
        <v>18.3</v>
      </c>
      <c r="N188" s="785">
        <v>18.89</v>
      </c>
      <c r="O188" s="785">
        <v>19.329999999999998</v>
      </c>
      <c r="P188" s="785">
        <v>20.03</v>
      </c>
      <c r="Q188" s="785">
        <v>20.64</v>
      </c>
      <c r="R188" s="785">
        <v>21.36</v>
      </c>
      <c r="S188" s="785">
        <v>22.08</v>
      </c>
      <c r="T188" s="785">
        <v>22.8</v>
      </c>
      <c r="U188" s="785">
        <v>23.35</v>
      </c>
      <c r="V188" s="785">
        <v>24.24</v>
      </c>
      <c r="W188" s="785">
        <v>25.11</v>
      </c>
      <c r="X188" s="785">
        <v>26.08</v>
      </c>
      <c r="Y188" s="785">
        <v>27.11</v>
      </c>
      <c r="Z188" s="785">
        <v>28.23</v>
      </c>
      <c r="AA188" s="785">
        <v>29.29</v>
      </c>
      <c r="AB188" s="785">
        <v>30.29</v>
      </c>
      <c r="AC188" s="785">
        <v>31.46</v>
      </c>
      <c r="AD188" s="785">
        <v>32.700000000000003</v>
      </c>
      <c r="AE188" s="819">
        <v>0.03</v>
      </c>
      <c r="AF188" s="785"/>
      <c r="AG188" s="785"/>
      <c r="AH188" s="785"/>
      <c r="AI188" s="785"/>
      <c r="AJ188" s="785"/>
      <c r="AK188" s="785"/>
      <c r="AL188" s="785"/>
      <c r="AM188" s="785"/>
      <c r="AN188" s="785"/>
      <c r="AO188" s="785"/>
      <c r="AP188" s="785"/>
      <c r="AQ188" s="785"/>
      <c r="AR188" s="785"/>
      <c r="AS188" s="785"/>
      <c r="AT188" s="785"/>
      <c r="AU188" s="785"/>
      <c r="AV188" s="785"/>
      <c r="AW188" s="785"/>
      <c r="AX188" s="785"/>
      <c r="AY188" s="785"/>
      <c r="AZ188" s="785"/>
      <c r="BA188" s="785"/>
      <c r="BB188" s="785"/>
      <c r="BC188" s="785"/>
      <c r="BD188" s="785"/>
      <c r="BE188" s="785"/>
      <c r="BF188" s="785"/>
      <c r="BG188" s="785"/>
      <c r="BH188" s="785"/>
      <c r="BI188" s="785"/>
      <c r="BJ188" s="785"/>
      <c r="BK188" s="785"/>
      <c r="BL188" s="785"/>
      <c r="BM188" s="785"/>
      <c r="BN188" s="785"/>
      <c r="BO188" s="785"/>
      <c r="BP188" s="785"/>
      <c r="BQ188" s="785"/>
      <c r="BR188" s="785"/>
      <c r="BS188" s="785"/>
      <c r="BT188" s="785"/>
    </row>
    <row r="189" spans="1:72">
      <c r="A189" s="785" t="s">
        <v>508</v>
      </c>
      <c r="B189" s="785">
        <v>8.99</v>
      </c>
      <c r="C189" s="785">
        <v>10.53</v>
      </c>
      <c r="D189" s="785">
        <v>6.67</v>
      </c>
      <c r="E189" s="785">
        <v>7.08</v>
      </c>
      <c r="F189" s="785">
        <v>8.2100000000000009</v>
      </c>
      <c r="G189" s="785">
        <v>8.68</v>
      </c>
      <c r="H189" s="785">
        <v>8.67</v>
      </c>
      <c r="I189" s="785">
        <v>8.7799999999999994</v>
      </c>
      <c r="J189" s="785">
        <v>9.07</v>
      </c>
      <c r="K189" s="785">
        <v>9.33</v>
      </c>
      <c r="L189" s="785">
        <v>9.5</v>
      </c>
      <c r="M189" s="785">
        <v>9.73</v>
      </c>
      <c r="N189" s="785">
        <v>9.98</v>
      </c>
      <c r="O189" s="785">
        <v>10.32</v>
      </c>
      <c r="P189" s="785">
        <v>10.67</v>
      </c>
      <c r="Q189" s="785">
        <v>11.14</v>
      </c>
      <c r="R189" s="785">
        <v>11.42</v>
      </c>
      <c r="S189" s="785">
        <v>11.55</v>
      </c>
      <c r="T189" s="785">
        <v>11.88</v>
      </c>
      <c r="U189" s="785">
        <v>12.31</v>
      </c>
      <c r="V189" s="785">
        <v>12.79</v>
      </c>
      <c r="W189" s="785">
        <v>13.39</v>
      </c>
      <c r="X189" s="785">
        <v>14.02</v>
      </c>
      <c r="Y189" s="785">
        <v>14.7</v>
      </c>
      <c r="Z189" s="785">
        <v>15.51</v>
      </c>
      <c r="AA189" s="785">
        <v>16.05</v>
      </c>
      <c r="AB189" s="785">
        <v>16.46</v>
      </c>
      <c r="AC189" s="785">
        <v>17.12</v>
      </c>
      <c r="AD189" s="785">
        <v>17.71</v>
      </c>
      <c r="AE189" s="819">
        <v>1.9E-2</v>
      </c>
      <c r="AF189" s="785"/>
      <c r="AG189" s="785"/>
      <c r="AH189" s="785"/>
      <c r="AI189" s="785"/>
      <c r="AJ189" s="785"/>
      <c r="AK189" s="785"/>
      <c r="AL189" s="785"/>
      <c r="AM189" s="785"/>
      <c r="AN189" s="785"/>
      <c r="AO189" s="785"/>
      <c r="AP189" s="785"/>
      <c r="AQ189" s="785"/>
      <c r="AR189" s="785"/>
      <c r="AS189" s="785"/>
      <c r="AT189" s="785"/>
      <c r="AU189" s="785"/>
      <c r="AV189" s="785"/>
      <c r="AW189" s="785"/>
      <c r="AX189" s="785"/>
      <c r="AY189" s="785"/>
      <c r="AZ189" s="785"/>
      <c r="BA189" s="785"/>
      <c r="BB189" s="785"/>
      <c r="BC189" s="785"/>
      <c r="BD189" s="785"/>
      <c r="BE189" s="785"/>
      <c r="BF189" s="785"/>
      <c r="BG189" s="785"/>
      <c r="BH189" s="785"/>
      <c r="BI189" s="785"/>
      <c r="BJ189" s="785"/>
      <c r="BK189" s="785"/>
      <c r="BL189" s="785"/>
      <c r="BM189" s="785"/>
      <c r="BN189" s="785"/>
      <c r="BO189" s="785"/>
      <c r="BP189" s="785"/>
      <c r="BQ189" s="785"/>
      <c r="BR189" s="785"/>
      <c r="BS189" s="785"/>
      <c r="BT189" s="785"/>
    </row>
    <row r="190" spans="1:72">
      <c r="A190" s="785" t="s">
        <v>612</v>
      </c>
      <c r="B190" s="785">
        <v>3.61</v>
      </c>
      <c r="C190" s="785">
        <v>4.49</v>
      </c>
      <c r="D190" s="785">
        <v>4.79</v>
      </c>
      <c r="E190" s="785">
        <v>4.9400000000000004</v>
      </c>
      <c r="F190" s="785">
        <v>5.07</v>
      </c>
      <c r="G190" s="785">
        <v>5.31</v>
      </c>
      <c r="H190" s="785">
        <v>5.44</v>
      </c>
      <c r="I190" s="785">
        <v>5.56</v>
      </c>
      <c r="J190" s="785">
        <v>5.66</v>
      </c>
      <c r="K190" s="785">
        <v>5.77</v>
      </c>
      <c r="L190" s="785">
        <v>5.97</v>
      </c>
      <c r="M190" s="785">
        <v>6.14</v>
      </c>
      <c r="N190" s="785">
        <v>6.34</v>
      </c>
      <c r="O190" s="785">
        <v>6.5</v>
      </c>
      <c r="P190" s="785">
        <v>6.68</v>
      </c>
      <c r="Q190" s="785">
        <v>6.84</v>
      </c>
      <c r="R190" s="785">
        <v>6.98</v>
      </c>
      <c r="S190" s="785">
        <v>7.07</v>
      </c>
      <c r="T190" s="785">
        <v>7.11</v>
      </c>
      <c r="U190" s="785">
        <v>7.15</v>
      </c>
      <c r="V190" s="785">
        <v>7.27</v>
      </c>
      <c r="W190" s="785">
        <v>7.43</v>
      </c>
      <c r="X190" s="785">
        <v>7.55</v>
      </c>
      <c r="Y190" s="785">
        <v>7.72</v>
      </c>
      <c r="Z190" s="785">
        <v>7.86</v>
      </c>
      <c r="AA190" s="785">
        <v>8.02</v>
      </c>
      <c r="AB190" s="785">
        <v>8.18</v>
      </c>
      <c r="AC190" s="785">
        <v>8.33</v>
      </c>
      <c r="AD190" s="785">
        <v>8.5</v>
      </c>
      <c r="AE190" s="819">
        <v>2.4E-2</v>
      </c>
      <c r="AF190" s="785"/>
      <c r="AG190" s="785"/>
      <c r="AH190" s="785"/>
      <c r="AI190" s="785"/>
      <c r="AJ190" s="785"/>
      <c r="AK190" s="785"/>
      <c r="AL190" s="785"/>
      <c r="AM190" s="785"/>
      <c r="AN190" s="785"/>
      <c r="AO190" s="785"/>
      <c r="AP190" s="785"/>
      <c r="AQ190" s="785"/>
      <c r="AR190" s="785"/>
      <c r="AS190" s="785"/>
      <c r="AT190" s="785"/>
      <c r="AU190" s="785"/>
      <c r="AV190" s="785"/>
      <c r="AW190" s="785"/>
      <c r="AX190" s="785"/>
      <c r="AY190" s="785"/>
      <c r="AZ190" s="785"/>
      <c r="BA190" s="785"/>
      <c r="BB190" s="785"/>
      <c r="BC190" s="785"/>
      <c r="BD190" s="785"/>
      <c r="BE190" s="785"/>
      <c r="BF190" s="785"/>
      <c r="BG190" s="785"/>
      <c r="BH190" s="785"/>
      <c r="BI190" s="785"/>
      <c r="BJ190" s="785"/>
      <c r="BK190" s="785"/>
      <c r="BL190" s="785"/>
      <c r="BM190" s="785"/>
      <c r="BN190" s="785"/>
      <c r="BO190" s="785"/>
      <c r="BP190" s="785"/>
      <c r="BQ190" s="785"/>
      <c r="BR190" s="785"/>
      <c r="BS190" s="785"/>
      <c r="BT190" s="785"/>
    </row>
    <row r="191" spans="1:72">
      <c r="A191" s="785" t="s">
        <v>625</v>
      </c>
      <c r="B191" s="785">
        <v>1.8</v>
      </c>
      <c r="C191" s="785">
        <v>2.1</v>
      </c>
      <c r="D191" s="785">
        <v>2.2200000000000002</v>
      </c>
      <c r="E191" s="785">
        <v>2.09</v>
      </c>
      <c r="F191" s="785">
        <v>2.11</v>
      </c>
      <c r="G191" s="785">
        <v>2.14</v>
      </c>
      <c r="H191" s="785">
        <v>2.19</v>
      </c>
      <c r="I191" s="785">
        <v>2.23</v>
      </c>
      <c r="J191" s="785">
        <v>2.2799999999999998</v>
      </c>
      <c r="K191" s="785">
        <v>2.2999999999999998</v>
      </c>
      <c r="L191" s="785">
        <v>2.35</v>
      </c>
      <c r="M191" s="785">
        <v>2.39</v>
      </c>
      <c r="N191" s="785">
        <v>2.4300000000000002</v>
      </c>
      <c r="O191" s="785">
        <v>2.4700000000000002</v>
      </c>
      <c r="P191" s="785">
        <v>2.52</v>
      </c>
      <c r="Q191" s="785">
        <v>2.58</v>
      </c>
      <c r="R191" s="785">
        <v>2.64</v>
      </c>
      <c r="S191" s="785">
        <v>2.69</v>
      </c>
      <c r="T191" s="785">
        <v>2.74</v>
      </c>
      <c r="U191" s="785">
        <v>2.81</v>
      </c>
      <c r="V191" s="785">
        <v>2.87</v>
      </c>
      <c r="W191" s="785">
        <v>2.95</v>
      </c>
      <c r="X191" s="785">
        <v>3.03</v>
      </c>
      <c r="Y191" s="785">
        <v>3.11</v>
      </c>
      <c r="Z191" s="785">
        <v>3.2</v>
      </c>
      <c r="AA191" s="785">
        <v>3.28</v>
      </c>
      <c r="AB191" s="785">
        <v>3.37</v>
      </c>
      <c r="AC191" s="785">
        <v>3.46</v>
      </c>
      <c r="AD191" s="785">
        <v>3.56</v>
      </c>
      <c r="AE191" s="819">
        <v>0.02</v>
      </c>
      <c r="AF191" s="785"/>
      <c r="AG191" s="785"/>
      <c r="AH191" s="785"/>
      <c r="AI191" s="785"/>
      <c r="AJ191" s="785"/>
      <c r="AK191" s="785"/>
      <c r="AL191" s="785"/>
      <c r="AM191" s="785"/>
      <c r="AN191" s="785"/>
      <c r="AO191" s="785"/>
      <c r="AP191" s="785"/>
      <c r="AQ191" s="785"/>
      <c r="AR191" s="785"/>
      <c r="AS191" s="785"/>
      <c r="AT191" s="785"/>
      <c r="AU191" s="785"/>
      <c r="AV191" s="785"/>
      <c r="AW191" s="785"/>
      <c r="AX191" s="785"/>
      <c r="AY191" s="785"/>
      <c r="AZ191" s="785"/>
      <c r="BA191" s="785"/>
      <c r="BB191" s="785"/>
      <c r="BC191" s="785"/>
      <c r="BD191" s="785"/>
      <c r="BE191" s="785"/>
      <c r="BF191" s="785"/>
      <c r="BG191" s="785"/>
      <c r="BH191" s="785"/>
      <c r="BI191" s="785"/>
      <c r="BJ191" s="785"/>
      <c r="BK191" s="785"/>
      <c r="BL191" s="785"/>
      <c r="BM191" s="785"/>
      <c r="BN191" s="785"/>
      <c r="BO191" s="785"/>
      <c r="BP191" s="785"/>
      <c r="BQ191" s="785"/>
      <c r="BR191" s="785"/>
      <c r="BS191" s="785"/>
      <c r="BT191" s="785"/>
    </row>
    <row r="192" spans="1:72">
      <c r="A192" s="785" t="s">
        <v>614</v>
      </c>
      <c r="B192" s="785" t="s">
        <v>786</v>
      </c>
      <c r="C192" s="785" t="s">
        <v>786</v>
      </c>
      <c r="D192" s="785" t="s">
        <v>786</v>
      </c>
      <c r="E192" s="785" t="s">
        <v>786</v>
      </c>
      <c r="F192" s="785">
        <v>1.32</v>
      </c>
      <c r="G192" s="785">
        <v>1.1000000000000001</v>
      </c>
      <c r="H192" s="785">
        <v>1.1200000000000001</v>
      </c>
      <c r="I192" s="785">
        <v>1.55</v>
      </c>
      <c r="J192" s="785">
        <v>1.58</v>
      </c>
      <c r="K192" s="785">
        <v>1.65</v>
      </c>
      <c r="L192" s="785">
        <v>1.72</v>
      </c>
      <c r="M192" s="785">
        <v>1.74</v>
      </c>
      <c r="N192" s="785">
        <v>1.76</v>
      </c>
      <c r="O192" s="785">
        <v>1.79</v>
      </c>
      <c r="P192" s="785">
        <v>1.86</v>
      </c>
      <c r="Q192" s="785">
        <v>1.91</v>
      </c>
      <c r="R192" s="785">
        <v>1.98</v>
      </c>
      <c r="S192" s="785">
        <v>1.99</v>
      </c>
      <c r="T192" s="785">
        <v>2.02</v>
      </c>
      <c r="U192" s="785">
        <v>2.04</v>
      </c>
      <c r="V192" s="785">
        <v>2.0699999999999998</v>
      </c>
      <c r="W192" s="785">
        <v>2.1</v>
      </c>
      <c r="X192" s="785">
        <v>2.13</v>
      </c>
      <c r="Y192" s="785">
        <v>2.1800000000000002</v>
      </c>
      <c r="Z192" s="785">
        <v>2.2200000000000002</v>
      </c>
      <c r="AA192" s="785">
        <v>2.2799999999999998</v>
      </c>
      <c r="AB192" s="785">
        <v>2.35</v>
      </c>
      <c r="AC192" s="785">
        <v>2.44</v>
      </c>
      <c r="AD192" s="785">
        <v>2.5299999999999998</v>
      </c>
      <c r="AE192" s="785" t="s">
        <v>786</v>
      </c>
      <c r="AF192" s="785"/>
      <c r="AG192" s="785"/>
      <c r="AH192" s="785"/>
      <c r="AI192" s="785"/>
      <c r="AJ192" s="785"/>
      <c r="AK192" s="785"/>
      <c r="AL192" s="785"/>
      <c r="AM192" s="785"/>
      <c r="AN192" s="785"/>
      <c r="AO192" s="785"/>
      <c r="AP192" s="785"/>
      <c r="AQ192" s="785"/>
      <c r="AR192" s="785"/>
      <c r="AS192" s="785"/>
      <c r="AT192" s="785"/>
      <c r="AU192" s="785"/>
      <c r="AV192" s="785"/>
      <c r="AW192" s="785"/>
      <c r="AX192" s="785"/>
      <c r="AY192" s="785"/>
      <c r="AZ192" s="785"/>
      <c r="BA192" s="785"/>
      <c r="BB192" s="785"/>
      <c r="BC192" s="785"/>
      <c r="BD192" s="785"/>
      <c r="BE192" s="785"/>
      <c r="BF192" s="785"/>
      <c r="BG192" s="785"/>
      <c r="BH192" s="785"/>
      <c r="BI192" s="785"/>
      <c r="BJ192" s="785"/>
      <c r="BK192" s="785"/>
      <c r="BL192" s="785"/>
      <c r="BM192" s="785"/>
      <c r="BN192" s="785"/>
      <c r="BO192" s="785"/>
      <c r="BP192" s="785"/>
      <c r="BQ192" s="785"/>
      <c r="BR192" s="785"/>
      <c r="BS192" s="785"/>
      <c r="BT192" s="785"/>
    </row>
    <row r="193" spans="1:72">
      <c r="A193" s="785" t="s">
        <v>477</v>
      </c>
      <c r="B193" s="785">
        <v>26.66</v>
      </c>
      <c r="C193" s="785">
        <v>28.81</v>
      </c>
      <c r="D193" s="785">
        <v>28.5</v>
      </c>
      <c r="E193" s="785">
        <v>27.58</v>
      </c>
      <c r="F193" s="785">
        <v>26.29</v>
      </c>
      <c r="G193" s="785">
        <v>27.63</v>
      </c>
      <c r="H193" s="785">
        <v>28.19</v>
      </c>
      <c r="I193" s="785">
        <v>28.46</v>
      </c>
      <c r="J193" s="785">
        <v>28.92</v>
      </c>
      <c r="K193" s="785">
        <v>29.72</v>
      </c>
      <c r="L193" s="785">
        <v>30.45</v>
      </c>
      <c r="M193" s="785">
        <v>31.03</v>
      </c>
      <c r="N193" s="785">
        <v>31.53</v>
      </c>
      <c r="O193" s="785">
        <v>32.4</v>
      </c>
      <c r="P193" s="785">
        <v>33.33</v>
      </c>
      <c r="Q193" s="785">
        <v>34.229999999999997</v>
      </c>
      <c r="R193" s="785">
        <v>35.22</v>
      </c>
      <c r="S193" s="785">
        <v>36.159999999999997</v>
      </c>
      <c r="T193" s="785">
        <v>36.869999999999997</v>
      </c>
      <c r="U193" s="785">
        <v>37.86</v>
      </c>
      <c r="V193" s="785">
        <v>38.94</v>
      </c>
      <c r="W193" s="785">
        <v>40.090000000000003</v>
      </c>
      <c r="X193" s="785">
        <v>41.58</v>
      </c>
      <c r="Y193" s="785">
        <v>43</v>
      </c>
      <c r="Z193" s="785">
        <v>44.53</v>
      </c>
      <c r="AA193" s="785">
        <v>46.07</v>
      </c>
      <c r="AB193" s="785">
        <v>47.34</v>
      </c>
      <c r="AC193" s="785">
        <v>48.78</v>
      </c>
      <c r="AD193" s="785">
        <v>50.19</v>
      </c>
      <c r="AE193" s="819">
        <v>2.1000000000000001E-2</v>
      </c>
      <c r="AF193" s="785"/>
      <c r="AG193" s="785"/>
      <c r="AH193" s="785"/>
      <c r="AI193" s="785"/>
      <c r="AJ193" s="785"/>
      <c r="AK193" s="785"/>
      <c r="AL193" s="785"/>
      <c r="AM193" s="785"/>
      <c r="AN193" s="785"/>
      <c r="AO193" s="785"/>
      <c r="AP193" s="785"/>
      <c r="AQ193" s="785"/>
      <c r="AR193" s="785"/>
      <c r="AS193" s="785"/>
      <c r="AT193" s="785"/>
      <c r="AU193" s="785"/>
      <c r="AV193" s="785"/>
      <c r="AW193" s="785"/>
      <c r="AX193" s="785"/>
      <c r="AY193" s="785"/>
      <c r="AZ193" s="785"/>
      <c r="BA193" s="785"/>
      <c r="BB193" s="785"/>
      <c r="BC193" s="785"/>
      <c r="BD193" s="785"/>
      <c r="BE193" s="785"/>
      <c r="BF193" s="785"/>
      <c r="BG193" s="785"/>
      <c r="BH193" s="785"/>
      <c r="BI193" s="785"/>
      <c r="BJ193" s="785"/>
      <c r="BK193" s="785"/>
      <c r="BL193" s="785"/>
      <c r="BM193" s="785"/>
      <c r="BN193" s="785"/>
      <c r="BO193" s="785"/>
      <c r="BP193" s="785"/>
      <c r="BQ193" s="785"/>
      <c r="BR193" s="785"/>
      <c r="BS193" s="785"/>
      <c r="BT193" s="785"/>
    </row>
    <row r="194" spans="1:72">
      <c r="A194" s="785"/>
      <c r="B194" s="785"/>
      <c r="C194" s="785"/>
      <c r="D194" s="785"/>
      <c r="E194" s="785"/>
      <c r="F194" s="785"/>
      <c r="G194" s="785"/>
      <c r="H194" s="785"/>
      <c r="I194" s="785"/>
      <c r="J194" s="785"/>
      <c r="K194" s="785"/>
      <c r="L194" s="785"/>
      <c r="M194" s="785"/>
      <c r="N194" s="785"/>
      <c r="O194" s="785"/>
      <c r="P194" s="785"/>
      <c r="Q194" s="785"/>
      <c r="R194" s="785"/>
      <c r="S194" s="785"/>
      <c r="T194" s="785"/>
      <c r="U194" s="785"/>
      <c r="V194" s="785"/>
      <c r="W194" s="785"/>
      <c r="X194" s="785"/>
      <c r="Y194" s="785"/>
      <c r="Z194" s="785"/>
      <c r="AA194" s="785"/>
      <c r="AB194" s="785"/>
      <c r="AC194" s="785"/>
      <c r="AD194" s="785"/>
      <c r="AE194" s="785"/>
      <c r="AF194" s="785"/>
      <c r="AG194" s="785"/>
      <c r="AH194" s="785"/>
      <c r="AI194" s="785"/>
      <c r="AJ194" s="785"/>
      <c r="AK194" s="785"/>
      <c r="AL194" s="785"/>
      <c r="AM194" s="785"/>
      <c r="AN194" s="785"/>
      <c r="AO194" s="785"/>
      <c r="AP194" s="785"/>
      <c r="AQ194" s="785"/>
      <c r="AR194" s="785"/>
      <c r="AS194" s="785"/>
      <c r="AT194" s="785"/>
      <c r="AU194" s="785"/>
      <c r="AV194" s="785"/>
      <c r="AW194" s="785"/>
      <c r="AX194" s="785"/>
      <c r="AY194" s="785"/>
      <c r="AZ194" s="785"/>
      <c r="BA194" s="785"/>
      <c r="BB194" s="785"/>
      <c r="BC194" s="785"/>
      <c r="BD194" s="785"/>
      <c r="BE194" s="785"/>
      <c r="BF194" s="785"/>
      <c r="BG194" s="785"/>
      <c r="BH194" s="785"/>
      <c r="BI194" s="785"/>
      <c r="BJ194" s="785"/>
      <c r="BK194" s="785"/>
      <c r="BL194" s="785"/>
      <c r="BM194" s="785"/>
      <c r="BN194" s="785"/>
      <c r="BO194" s="785"/>
      <c r="BP194" s="785"/>
      <c r="BQ194" s="785"/>
      <c r="BR194" s="785"/>
      <c r="BS194" s="785"/>
      <c r="BT194" s="785"/>
    </row>
    <row r="195" spans="1:72">
      <c r="A195" s="785" t="s">
        <v>511</v>
      </c>
      <c r="B195" s="785"/>
      <c r="C195" s="785"/>
      <c r="D195" s="785"/>
      <c r="E195" s="785"/>
      <c r="F195" s="785"/>
      <c r="G195" s="785"/>
      <c r="H195" s="785"/>
      <c r="I195" s="785"/>
      <c r="J195" s="785"/>
      <c r="K195" s="785"/>
      <c r="L195" s="785"/>
      <c r="M195" s="785"/>
      <c r="N195" s="785"/>
      <c r="O195" s="785"/>
      <c r="P195" s="785"/>
      <c r="Q195" s="785"/>
      <c r="R195" s="785"/>
      <c r="S195" s="785"/>
      <c r="T195" s="785"/>
      <c r="U195" s="785"/>
      <c r="V195" s="785"/>
      <c r="W195" s="785"/>
      <c r="X195" s="785"/>
      <c r="Y195" s="785"/>
      <c r="Z195" s="785"/>
      <c r="AA195" s="785"/>
      <c r="AB195" s="785"/>
      <c r="AC195" s="785"/>
      <c r="AD195" s="785"/>
      <c r="AE195" s="785"/>
      <c r="AF195" s="785"/>
      <c r="AG195" s="785"/>
      <c r="AH195" s="785"/>
      <c r="AI195" s="785"/>
      <c r="AJ195" s="785"/>
      <c r="AK195" s="785"/>
      <c r="AL195" s="785"/>
      <c r="AM195" s="785"/>
      <c r="AN195" s="785"/>
      <c r="AO195" s="785"/>
      <c r="AP195" s="785"/>
      <c r="AQ195" s="785"/>
      <c r="AR195" s="785"/>
      <c r="AS195" s="785"/>
      <c r="AT195" s="785"/>
      <c r="AU195" s="785"/>
      <c r="AV195" s="785"/>
      <c r="AW195" s="785"/>
      <c r="AX195" s="785"/>
      <c r="AY195" s="785"/>
      <c r="AZ195" s="785"/>
      <c r="BA195" s="785"/>
      <c r="BB195" s="785"/>
      <c r="BC195" s="785"/>
      <c r="BD195" s="785"/>
      <c r="BE195" s="785"/>
      <c r="BF195" s="785"/>
      <c r="BG195" s="785"/>
      <c r="BH195" s="785"/>
      <c r="BI195" s="785"/>
      <c r="BJ195" s="785"/>
      <c r="BK195" s="785"/>
      <c r="BL195" s="785"/>
      <c r="BM195" s="785"/>
      <c r="BN195" s="785"/>
      <c r="BO195" s="785"/>
      <c r="BP195" s="785"/>
      <c r="BQ195" s="785"/>
      <c r="BR195" s="785"/>
      <c r="BS195" s="785"/>
      <c r="BT195" s="785"/>
    </row>
    <row r="196" spans="1:72">
      <c r="A196" s="785" t="s">
        <v>725</v>
      </c>
      <c r="B196" s="785"/>
      <c r="C196" s="785"/>
      <c r="D196" s="785"/>
      <c r="E196" s="785"/>
      <c r="F196" s="785"/>
      <c r="G196" s="785"/>
      <c r="H196" s="785"/>
      <c r="I196" s="785"/>
      <c r="J196" s="785"/>
      <c r="K196" s="785"/>
      <c r="L196" s="785"/>
      <c r="M196" s="785"/>
      <c r="N196" s="785"/>
      <c r="O196" s="785"/>
      <c r="P196" s="785"/>
      <c r="Q196" s="785"/>
      <c r="R196" s="785"/>
      <c r="S196" s="785"/>
      <c r="T196" s="785"/>
      <c r="U196" s="785"/>
      <c r="V196" s="785"/>
      <c r="W196" s="785"/>
      <c r="X196" s="785"/>
      <c r="Y196" s="785"/>
      <c r="Z196" s="785"/>
      <c r="AA196" s="785"/>
      <c r="AB196" s="785"/>
      <c r="AC196" s="785"/>
      <c r="AD196" s="785"/>
      <c r="AE196" s="785"/>
      <c r="AF196" s="785"/>
      <c r="AG196" s="785"/>
      <c r="AH196" s="785"/>
      <c r="AI196" s="785"/>
      <c r="AJ196" s="785"/>
      <c r="AK196" s="785"/>
      <c r="AL196" s="785"/>
      <c r="AM196" s="785"/>
      <c r="AN196" s="785"/>
      <c r="AO196" s="785"/>
      <c r="AP196" s="785"/>
      <c r="AQ196" s="785"/>
      <c r="AR196" s="785"/>
      <c r="AS196" s="785"/>
      <c r="AT196" s="785"/>
      <c r="AU196" s="785"/>
      <c r="AV196" s="785"/>
      <c r="AW196" s="785"/>
      <c r="AX196" s="785"/>
      <c r="AY196" s="785"/>
      <c r="AZ196" s="785"/>
      <c r="BA196" s="785"/>
      <c r="BB196" s="785"/>
      <c r="BC196" s="785"/>
      <c r="BD196" s="785"/>
      <c r="BE196" s="785"/>
      <c r="BF196" s="785"/>
      <c r="BG196" s="785"/>
      <c r="BH196" s="785"/>
      <c r="BI196" s="785"/>
      <c r="BJ196" s="785"/>
      <c r="BK196" s="785"/>
      <c r="BL196" s="785"/>
      <c r="BM196" s="785"/>
      <c r="BN196" s="785"/>
      <c r="BO196" s="785"/>
      <c r="BP196" s="785"/>
      <c r="BQ196" s="785"/>
      <c r="BR196" s="785"/>
      <c r="BS196" s="785"/>
      <c r="BT196" s="785"/>
    </row>
    <row r="197" spans="1:72">
      <c r="A197" s="785" t="s">
        <v>471</v>
      </c>
      <c r="B197" s="785">
        <v>236.38</v>
      </c>
      <c r="C197" s="785">
        <v>254.66</v>
      </c>
      <c r="D197" s="785">
        <v>235.17</v>
      </c>
      <c r="E197" s="785">
        <v>230.51</v>
      </c>
      <c r="F197" s="785">
        <v>232.31</v>
      </c>
      <c r="G197" s="785">
        <v>244.12</v>
      </c>
      <c r="H197" s="785">
        <v>246.57</v>
      </c>
      <c r="I197" s="785">
        <v>251.37</v>
      </c>
      <c r="J197" s="785">
        <v>257.29000000000002</v>
      </c>
      <c r="K197" s="785">
        <v>266.02999999999997</v>
      </c>
      <c r="L197" s="785">
        <v>273.52999999999997</v>
      </c>
      <c r="M197" s="785">
        <v>281.39999999999998</v>
      </c>
      <c r="N197" s="785">
        <v>289.27</v>
      </c>
      <c r="O197" s="785">
        <v>299.58999999999997</v>
      </c>
      <c r="P197" s="785">
        <v>309.45</v>
      </c>
      <c r="Q197" s="785">
        <v>320.3</v>
      </c>
      <c r="R197" s="785">
        <v>330.83</v>
      </c>
      <c r="S197" s="785">
        <v>341.36</v>
      </c>
      <c r="T197" s="785">
        <v>351.09</v>
      </c>
      <c r="U197" s="785">
        <v>363.72</v>
      </c>
      <c r="V197" s="785">
        <v>377.1</v>
      </c>
      <c r="W197" s="785">
        <v>392.03</v>
      </c>
      <c r="X197" s="785">
        <v>407.27</v>
      </c>
      <c r="Y197" s="785">
        <v>423.22</v>
      </c>
      <c r="Z197" s="785">
        <v>441.01</v>
      </c>
      <c r="AA197" s="785">
        <v>458.4</v>
      </c>
      <c r="AB197" s="785">
        <v>471.99</v>
      </c>
      <c r="AC197" s="785">
        <v>489.06</v>
      </c>
      <c r="AD197" s="785">
        <v>506.03</v>
      </c>
      <c r="AE197" s="819">
        <v>2.5999999999999999E-2</v>
      </c>
      <c r="AF197" s="785"/>
      <c r="AG197" s="785"/>
      <c r="AH197" s="785"/>
      <c r="AI197" s="785"/>
      <c r="AJ197" s="785"/>
      <c r="AK197" s="785"/>
      <c r="AL197" s="785"/>
      <c r="AM197" s="785"/>
      <c r="AN197" s="785"/>
      <c r="AO197" s="785"/>
      <c r="AP197" s="785"/>
      <c r="AQ197" s="785"/>
      <c r="AR197" s="785"/>
      <c r="AS197" s="785"/>
      <c r="AT197" s="785"/>
      <c r="AU197" s="785"/>
      <c r="AV197" s="785"/>
      <c r="AW197" s="785"/>
      <c r="AX197" s="785"/>
      <c r="AY197" s="785"/>
      <c r="AZ197" s="785"/>
      <c r="BA197" s="785"/>
      <c r="BB197" s="785"/>
      <c r="BC197" s="785"/>
      <c r="BD197" s="785"/>
      <c r="BE197" s="785"/>
      <c r="BF197" s="785"/>
      <c r="BG197" s="785"/>
      <c r="BH197" s="785"/>
      <c r="BI197" s="785"/>
      <c r="BJ197" s="785"/>
      <c r="BK197" s="785"/>
      <c r="BL197" s="785"/>
      <c r="BM197" s="785"/>
      <c r="BN197" s="785"/>
      <c r="BO197" s="785"/>
      <c r="BP197" s="785"/>
      <c r="BQ197" s="785"/>
      <c r="BR197" s="785"/>
      <c r="BS197" s="785"/>
      <c r="BT197" s="785"/>
    </row>
    <row r="198" spans="1:72">
      <c r="A198" s="785" t="s">
        <v>478</v>
      </c>
      <c r="B198" s="785">
        <v>172.75</v>
      </c>
      <c r="C198" s="785">
        <v>191.19</v>
      </c>
      <c r="D198" s="785">
        <v>171.27</v>
      </c>
      <c r="E198" s="785">
        <v>168.36</v>
      </c>
      <c r="F198" s="785">
        <v>170.83</v>
      </c>
      <c r="G198" s="785">
        <v>182.74</v>
      </c>
      <c r="H198" s="785">
        <v>187.26</v>
      </c>
      <c r="I198" s="785">
        <v>190.86</v>
      </c>
      <c r="J198" s="785">
        <v>197.13</v>
      </c>
      <c r="K198" s="785">
        <v>205.11</v>
      </c>
      <c r="L198" s="785">
        <v>212.7</v>
      </c>
      <c r="M198" s="785">
        <v>219.88</v>
      </c>
      <c r="N198" s="785">
        <v>226.94</v>
      </c>
      <c r="O198" s="785">
        <v>236.05</v>
      </c>
      <c r="P198" s="785">
        <v>245.65</v>
      </c>
      <c r="Q198" s="785">
        <v>255.58</v>
      </c>
      <c r="R198" s="785">
        <v>265.91000000000003</v>
      </c>
      <c r="S198" s="785">
        <v>275.66000000000003</v>
      </c>
      <c r="T198" s="785">
        <v>285.08999999999997</v>
      </c>
      <c r="U198" s="785">
        <v>296.79000000000002</v>
      </c>
      <c r="V198" s="785">
        <v>309.27</v>
      </c>
      <c r="W198" s="785">
        <v>322.77</v>
      </c>
      <c r="X198" s="785">
        <v>338.69</v>
      </c>
      <c r="Y198" s="785">
        <v>354.37</v>
      </c>
      <c r="Z198" s="785">
        <v>371.75</v>
      </c>
      <c r="AA198" s="785">
        <v>388.64</v>
      </c>
      <c r="AB198" s="785">
        <v>403.84</v>
      </c>
      <c r="AC198" s="785">
        <v>421.34</v>
      </c>
      <c r="AD198" s="785">
        <v>438.74</v>
      </c>
      <c r="AE198" s="819">
        <v>3.1E-2</v>
      </c>
      <c r="AF198" s="785"/>
      <c r="AG198" s="785"/>
      <c r="AH198" s="785"/>
      <c r="AI198" s="785"/>
      <c r="AJ198" s="785"/>
      <c r="AK198" s="785"/>
      <c r="AL198" s="785"/>
      <c r="AM198" s="785"/>
      <c r="AN198" s="785"/>
      <c r="AO198" s="785"/>
      <c r="AP198" s="785"/>
      <c r="AQ198" s="785"/>
      <c r="AR198" s="785"/>
      <c r="AS198" s="785"/>
      <c r="AT198" s="785"/>
      <c r="AU198" s="785"/>
      <c r="AV198" s="785"/>
      <c r="AW198" s="785"/>
      <c r="AX198" s="785"/>
      <c r="AY198" s="785"/>
      <c r="AZ198" s="785"/>
      <c r="BA198" s="785"/>
      <c r="BB198" s="785"/>
      <c r="BC198" s="785"/>
      <c r="BD198" s="785"/>
      <c r="BE198" s="785"/>
      <c r="BF198" s="785"/>
      <c r="BG198" s="785"/>
      <c r="BH198" s="785"/>
      <c r="BI198" s="785"/>
      <c r="BJ198" s="785"/>
      <c r="BK198" s="785"/>
      <c r="BL198" s="785"/>
      <c r="BM198" s="785"/>
      <c r="BN198" s="785"/>
      <c r="BO198" s="785"/>
      <c r="BP198" s="785"/>
      <c r="BQ198" s="785"/>
      <c r="BR198" s="785"/>
      <c r="BS198" s="785"/>
      <c r="BT198" s="785"/>
    </row>
    <row r="199" spans="1:72">
      <c r="A199" s="785" t="s">
        <v>513</v>
      </c>
      <c r="B199" s="785">
        <v>214.89</v>
      </c>
      <c r="C199" s="785">
        <v>244.81</v>
      </c>
      <c r="D199" s="785">
        <v>178.09</v>
      </c>
      <c r="E199" s="785">
        <v>168.16</v>
      </c>
      <c r="F199" s="785">
        <v>181.07</v>
      </c>
      <c r="G199" s="785">
        <v>202.87</v>
      </c>
      <c r="H199" s="785">
        <v>217.07</v>
      </c>
      <c r="I199" s="785">
        <v>227.35</v>
      </c>
      <c r="J199" s="785">
        <v>237.51</v>
      </c>
      <c r="K199" s="785">
        <v>248.26</v>
      </c>
      <c r="L199" s="785">
        <v>257.8</v>
      </c>
      <c r="M199" s="785">
        <v>268.36</v>
      </c>
      <c r="N199" s="785">
        <v>277.25</v>
      </c>
      <c r="O199" s="785">
        <v>287.02999999999997</v>
      </c>
      <c r="P199" s="785">
        <v>295.06</v>
      </c>
      <c r="Q199" s="785">
        <v>303.12</v>
      </c>
      <c r="R199" s="785">
        <v>311.48</v>
      </c>
      <c r="S199" s="785">
        <v>319.60000000000002</v>
      </c>
      <c r="T199" s="785">
        <v>328.09</v>
      </c>
      <c r="U199" s="785">
        <v>336.58</v>
      </c>
      <c r="V199" s="785">
        <v>346.81</v>
      </c>
      <c r="W199" s="785">
        <v>357.93</v>
      </c>
      <c r="X199" s="785">
        <v>370.58</v>
      </c>
      <c r="Y199" s="785">
        <v>382.62</v>
      </c>
      <c r="Z199" s="785">
        <v>397.61</v>
      </c>
      <c r="AA199" s="785">
        <v>409.44</v>
      </c>
      <c r="AB199" s="785">
        <v>421.52</v>
      </c>
      <c r="AC199" s="785">
        <v>436.23</v>
      </c>
      <c r="AD199" s="785">
        <v>449</v>
      </c>
      <c r="AE199" s="819">
        <v>2.3E-2</v>
      </c>
      <c r="AF199" s="785"/>
      <c r="AG199" s="785"/>
      <c r="AH199" s="785"/>
      <c r="AI199" s="785"/>
      <c r="AJ199" s="785"/>
      <c r="AK199" s="785"/>
      <c r="AL199" s="785"/>
      <c r="AM199" s="785"/>
      <c r="AN199" s="785"/>
      <c r="AO199" s="785"/>
      <c r="AP199" s="785"/>
      <c r="AQ199" s="785"/>
      <c r="AR199" s="785"/>
      <c r="AS199" s="785"/>
      <c r="AT199" s="785"/>
      <c r="AU199" s="785"/>
      <c r="AV199" s="785"/>
      <c r="AW199" s="785"/>
      <c r="AX199" s="785"/>
      <c r="AY199" s="785"/>
      <c r="AZ199" s="785"/>
      <c r="BA199" s="785"/>
      <c r="BB199" s="785"/>
      <c r="BC199" s="785"/>
      <c r="BD199" s="785"/>
      <c r="BE199" s="785"/>
      <c r="BF199" s="785"/>
      <c r="BG199" s="785"/>
      <c r="BH199" s="785"/>
      <c r="BI199" s="785"/>
      <c r="BJ199" s="785"/>
      <c r="BK199" s="785"/>
      <c r="BL199" s="785"/>
      <c r="BM199" s="785"/>
      <c r="BN199" s="785"/>
      <c r="BO199" s="785"/>
      <c r="BP199" s="785"/>
      <c r="BQ199" s="785"/>
      <c r="BR199" s="785"/>
      <c r="BS199" s="785"/>
      <c r="BT199" s="785"/>
    </row>
    <row r="200" spans="1:72">
      <c r="A200" s="785" t="s">
        <v>485</v>
      </c>
      <c r="B200" s="785">
        <v>599.94000000000005</v>
      </c>
      <c r="C200" s="785">
        <v>705.86</v>
      </c>
      <c r="D200" s="785">
        <v>472.76</v>
      </c>
      <c r="E200" s="785">
        <v>523.54</v>
      </c>
      <c r="F200" s="785">
        <v>551.54</v>
      </c>
      <c r="G200" s="785">
        <v>600.52</v>
      </c>
      <c r="H200" s="785">
        <v>663.3</v>
      </c>
      <c r="I200" s="785">
        <v>702.29</v>
      </c>
      <c r="J200" s="785">
        <v>730.78</v>
      </c>
      <c r="K200" s="785">
        <v>762.17</v>
      </c>
      <c r="L200" s="785">
        <v>797.53</v>
      </c>
      <c r="M200" s="785">
        <v>828.81</v>
      </c>
      <c r="N200" s="785">
        <v>859.4</v>
      </c>
      <c r="O200" s="785">
        <v>891.87</v>
      </c>
      <c r="P200" s="785">
        <v>920.68</v>
      </c>
      <c r="Q200" s="785">
        <v>948.26</v>
      </c>
      <c r="R200" s="785">
        <v>986.59</v>
      </c>
      <c r="S200" s="785">
        <v>1021.27</v>
      </c>
      <c r="T200" s="785">
        <v>1062.24</v>
      </c>
      <c r="U200" s="785">
        <v>1101.69</v>
      </c>
      <c r="V200" s="785">
        <v>1143.03</v>
      </c>
      <c r="W200" s="785">
        <v>1188</v>
      </c>
      <c r="X200" s="785">
        <v>1232.23</v>
      </c>
      <c r="Y200" s="785">
        <v>1277.8499999999999</v>
      </c>
      <c r="Z200" s="785">
        <v>1321.12</v>
      </c>
      <c r="AA200" s="785">
        <v>1371.03</v>
      </c>
      <c r="AB200" s="785">
        <v>1423.78</v>
      </c>
      <c r="AC200" s="785">
        <v>1471.43</v>
      </c>
      <c r="AD200" s="785">
        <v>1525.95</v>
      </c>
      <c r="AE200" s="819">
        <v>2.9000000000000001E-2</v>
      </c>
      <c r="AF200" s="785"/>
      <c r="AG200" s="785"/>
      <c r="AH200" s="785"/>
      <c r="AI200" s="785"/>
      <c r="AJ200" s="785"/>
      <c r="AK200" s="785"/>
      <c r="AL200" s="785"/>
      <c r="AM200" s="785"/>
      <c r="AN200" s="785"/>
      <c r="AO200" s="785"/>
      <c r="AP200" s="785"/>
      <c r="AQ200" s="785"/>
      <c r="AR200" s="785"/>
      <c r="AS200" s="785"/>
      <c r="AT200" s="785"/>
      <c r="AU200" s="785"/>
      <c r="AV200" s="785"/>
      <c r="AW200" s="785"/>
      <c r="AX200" s="785"/>
      <c r="AY200" s="785"/>
      <c r="AZ200" s="785"/>
      <c r="BA200" s="785"/>
      <c r="BB200" s="785"/>
      <c r="BC200" s="785"/>
      <c r="BD200" s="785"/>
      <c r="BE200" s="785"/>
      <c r="BF200" s="785"/>
      <c r="BG200" s="785"/>
      <c r="BH200" s="785"/>
      <c r="BI200" s="785"/>
      <c r="BJ200" s="785"/>
      <c r="BK200" s="785"/>
      <c r="BL200" s="785"/>
      <c r="BM200" s="785"/>
      <c r="BN200" s="785"/>
      <c r="BO200" s="785"/>
      <c r="BP200" s="785"/>
      <c r="BQ200" s="785"/>
      <c r="BR200" s="785"/>
      <c r="BS200" s="785"/>
      <c r="BT200" s="785"/>
    </row>
    <row r="201" spans="1:72">
      <c r="A201" s="785" t="s">
        <v>514</v>
      </c>
      <c r="B201" s="785">
        <v>1223.96</v>
      </c>
      <c r="C201" s="785">
        <v>1396.52</v>
      </c>
      <c r="D201" s="785">
        <v>1057.29</v>
      </c>
      <c r="E201" s="785">
        <v>1090.58</v>
      </c>
      <c r="F201" s="785">
        <v>1135.76</v>
      </c>
      <c r="G201" s="785">
        <v>1230.25</v>
      </c>
      <c r="H201" s="785">
        <v>1314.19</v>
      </c>
      <c r="I201" s="785">
        <v>1371.86</v>
      </c>
      <c r="J201" s="785">
        <v>1422.72</v>
      </c>
      <c r="K201" s="785">
        <v>1481.57</v>
      </c>
      <c r="L201" s="785">
        <v>1541.56</v>
      </c>
      <c r="M201" s="785">
        <v>1598.45</v>
      </c>
      <c r="N201" s="785">
        <v>1652.86</v>
      </c>
      <c r="O201" s="785">
        <v>1714.54</v>
      </c>
      <c r="P201" s="785">
        <v>1770.84</v>
      </c>
      <c r="Q201" s="785">
        <v>1827.25</v>
      </c>
      <c r="R201" s="785">
        <v>1894.81</v>
      </c>
      <c r="S201" s="785">
        <v>1957.89</v>
      </c>
      <c r="T201" s="785">
        <v>2026.51</v>
      </c>
      <c r="U201" s="785">
        <v>2098.7800000000002</v>
      </c>
      <c r="V201" s="785">
        <v>2176.1999999999998</v>
      </c>
      <c r="W201" s="785">
        <v>2260.73</v>
      </c>
      <c r="X201" s="785">
        <v>2348.7600000000002</v>
      </c>
      <c r="Y201" s="785">
        <v>2438.06</v>
      </c>
      <c r="Z201" s="785">
        <v>2531.5</v>
      </c>
      <c r="AA201" s="785">
        <v>2627.51</v>
      </c>
      <c r="AB201" s="785">
        <v>2721.14</v>
      </c>
      <c r="AC201" s="785">
        <v>2818.06</v>
      </c>
      <c r="AD201" s="785">
        <v>2919.72</v>
      </c>
      <c r="AE201" s="819">
        <v>2.8000000000000001E-2</v>
      </c>
      <c r="AF201" s="785"/>
      <c r="AG201" s="785"/>
      <c r="AH201" s="785"/>
      <c r="AI201" s="785"/>
      <c r="AJ201" s="785"/>
      <c r="AK201" s="785"/>
      <c r="AL201" s="785"/>
      <c r="AM201" s="785"/>
      <c r="AN201" s="785"/>
      <c r="AO201" s="785"/>
      <c r="AP201" s="785"/>
      <c r="AQ201" s="785"/>
      <c r="AR201" s="785"/>
      <c r="AS201" s="785"/>
      <c r="AT201" s="785"/>
      <c r="AU201" s="785"/>
      <c r="AV201" s="785"/>
      <c r="AW201" s="785"/>
      <c r="AX201" s="785"/>
      <c r="AY201" s="785"/>
      <c r="AZ201" s="785"/>
      <c r="BA201" s="785"/>
      <c r="BB201" s="785"/>
      <c r="BC201" s="785"/>
      <c r="BD201" s="785"/>
      <c r="BE201" s="785"/>
      <c r="BF201" s="785"/>
      <c r="BG201" s="785"/>
      <c r="BH201" s="785"/>
      <c r="BI201" s="785"/>
      <c r="BJ201" s="785"/>
      <c r="BK201" s="785"/>
      <c r="BL201" s="785"/>
      <c r="BM201" s="785"/>
      <c r="BN201" s="785"/>
      <c r="BO201" s="785"/>
      <c r="BP201" s="785"/>
      <c r="BQ201" s="785"/>
      <c r="BR201" s="785"/>
      <c r="BS201" s="785"/>
      <c r="BT201" s="785"/>
    </row>
    <row r="202" spans="1:72">
      <c r="A202" s="785" t="s">
        <v>627</v>
      </c>
      <c r="B202" s="785">
        <v>0.04</v>
      </c>
      <c r="C202" s="785">
        <v>0.17</v>
      </c>
      <c r="D202" s="785">
        <v>0.04</v>
      </c>
      <c r="E202" s="785">
        <v>0.09</v>
      </c>
      <c r="F202" s="785">
        <v>0.11</v>
      </c>
      <c r="G202" s="785">
        <v>0.13</v>
      </c>
      <c r="H202" s="785">
        <v>0.16</v>
      </c>
      <c r="I202" s="785">
        <v>0.18</v>
      </c>
      <c r="J202" s="785">
        <v>0.24</v>
      </c>
      <c r="K202" s="785">
        <v>2.65</v>
      </c>
      <c r="L202" s="785">
        <v>3.64</v>
      </c>
      <c r="M202" s="785">
        <v>4.71</v>
      </c>
      <c r="N202" s="785">
        <v>6.36</v>
      </c>
      <c r="O202" s="785">
        <v>8.6999999999999993</v>
      </c>
      <c r="P202" s="785">
        <v>11.96</v>
      </c>
      <c r="Q202" s="785">
        <v>22.18</v>
      </c>
      <c r="R202" s="785">
        <v>20.28</v>
      </c>
      <c r="S202" s="785">
        <v>19.329999999999998</v>
      </c>
      <c r="T202" s="785">
        <v>20.440000000000001</v>
      </c>
      <c r="U202" s="785">
        <v>23.52</v>
      </c>
      <c r="V202" s="785">
        <v>26.81</v>
      </c>
      <c r="W202" s="785">
        <v>29.72</v>
      </c>
      <c r="X202" s="785">
        <v>34.94</v>
      </c>
      <c r="Y202" s="785">
        <v>37.81</v>
      </c>
      <c r="Z202" s="785">
        <v>49.23</v>
      </c>
      <c r="AA202" s="785">
        <v>57.96</v>
      </c>
      <c r="AB202" s="785">
        <v>65.66</v>
      </c>
      <c r="AC202" s="785">
        <v>79.569999999999993</v>
      </c>
      <c r="AD202" s="785">
        <v>94.81</v>
      </c>
      <c r="AE202" s="819">
        <v>0.26500000000000001</v>
      </c>
      <c r="AF202" s="785"/>
      <c r="AG202" s="785"/>
      <c r="AH202" s="785"/>
      <c r="AI202" s="785"/>
      <c r="AJ202" s="785"/>
      <c r="AK202" s="785"/>
      <c r="AL202" s="785"/>
      <c r="AM202" s="785"/>
      <c r="AN202" s="785"/>
      <c r="AO202" s="785"/>
      <c r="AP202" s="785"/>
      <c r="AQ202" s="785"/>
      <c r="AR202" s="785"/>
      <c r="AS202" s="785"/>
      <c r="AT202" s="785"/>
      <c r="AU202" s="785"/>
      <c r="AV202" s="785"/>
      <c r="AW202" s="785"/>
      <c r="AX202" s="785"/>
      <c r="AY202" s="785"/>
      <c r="AZ202" s="785"/>
      <c r="BA202" s="785"/>
      <c r="BB202" s="785"/>
      <c r="BC202" s="785"/>
      <c r="BD202" s="785"/>
      <c r="BE202" s="785"/>
      <c r="BF202" s="785"/>
      <c r="BG202" s="785"/>
      <c r="BH202" s="785"/>
      <c r="BI202" s="785"/>
      <c r="BJ202" s="785"/>
      <c r="BK202" s="785"/>
      <c r="BL202" s="785"/>
      <c r="BM202" s="785"/>
      <c r="BN202" s="785"/>
      <c r="BO202" s="785"/>
      <c r="BP202" s="785"/>
      <c r="BQ202" s="785"/>
      <c r="BR202" s="785"/>
      <c r="BS202" s="785"/>
      <c r="BT202" s="785"/>
    </row>
    <row r="203" spans="1:72">
      <c r="A203" s="785" t="s">
        <v>516</v>
      </c>
      <c r="B203" s="785">
        <v>1224</v>
      </c>
      <c r="C203" s="785">
        <v>1396.69</v>
      </c>
      <c r="D203" s="785">
        <v>1057.33</v>
      </c>
      <c r="E203" s="785">
        <v>1090.67</v>
      </c>
      <c r="F203" s="785">
        <v>1135.8699999999999</v>
      </c>
      <c r="G203" s="785">
        <v>1230.3800000000001</v>
      </c>
      <c r="H203" s="785">
        <v>1314.36</v>
      </c>
      <c r="I203" s="785">
        <v>1372.05</v>
      </c>
      <c r="J203" s="785">
        <v>1422.95</v>
      </c>
      <c r="K203" s="785">
        <v>1484.22</v>
      </c>
      <c r="L203" s="785">
        <v>1545.2</v>
      </c>
      <c r="M203" s="785">
        <v>1603.16</v>
      </c>
      <c r="N203" s="785">
        <v>1659.22</v>
      </c>
      <c r="O203" s="785">
        <v>1723.24</v>
      </c>
      <c r="P203" s="785">
        <v>1782.8</v>
      </c>
      <c r="Q203" s="785">
        <v>1849.44</v>
      </c>
      <c r="R203" s="785">
        <v>1915.09</v>
      </c>
      <c r="S203" s="785">
        <v>1977.22</v>
      </c>
      <c r="T203" s="785">
        <v>2046.94</v>
      </c>
      <c r="U203" s="785">
        <v>2122.3000000000002</v>
      </c>
      <c r="V203" s="785">
        <v>2203.0100000000002</v>
      </c>
      <c r="W203" s="785">
        <v>2290.46</v>
      </c>
      <c r="X203" s="785">
        <v>2383.6999999999998</v>
      </c>
      <c r="Y203" s="785">
        <v>2475.87</v>
      </c>
      <c r="Z203" s="785">
        <v>2580.73</v>
      </c>
      <c r="AA203" s="785">
        <v>2685.47</v>
      </c>
      <c r="AB203" s="785">
        <v>2786.79</v>
      </c>
      <c r="AC203" s="785">
        <v>2897.63</v>
      </c>
      <c r="AD203" s="785">
        <v>3014.53</v>
      </c>
      <c r="AE203" s="819">
        <v>2.9000000000000001E-2</v>
      </c>
      <c r="AF203" s="785"/>
      <c r="AG203" s="785"/>
      <c r="AH203" s="785"/>
      <c r="AI203" s="785"/>
      <c r="AJ203" s="785"/>
      <c r="AK203" s="785"/>
      <c r="AL203" s="785"/>
      <c r="AM203" s="785"/>
      <c r="AN203" s="785"/>
      <c r="AO203" s="785"/>
      <c r="AP203" s="785"/>
      <c r="AQ203" s="785"/>
      <c r="AR203" s="785"/>
      <c r="AS203" s="785"/>
      <c r="AT203" s="785"/>
      <c r="AU203" s="785"/>
      <c r="AV203" s="785"/>
      <c r="AW203" s="785"/>
      <c r="AX203" s="785"/>
      <c r="AY203" s="785"/>
      <c r="AZ203" s="785"/>
      <c r="BA203" s="785"/>
      <c r="BB203" s="785"/>
      <c r="BC203" s="785"/>
      <c r="BD203" s="785"/>
      <c r="BE203" s="785"/>
      <c r="BF203" s="785"/>
      <c r="BG203" s="785"/>
      <c r="BH203" s="785"/>
      <c r="BI203" s="785"/>
      <c r="BJ203" s="785"/>
      <c r="BK203" s="785"/>
      <c r="BL203" s="785"/>
      <c r="BM203" s="785"/>
      <c r="BN203" s="785"/>
      <c r="BO203" s="785"/>
      <c r="BP203" s="785"/>
      <c r="BQ203" s="785"/>
      <c r="BR203" s="785"/>
      <c r="BS203" s="785"/>
      <c r="BT203" s="785"/>
    </row>
    <row r="204" spans="1:72">
      <c r="A204" s="785"/>
      <c r="B204" s="785"/>
      <c r="C204" s="785"/>
      <c r="D204" s="785"/>
      <c r="E204" s="785"/>
      <c r="F204" s="785"/>
      <c r="G204" s="785"/>
      <c r="H204" s="785"/>
      <c r="I204" s="785"/>
      <c r="J204" s="785"/>
      <c r="K204" s="785"/>
      <c r="L204" s="785"/>
      <c r="M204" s="785"/>
      <c r="N204" s="785"/>
      <c r="O204" s="785"/>
      <c r="P204" s="785"/>
      <c r="Q204" s="785"/>
      <c r="R204" s="785"/>
      <c r="S204" s="785"/>
      <c r="T204" s="785"/>
      <c r="U204" s="785"/>
      <c r="V204" s="785"/>
      <c r="W204" s="785"/>
      <c r="X204" s="785"/>
      <c r="Y204" s="785"/>
      <c r="Z204" s="785"/>
      <c r="AA204" s="785"/>
      <c r="AB204" s="785"/>
      <c r="AC204" s="785"/>
      <c r="AD204" s="785"/>
      <c r="AE204" s="785"/>
      <c r="AF204" s="785"/>
      <c r="AG204" s="785"/>
      <c r="AH204" s="785"/>
      <c r="AI204" s="785"/>
      <c r="AJ204" s="785"/>
      <c r="AK204" s="785"/>
      <c r="AL204" s="785"/>
      <c r="AM204" s="785"/>
      <c r="AN204" s="785"/>
      <c r="AO204" s="785"/>
      <c r="AP204" s="785"/>
      <c r="AQ204" s="785"/>
      <c r="AR204" s="785"/>
      <c r="AS204" s="785"/>
      <c r="AT204" s="785"/>
      <c r="AU204" s="785"/>
      <c r="AV204" s="785"/>
      <c r="AW204" s="785"/>
      <c r="AX204" s="785"/>
      <c r="AY204" s="785"/>
      <c r="AZ204" s="785"/>
      <c r="BA204" s="785"/>
      <c r="BB204" s="785"/>
      <c r="BC204" s="785"/>
      <c r="BD204" s="785"/>
      <c r="BE204" s="785"/>
      <c r="BF204" s="785"/>
      <c r="BG204" s="785"/>
      <c r="BH204" s="785"/>
      <c r="BI204" s="785"/>
      <c r="BJ204" s="785"/>
      <c r="BK204" s="785"/>
      <c r="BL204" s="785"/>
      <c r="BM204" s="785"/>
      <c r="BN204" s="785"/>
      <c r="BO204" s="785"/>
      <c r="BP204" s="785"/>
      <c r="BQ204" s="785"/>
      <c r="BR204" s="785"/>
      <c r="BS204" s="785"/>
      <c r="BT204" s="785"/>
    </row>
    <row r="205" spans="1:72">
      <c r="A205" s="785"/>
      <c r="B205" s="785"/>
      <c r="C205" s="785"/>
      <c r="D205" s="785"/>
      <c r="E205" s="785"/>
      <c r="F205" s="785"/>
      <c r="G205" s="785"/>
      <c r="H205" s="785"/>
      <c r="I205" s="785"/>
      <c r="J205" s="785"/>
      <c r="K205" s="785"/>
      <c r="L205" s="785"/>
      <c r="M205" s="785"/>
      <c r="N205" s="785"/>
      <c r="O205" s="785"/>
      <c r="P205" s="785"/>
      <c r="Q205" s="785"/>
      <c r="R205" s="785"/>
      <c r="S205" s="785"/>
      <c r="T205" s="785"/>
      <c r="U205" s="785"/>
      <c r="V205" s="785"/>
      <c r="W205" s="785"/>
      <c r="X205" s="785"/>
      <c r="Y205" s="785"/>
      <c r="Z205" s="785"/>
      <c r="AA205" s="785"/>
      <c r="AB205" s="785"/>
      <c r="AC205" s="785"/>
      <c r="AD205" s="785"/>
      <c r="AE205" s="785"/>
      <c r="AF205" s="785"/>
      <c r="AG205" s="785"/>
      <c r="AH205" s="785"/>
      <c r="AI205" s="785"/>
      <c r="AJ205" s="785"/>
      <c r="AK205" s="785"/>
      <c r="AL205" s="785"/>
      <c r="AM205" s="785"/>
      <c r="AN205" s="785"/>
      <c r="AO205" s="785"/>
      <c r="AP205" s="785"/>
      <c r="AQ205" s="785"/>
      <c r="AR205" s="785"/>
      <c r="AS205" s="785"/>
      <c r="AT205" s="785"/>
      <c r="AU205" s="785"/>
      <c r="AV205" s="785"/>
      <c r="AW205" s="785"/>
      <c r="AX205" s="785"/>
      <c r="AY205" s="785"/>
      <c r="AZ205" s="785"/>
      <c r="BA205" s="785"/>
      <c r="BB205" s="785"/>
      <c r="BC205" s="785"/>
      <c r="BD205" s="785"/>
      <c r="BE205" s="785"/>
      <c r="BF205" s="785"/>
      <c r="BG205" s="785"/>
      <c r="BH205" s="785"/>
      <c r="BI205" s="785"/>
      <c r="BJ205" s="785"/>
      <c r="BK205" s="785"/>
      <c r="BL205" s="785"/>
      <c r="BM205" s="785"/>
      <c r="BN205" s="785"/>
      <c r="BO205" s="785"/>
      <c r="BP205" s="785"/>
      <c r="BQ205" s="785"/>
      <c r="BR205" s="785"/>
      <c r="BS205" s="785"/>
      <c r="BT205" s="785"/>
    </row>
    <row r="206" spans="1:72">
      <c r="A206" s="785"/>
      <c r="B206" s="785"/>
      <c r="C206" s="785"/>
      <c r="D206" s="785"/>
      <c r="E206" s="785"/>
      <c r="F206" s="785"/>
      <c r="G206" s="785"/>
      <c r="H206" s="785"/>
      <c r="I206" s="785"/>
      <c r="J206" s="785"/>
      <c r="K206" s="785"/>
      <c r="L206" s="785"/>
      <c r="M206" s="785"/>
      <c r="N206" s="785"/>
      <c r="O206" s="785"/>
      <c r="P206" s="785"/>
      <c r="Q206" s="785"/>
      <c r="R206" s="785"/>
      <c r="S206" s="785"/>
      <c r="T206" s="785"/>
      <c r="U206" s="785"/>
      <c r="V206" s="785"/>
      <c r="W206" s="785"/>
      <c r="X206" s="785"/>
      <c r="Y206" s="785"/>
      <c r="Z206" s="785"/>
      <c r="AA206" s="785"/>
      <c r="AB206" s="785"/>
      <c r="AC206" s="785"/>
      <c r="AD206" s="785"/>
      <c r="AE206" s="785"/>
      <c r="AF206" s="785"/>
      <c r="AG206" s="785"/>
      <c r="AH206" s="785"/>
      <c r="AI206" s="785"/>
      <c r="AJ206" s="785"/>
      <c r="AK206" s="785"/>
      <c r="AL206" s="785"/>
      <c r="AM206" s="785"/>
      <c r="AN206" s="785"/>
      <c r="AO206" s="785"/>
      <c r="AP206" s="785"/>
      <c r="AQ206" s="785"/>
      <c r="AR206" s="785"/>
      <c r="AS206" s="785"/>
      <c r="AT206" s="785"/>
      <c r="AU206" s="785"/>
      <c r="AV206" s="785"/>
      <c r="AW206" s="785"/>
      <c r="AX206" s="785"/>
      <c r="AY206" s="785"/>
      <c r="AZ206" s="785"/>
      <c r="BA206" s="785"/>
      <c r="BB206" s="785"/>
      <c r="BC206" s="785"/>
      <c r="BD206" s="785"/>
      <c r="BE206" s="785"/>
      <c r="BF206" s="785"/>
      <c r="BG206" s="785"/>
      <c r="BH206" s="785"/>
      <c r="BI206" s="785"/>
      <c r="BJ206" s="785"/>
      <c r="BK206" s="785"/>
      <c r="BL206" s="785"/>
      <c r="BM206" s="785"/>
      <c r="BN206" s="785"/>
      <c r="BO206" s="785"/>
      <c r="BP206" s="785"/>
      <c r="BQ206" s="785"/>
      <c r="BR206" s="785"/>
      <c r="BS206" s="785"/>
      <c r="BT206" s="785"/>
    </row>
    <row r="207" spans="1:72">
      <c r="A207" s="785" t="s">
        <v>628</v>
      </c>
      <c r="B207" s="785"/>
      <c r="C207" s="785"/>
      <c r="D207" s="785"/>
      <c r="E207" s="785"/>
      <c r="F207" s="785"/>
      <c r="G207" s="785"/>
      <c r="H207" s="785"/>
      <c r="I207" s="785"/>
      <c r="J207" s="785"/>
      <c r="K207" s="785"/>
      <c r="L207" s="785"/>
      <c r="M207" s="785"/>
      <c r="N207" s="785"/>
      <c r="O207" s="785"/>
      <c r="P207" s="785"/>
      <c r="Q207" s="785"/>
      <c r="R207" s="785"/>
      <c r="S207" s="785"/>
      <c r="T207" s="785"/>
      <c r="U207" s="785"/>
      <c r="V207" s="785"/>
      <c r="W207" s="785"/>
      <c r="X207" s="785"/>
      <c r="Y207" s="785"/>
      <c r="Z207" s="785"/>
      <c r="AA207" s="785"/>
      <c r="AB207" s="785"/>
      <c r="AC207" s="785"/>
      <c r="AD207" s="785"/>
      <c r="AE207" s="785"/>
      <c r="AF207" s="785"/>
      <c r="AG207" s="785"/>
      <c r="AH207" s="785"/>
      <c r="AI207" s="785"/>
      <c r="AJ207" s="785"/>
      <c r="AK207" s="785"/>
      <c r="AL207" s="785"/>
      <c r="AM207" s="785"/>
      <c r="AN207" s="785"/>
      <c r="AO207" s="785"/>
      <c r="AP207" s="785"/>
      <c r="AQ207" s="785"/>
      <c r="AR207" s="785"/>
      <c r="AS207" s="785"/>
      <c r="AT207" s="785"/>
      <c r="AU207" s="785"/>
      <c r="AV207" s="785"/>
      <c r="AW207" s="785"/>
      <c r="AX207" s="785"/>
      <c r="AY207" s="785"/>
      <c r="AZ207" s="785"/>
      <c r="BA207" s="785"/>
      <c r="BB207" s="785"/>
      <c r="BC207" s="785"/>
      <c r="BD207" s="785"/>
      <c r="BE207" s="785"/>
      <c r="BF207" s="785"/>
      <c r="BG207" s="785"/>
      <c r="BH207" s="785"/>
      <c r="BI207" s="785"/>
      <c r="BJ207" s="785"/>
      <c r="BK207" s="785"/>
      <c r="BL207" s="785"/>
      <c r="BM207" s="785"/>
      <c r="BN207" s="785"/>
      <c r="BO207" s="785"/>
      <c r="BP207" s="785"/>
      <c r="BQ207" s="785"/>
      <c r="BR207" s="785"/>
      <c r="BS207" s="785"/>
      <c r="BT207" s="785"/>
    </row>
    <row r="208" spans="1:72">
      <c r="A208" s="785" t="s">
        <v>629</v>
      </c>
      <c r="B208" s="785"/>
      <c r="C208" s="785"/>
      <c r="D208" s="785"/>
      <c r="E208" s="785"/>
      <c r="F208" s="785"/>
      <c r="G208" s="785"/>
      <c r="H208" s="785"/>
      <c r="I208" s="785"/>
      <c r="J208" s="785"/>
      <c r="K208" s="785"/>
      <c r="L208" s="785"/>
      <c r="M208" s="785"/>
      <c r="N208" s="785"/>
      <c r="O208" s="785"/>
      <c r="P208" s="785"/>
      <c r="Q208" s="785"/>
      <c r="R208" s="785"/>
      <c r="S208" s="785"/>
      <c r="T208" s="785"/>
      <c r="U208" s="785"/>
      <c r="V208" s="785"/>
      <c r="W208" s="785"/>
      <c r="X208" s="785"/>
      <c r="Y208" s="785"/>
      <c r="Z208" s="785"/>
      <c r="AA208" s="785"/>
      <c r="AB208" s="785"/>
      <c r="AC208" s="785"/>
      <c r="AD208" s="785"/>
      <c r="AE208" s="785"/>
      <c r="AF208" s="785"/>
      <c r="AG208" s="785"/>
      <c r="AH208" s="785"/>
      <c r="AI208" s="785"/>
      <c r="AJ208" s="785"/>
      <c r="AK208" s="785"/>
      <c r="AL208" s="785"/>
      <c r="AM208" s="785"/>
      <c r="AN208" s="785"/>
      <c r="AO208" s="785"/>
      <c r="AP208" s="785"/>
      <c r="AQ208" s="785"/>
      <c r="AR208" s="785"/>
      <c r="AS208" s="785"/>
      <c r="AT208" s="785"/>
      <c r="AU208" s="785"/>
      <c r="AV208" s="785"/>
      <c r="AW208" s="785"/>
      <c r="AX208" s="785"/>
      <c r="AY208" s="785"/>
      <c r="AZ208" s="785"/>
      <c r="BA208" s="785"/>
      <c r="BB208" s="785"/>
      <c r="BC208" s="785"/>
      <c r="BD208" s="785"/>
      <c r="BE208" s="785"/>
      <c r="BF208" s="785"/>
      <c r="BG208" s="785"/>
      <c r="BH208" s="785"/>
      <c r="BI208" s="785"/>
      <c r="BJ208" s="785"/>
      <c r="BK208" s="785"/>
      <c r="BL208" s="785"/>
      <c r="BM208" s="785"/>
      <c r="BN208" s="785"/>
      <c r="BO208" s="785"/>
      <c r="BP208" s="785"/>
      <c r="BQ208" s="785"/>
      <c r="BR208" s="785"/>
      <c r="BS208" s="785"/>
      <c r="BT208" s="785"/>
    </row>
    <row r="209" spans="1:72">
      <c r="A209" s="785" t="s">
        <v>630</v>
      </c>
      <c r="B209" s="785"/>
      <c r="C209" s="785"/>
      <c r="D209" s="785"/>
      <c r="E209" s="785"/>
      <c r="F209" s="785"/>
      <c r="G209" s="785"/>
      <c r="H209" s="785"/>
      <c r="I209" s="785"/>
      <c r="J209" s="785"/>
      <c r="K209" s="785"/>
      <c r="L209" s="785"/>
      <c r="M209" s="785"/>
      <c r="N209" s="785"/>
      <c r="O209" s="785"/>
      <c r="P209" s="785"/>
      <c r="Q209" s="785"/>
      <c r="R209" s="785"/>
      <c r="S209" s="785"/>
      <c r="T209" s="785"/>
      <c r="U209" s="785"/>
      <c r="V209" s="785"/>
      <c r="W209" s="785"/>
      <c r="X209" s="785"/>
      <c r="Y209" s="785"/>
      <c r="Z209" s="785"/>
      <c r="AA209" s="785"/>
      <c r="AB209" s="785"/>
      <c r="AC209" s="785"/>
      <c r="AD209" s="785"/>
      <c r="AE209" s="785"/>
      <c r="AF209" s="785"/>
      <c r="AG209" s="785"/>
      <c r="AH209" s="785"/>
      <c r="AI209" s="785"/>
      <c r="AJ209" s="785"/>
      <c r="AK209" s="785"/>
      <c r="AL209" s="785"/>
      <c r="AM209" s="785"/>
      <c r="AN209" s="785"/>
      <c r="AO209" s="785"/>
      <c r="AP209" s="785"/>
      <c r="AQ209" s="785"/>
      <c r="AR209" s="785"/>
      <c r="AS209" s="785"/>
      <c r="AT209" s="785"/>
      <c r="AU209" s="785"/>
      <c r="AV209" s="785"/>
      <c r="AW209" s="785"/>
      <c r="AX209" s="785"/>
      <c r="AY209" s="785"/>
      <c r="AZ209" s="785"/>
      <c r="BA209" s="785"/>
      <c r="BB209" s="785"/>
      <c r="BC209" s="785"/>
      <c r="BD209" s="785"/>
      <c r="BE209" s="785"/>
      <c r="BF209" s="785"/>
      <c r="BG209" s="785"/>
      <c r="BH209" s="785"/>
      <c r="BI209" s="785"/>
      <c r="BJ209" s="785"/>
      <c r="BK209" s="785"/>
      <c r="BL209" s="785"/>
      <c r="BM209" s="785"/>
      <c r="BN209" s="785"/>
      <c r="BO209" s="785"/>
      <c r="BP209" s="785"/>
      <c r="BQ209" s="785"/>
      <c r="BR209" s="785"/>
      <c r="BS209" s="785"/>
      <c r="BT209" s="785"/>
    </row>
    <row r="210" spans="1:72">
      <c r="A210" s="785" t="s">
        <v>788</v>
      </c>
      <c r="B210" s="785"/>
      <c r="C210" s="785"/>
      <c r="D210" s="785"/>
      <c r="E210" s="785"/>
      <c r="F210" s="785"/>
      <c r="G210" s="785"/>
      <c r="H210" s="785"/>
      <c r="I210" s="785"/>
      <c r="J210" s="785"/>
      <c r="K210" s="785"/>
      <c r="L210" s="785"/>
      <c r="M210" s="785"/>
      <c r="N210" s="785"/>
      <c r="O210" s="785"/>
      <c r="P210" s="785"/>
      <c r="Q210" s="785"/>
      <c r="R210" s="785"/>
      <c r="S210" s="785"/>
      <c r="T210" s="785"/>
      <c r="U210" s="785"/>
      <c r="V210" s="785"/>
      <c r="W210" s="785"/>
      <c r="X210" s="785"/>
      <c r="Y210" s="785"/>
      <c r="Z210" s="785"/>
      <c r="AA210" s="785"/>
      <c r="AB210" s="785"/>
      <c r="AC210" s="785"/>
      <c r="AD210" s="785"/>
      <c r="AE210" s="785"/>
      <c r="AF210" s="785"/>
      <c r="AG210" s="785"/>
      <c r="AH210" s="785"/>
      <c r="AI210" s="785"/>
      <c r="AJ210" s="785"/>
      <c r="AK210" s="785"/>
      <c r="AL210" s="785"/>
      <c r="AM210" s="785"/>
      <c r="AN210" s="785"/>
      <c r="AO210" s="785"/>
      <c r="AP210" s="785"/>
      <c r="AQ210" s="785"/>
      <c r="AR210" s="785"/>
      <c r="AS210" s="785"/>
      <c r="AT210" s="785"/>
      <c r="AU210" s="785"/>
      <c r="AV210" s="785"/>
      <c r="AW210" s="785"/>
      <c r="AX210" s="785"/>
      <c r="AY210" s="785"/>
      <c r="AZ210" s="785"/>
      <c r="BA210" s="785"/>
      <c r="BB210" s="785"/>
      <c r="BC210" s="785"/>
      <c r="BD210" s="785"/>
      <c r="BE210" s="785"/>
      <c r="BF210" s="785"/>
      <c r="BG210" s="785"/>
      <c r="BH210" s="785"/>
      <c r="BI210" s="785"/>
      <c r="BJ210" s="785"/>
      <c r="BK210" s="785"/>
      <c r="BL210" s="785"/>
      <c r="BM210" s="785"/>
      <c r="BN210" s="785"/>
      <c r="BO210" s="785"/>
      <c r="BP210" s="785"/>
      <c r="BQ210" s="785"/>
      <c r="BR210" s="785"/>
      <c r="BS210" s="785"/>
      <c r="BT210" s="785"/>
    </row>
    <row r="211" spans="1:72">
      <c r="A211" s="785" t="s">
        <v>789</v>
      </c>
      <c r="B211" s="785"/>
      <c r="C211" s="785"/>
      <c r="D211" s="785"/>
      <c r="E211" s="785"/>
      <c r="F211" s="785"/>
      <c r="G211" s="785"/>
      <c r="H211" s="785"/>
      <c r="I211" s="785"/>
      <c r="J211" s="785"/>
      <c r="K211" s="785"/>
      <c r="L211" s="785"/>
      <c r="M211" s="785"/>
      <c r="N211" s="785"/>
      <c r="O211" s="785"/>
      <c r="P211" s="785"/>
      <c r="Q211" s="785"/>
      <c r="R211" s="785"/>
      <c r="S211" s="785"/>
      <c r="T211" s="785"/>
      <c r="U211" s="785"/>
      <c r="V211" s="785"/>
      <c r="W211" s="785"/>
      <c r="X211" s="785"/>
      <c r="Y211" s="785"/>
      <c r="Z211" s="785"/>
      <c r="AA211" s="785"/>
      <c r="AB211" s="785"/>
      <c r="AC211" s="785"/>
      <c r="AD211" s="785"/>
      <c r="AE211" s="785"/>
      <c r="AF211" s="785"/>
      <c r="AG211" s="785"/>
      <c r="AH211" s="785"/>
      <c r="AI211" s="785"/>
      <c r="AJ211" s="785"/>
      <c r="AK211" s="785"/>
      <c r="AL211" s="785"/>
      <c r="AM211" s="785"/>
      <c r="AN211" s="785"/>
      <c r="AO211" s="785"/>
      <c r="AP211" s="785"/>
      <c r="AQ211" s="785"/>
      <c r="AR211" s="785"/>
      <c r="AS211" s="785"/>
      <c r="AT211" s="785"/>
      <c r="AU211" s="785"/>
      <c r="AV211" s="785"/>
      <c r="AW211" s="785"/>
      <c r="AX211" s="785"/>
      <c r="AY211" s="785"/>
      <c r="AZ211" s="785"/>
      <c r="BA211" s="785"/>
      <c r="BB211" s="785"/>
      <c r="BC211" s="785"/>
      <c r="BD211" s="785"/>
      <c r="BE211" s="785"/>
      <c r="BF211" s="785"/>
      <c r="BG211" s="785"/>
      <c r="BH211" s="785"/>
      <c r="BI211" s="785"/>
      <c r="BJ211" s="785"/>
      <c r="BK211" s="785"/>
      <c r="BL211" s="785"/>
      <c r="BM211" s="785"/>
      <c r="BN211" s="785"/>
      <c r="BO211" s="785"/>
      <c r="BP211" s="785"/>
      <c r="BQ211" s="785"/>
      <c r="BR211" s="785"/>
      <c r="BS211" s="785"/>
      <c r="BT211" s="785"/>
    </row>
    <row r="212" spans="1:72">
      <c r="A212" s="785" t="s">
        <v>647</v>
      </c>
      <c r="B212" s="785"/>
      <c r="C212" s="785"/>
      <c r="D212" s="785"/>
      <c r="E212" s="785"/>
      <c r="F212" s="785"/>
      <c r="G212" s="785"/>
      <c r="H212" s="785"/>
      <c r="I212" s="785"/>
      <c r="J212" s="785"/>
      <c r="K212" s="785"/>
      <c r="L212" s="785"/>
      <c r="M212" s="785"/>
      <c r="N212" s="785"/>
      <c r="O212" s="785"/>
      <c r="P212" s="785"/>
      <c r="Q212" s="785"/>
      <c r="R212" s="785"/>
      <c r="S212" s="785"/>
      <c r="T212" s="785"/>
      <c r="U212" s="785"/>
      <c r="V212" s="785"/>
      <c r="W212" s="785"/>
      <c r="X212" s="785"/>
      <c r="Y212" s="785"/>
      <c r="Z212" s="785"/>
      <c r="AA212" s="785"/>
      <c r="AB212" s="785"/>
      <c r="AC212" s="785"/>
      <c r="AD212" s="785"/>
      <c r="AE212" s="785"/>
      <c r="AF212" s="785"/>
      <c r="AG212" s="785"/>
      <c r="AH212" s="785"/>
      <c r="AI212" s="785"/>
      <c r="AJ212" s="785"/>
      <c r="AK212" s="785"/>
      <c r="AL212" s="785"/>
      <c r="AM212" s="785"/>
      <c r="AN212" s="785"/>
      <c r="AO212" s="785"/>
      <c r="AP212" s="785"/>
      <c r="AQ212" s="785"/>
      <c r="AR212" s="785"/>
      <c r="AS212" s="785"/>
      <c r="AT212" s="785"/>
      <c r="AU212" s="785"/>
      <c r="AV212" s="785"/>
      <c r="AW212" s="785"/>
      <c r="AX212" s="785"/>
      <c r="AY212" s="785"/>
      <c r="AZ212" s="785"/>
      <c r="BA212" s="785"/>
      <c r="BB212" s="785"/>
      <c r="BC212" s="785"/>
      <c r="BD212" s="785"/>
      <c r="BE212" s="785"/>
      <c r="BF212" s="785"/>
      <c r="BG212" s="785"/>
      <c r="BH212" s="785"/>
      <c r="BI212" s="785"/>
      <c r="BJ212" s="785"/>
      <c r="BK212" s="785"/>
      <c r="BL212" s="785"/>
      <c r="BM212" s="785"/>
      <c r="BN212" s="785"/>
      <c r="BO212" s="785"/>
      <c r="BP212" s="785"/>
      <c r="BQ212" s="785"/>
      <c r="BR212" s="785"/>
      <c r="BS212" s="785"/>
      <c r="BT212" s="785"/>
    </row>
    <row r="213" spans="1:72">
      <c r="A213" s="785" t="s">
        <v>648</v>
      </c>
      <c r="B213" s="785"/>
      <c r="C213" s="785"/>
      <c r="D213" s="785"/>
      <c r="E213" s="785"/>
      <c r="F213" s="785"/>
      <c r="G213" s="785"/>
      <c r="H213" s="785"/>
      <c r="I213" s="785"/>
      <c r="J213" s="785"/>
      <c r="K213" s="785"/>
      <c r="L213" s="785"/>
      <c r="M213" s="785"/>
      <c r="N213" s="785"/>
      <c r="O213" s="785"/>
      <c r="P213" s="785"/>
      <c r="Q213" s="785"/>
      <c r="R213" s="785"/>
      <c r="S213" s="785"/>
      <c r="T213" s="785"/>
      <c r="U213" s="785"/>
      <c r="V213" s="785"/>
      <c r="W213" s="785"/>
      <c r="X213" s="785"/>
      <c r="Y213" s="785"/>
      <c r="Z213" s="785"/>
      <c r="AA213" s="785"/>
      <c r="AB213" s="785"/>
      <c r="AC213" s="785"/>
      <c r="AD213" s="785"/>
      <c r="AE213" s="785"/>
      <c r="AF213" s="785"/>
      <c r="AG213" s="785"/>
      <c r="AH213" s="785"/>
      <c r="AI213" s="785"/>
      <c r="AJ213" s="785"/>
      <c r="AK213" s="785"/>
      <c r="AL213" s="785"/>
      <c r="AM213" s="785"/>
      <c r="AN213" s="785"/>
      <c r="AO213" s="785"/>
      <c r="AP213" s="785"/>
      <c r="AQ213" s="785"/>
      <c r="AR213" s="785"/>
      <c r="AS213" s="785"/>
      <c r="AT213" s="785"/>
      <c r="AU213" s="785"/>
      <c r="AV213" s="785"/>
      <c r="AW213" s="785"/>
      <c r="AX213" s="785"/>
      <c r="AY213" s="785"/>
      <c r="AZ213" s="785"/>
      <c r="BA213" s="785"/>
      <c r="BB213" s="785"/>
      <c r="BC213" s="785"/>
      <c r="BD213" s="785"/>
      <c r="BE213" s="785"/>
      <c r="BF213" s="785"/>
      <c r="BG213" s="785"/>
      <c r="BH213" s="785"/>
      <c r="BI213" s="785"/>
      <c r="BJ213" s="785"/>
      <c r="BK213" s="785"/>
      <c r="BL213" s="785"/>
      <c r="BM213" s="785"/>
      <c r="BN213" s="785"/>
      <c r="BO213" s="785"/>
      <c r="BP213" s="785"/>
      <c r="BQ213" s="785"/>
      <c r="BR213" s="785"/>
      <c r="BS213" s="785"/>
      <c r="BT213" s="785"/>
    </row>
    <row r="214" spans="1:72">
      <c r="A214" s="785" t="s">
        <v>649</v>
      </c>
      <c r="B214" s="785"/>
      <c r="C214" s="785"/>
      <c r="D214" s="785"/>
      <c r="E214" s="785"/>
      <c r="F214" s="785"/>
      <c r="G214" s="785"/>
      <c r="H214" s="785"/>
      <c r="I214" s="785"/>
      <c r="J214" s="785"/>
      <c r="K214" s="785"/>
      <c r="L214" s="785"/>
      <c r="M214" s="785"/>
      <c r="N214" s="785"/>
      <c r="O214" s="785"/>
      <c r="P214" s="785"/>
      <c r="Q214" s="785"/>
      <c r="R214" s="785"/>
      <c r="S214" s="785"/>
      <c r="T214" s="785"/>
      <c r="U214" s="785"/>
      <c r="V214" s="785"/>
      <c r="W214" s="785"/>
      <c r="X214" s="785"/>
      <c r="Y214" s="785"/>
      <c r="Z214" s="785"/>
      <c r="AA214" s="785"/>
      <c r="AB214" s="785"/>
      <c r="AC214" s="785"/>
      <c r="AD214" s="785"/>
      <c r="AE214" s="785"/>
      <c r="AF214" s="785"/>
      <c r="AG214" s="785"/>
      <c r="AH214" s="785"/>
      <c r="AI214" s="785"/>
      <c r="AJ214" s="785"/>
      <c r="AK214" s="785"/>
      <c r="AL214" s="785"/>
      <c r="AM214" s="785"/>
      <c r="AN214" s="785"/>
      <c r="AO214" s="785"/>
      <c r="AP214" s="785"/>
      <c r="AQ214" s="785"/>
      <c r="AR214" s="785"/>
      <c r="AS214" s="785"/>
      <c r="AT214" s="785"/>
      <c r="AU214" s="785"/>
      <c r="AV214" s="785"/>
      <c r="AW214" s="785"/>
      <c r="AX214" s="785"/>
      <c r="AY214" s="785"/>
      <c r="AZ214" s="785"/>
      <c r="BA214" s="785"/>
      <c r="BB214" s="785"/>
      <c r="BC214" s="785"/>
      <c r="BD214" s="785"/>
      <c r="BE214" s="785"/>
      <c r="BF214" s="785"/>
      <c r="BG214" s="785"/>
      <c r="BH214" s="785"/>
      <c r="BI214" s="785"/>
      <c r="BJ214" s="785"/>
      <c r="BK214" s="785"/>
      <c r="BL214" s="785"/>
      <c r="BM214" s="785"/>
      <c r="BN214" s="785"/>
      <c r="BO214" s="785"/>
      <c r="BP214" s="785"/>
      <c r="BQ214" s="785"/>
      <c r="BR214" s="785"/>
      <c r="BS214" s="785"/>
      <c r="BT214" s="785"/>
    </row>
    <row r="215" spans="1:72">
      <c r="A215" s="785" t="s">
        <v>650</v>
      </c>
      <c r="B215" s="785"/>
      <c r="C215" s="785"/>
      <c r="D215" s="785"/>
      <c r="E215" s="785"/>
      <c r="F215" s="785"/>
      <c r="G215" s="785"/>
      <c r="H215" s="785"/>
      <c r="I215" s="785"/>
      <c r="J215" s="785"/>
      <c r="K215" s="785"/>
      <c r="L215" s="785"/>
      <c r="M215" s="785"/>
      <c r="N215" s="785"/>
      <c r="O215" s="785"/>
      <c r="P215" s="785"/>
      <c r="Q215" s="785"/>
      <c r="R215" s="785"/>
      <c r="S215" s="785"/>
      <c r="T215" s="785"/>
      <c r="U215" s="785"/>
      <c r="V215" s="785"/>
      <c r="W215" s="785"/>
      <c r="X215" s="785"/>
      <c r="Y215" s="785"/>
      <c r="Z215" s="785"/>
      <c r="AA215" s="785"/>
      <c r="AB215" s="785"/>
      <c r="AC215" s="785"/>
      <c r="AD215" s="785"/>
      <c r="AE215" s="785"/>
      <c r="AF215" s="785"/>
      <c r="AG215" s="785"/>
      <c r="AH215" s="785"/>
      <c r="AI215" s="785"/>
      <c r="AJ215" s="785"/>
      <c r="AK215" s="785"/>
      <c r="AL215" s="785"/>
      <c r="AM215" s="785"/>
      <c r="AN215" s="785"/>
      <c r="AO215" s="785"/>
      <c r="AP215" s="785"/>
      <c r="AQ215" s="785"/>
      <c r="AR215" s="785"/>
      <c r="AS215" s="785"/>
      <c r="AT215" s="785"/>
      <c r="AU215" s="785"/>
      <c r="AV215" s="785"/>
      <c r="AW215" s="785"/>
      <c r="AX215" s="785"/>
      <c r="AY215" s="785"/>
      <c r="AZ215" s="785"/>
      <c r="BA215" s="785"/>
      <c r="BB215" s="785"/>
      <c r="BC215" s="785"/>
      <c r="BD215" s="785"/>
      <c r="BE215" s="785"/>
      <c r="BF215" s="785"/>
      <c r="BG215" s="785"/>
      <c r="BH215" s="785"/>
      <c r="BI215" s="785"/>
      <c r="BJ215" s="785"/>
      <c r="BK215" s="785"/>
      <c r="BL215" s="785"/>
      <c r="BM215" s="785"/>
      <c r="BN215" s="785"/>
      <c r="BO215" s="785"/>
      <c r="BP215" s="785"/>
      <c r="BQ215" s="785"/>
      <c r="BR215" s="785"/>
      <c r="BS215" s="785"/>
      <c r="BT215" s="785"/>
    </row>
    <row r="216" spans="1:72">
      <c r="A216" s="785" t="s">
        <v>651</v>
      </c>
      <c r="B216" s="785"/>
      <c r="C216" s="785"/>
      <c r="D216" s="785"/>
      <c r="E216" s="785"/>
      <c r="F216" s="785"/>
      <c r="G216" s="785"/>
      <c r="H216" s="785"/>
      <c r="I216" s="785"/>
      <c r="J216" s="785"/>
      <c r="K216" s="785"/>
      <c r="L216" s="785"/>
      <c r="M216" s="785"/>
      <c r="N216" s="785"/>
      <c r="O216" s="785"/>
      <c r="P216" s="785"/>
      <c r="Q216" s="785"/>
      <c r="R216" s="785"/>
      <c r="S216" s="785"/>
      <c r="T216" s="785"/>
      <c r="U216" s="785"/>
      <c r="V216" s="785"/>
      <c r="W216" s="785"/>
      <c r="X216" s="785"/>
      <c r="Y216" s="785"/>
      <c r="Z216" s="785"/>
      <c r="AA216" s="785"/>
      <c r="AB216" s="785"/>
      <c r="AC216" s="785"/>
      <c r="AD216" s="785"/>
      <c r="AE216" s="785"/>
      <c r="AF216" s="785"/>
      <c r="AG216" s="785"/>
      <c r="AH216" s="785"/>
      <c r="AI216" s="785"/>
      <c r="AJ216" s="785"/>
      <c r="AK216" s="785"/>
      <c r="AL216" s="785"/>
      <c r="AM216" s="785"/>
      <c r="AN216" s="785"/>
      <c r="AO216" s="785"/>
      <c r="AP216" s="785"/>
      <c r="AQ216" s="785"/>
      <c r="AR216" s="785"/>
      <c r="AS216" s="785"/>
      <c r="AT216" s="785"/>
      <c r="AU216" s="785"/>
      <c r="AV216" s="785"/>
      <c r="AW216" s="785"/>
      <c r="AX216" s="785"/>
      <c r="AY216" s="785"/>
      <c r="AZ216" s="785"/>
      <c r="BA216" s="785"/>
      <c r="BB216" s="785"/>
      <c r="BC216" s="785"/>
      <c r="BD216" s="785"/>
      <c r="BE216" s="785"/>
      <c r="BF216" s="785"/>
      <c r="BG216" s="785"/>
      <c r="BH216" s="785"/>
      <c r="BI216" s="785"/>
      <c r="BJ216" s="785"/>
      <c r="BK216" s="785"/>
      <c r="BL216" s="785"/>
      <c r="BM216" s="785"/>
      <c r="BN216" s="785"/>
      <c r="BO216" s="785"/>
      <c r="BP216" s="785"/>
      <c r="BQ216" s="785"/>
      <c r="BR216" s="785"/>
      <c r="BS216" s="785"/>
      <c r="BT216" s="785"/>
    </row>
    <row r="217" spans="1:72">
      <c r="A217" s="785" t="s">
        <v>652</v>
      </c>
      <c r="B217" s="785"/>
      <c r="C217" s="785"/>
      <c r="D217" s="785"/>
      <c r="E217" s="785"/>
      <c r="F217" s="785"/>
      <c r="G217" s="785"/>
      <c r="H217" s="785"/>
      <c r="I217" s="785"/>
      <c r="J217" s="785"/>
      <c r="K217" s="785"/>
      <c r="L217" s="785"/>
      <c r="M217" s="785"/>
      <c r="N217" s="785"/>
      <c r="O217" s="785"/>
      <c r="P217" s="785"/>
      <c r="Q217" s="785"/>
      <c r="R217" s="785"/>
      <c r="S217" s="785"/>
      <c r="T217" s="785"/>
      <c r="U217" s="785"/>
      <c r="V217" s="785"/>
      <c r="W217" s="785"/>
      <c r="X217" s="785"/>
      <c r="Y217" s="785"/>
      <c r="Z217" s="785"/>
      <c r="AA217" s="785"/>
      <c r="AB217" s="785"/>
      <c r="AC217" s="785"/>
      <c r="AD217" s="785"/>
      <c r="AE217" s="785"/>
      <c r="AF217" s="785"/>
      <c r="AG217" s="785"/>
      <c r="AH217" s="785"/>
      <c r="AI217" s="785"/>
      <c r="AJ217" s="785"/>
      <c r="AK217" s="785"/>
      <c r="AL217" s="785"/>
      <c r="AM217" s="785"/>
      <c r="AN217" s="785"/>
      <c r="AO217" s="785"/>
      <c r="AP217" s="785"/>
      <c r="AQ217" s="785"/>
      <c r="AR217" s="785"/>
      <c r="AS217" s="785"/>
      <c r="AT217" s="785"/>
      <c r="AU217" s="785"/>
      <c r="AV217" s="785"/>
      <c r="AW217" s="785"/>
      <c r="AX217" s="785"/>
      <c r="AY217" s="785"/>
      <c r="AZ217" s="785"/>
      <c r="BA217" s="785"/>
      <c r="BB217" s="785"/>
      <c r="BC217" s="785"/>
      <c r="BD217" s="785"/>
      <c r="BE217" s="785"/>
      <c r="BF217" s="785"/>
      <c r="BG217" s="785"/>
      <c r="BH217" s="785"/>
      <c r="BI217" s="785"/>
      <c r="BJ217" s="785"/>
      <c r="BK217" s="785"/>
      <c r="BL217" s="785"/>
      <c r="BM217" s="785"/>
      <c r="BN217" s="785"/>
      <c r="BO217" s="785"/>
      <c r="BP217" s="785"/>
      <c r="BQ217" s="785"/>
      <c r="BR217" s="785"/>
      <c r="BS217" s="785"/>
      <c r="BT217" s="785"/>
    </row>
    <row r="218" spans="1:72">
      <c r="A218" s="785" t="s">
        <v>543</v>
      </c>
      <c r="B218" s="785"/>
      <c r="C218" s="785"/>
      <c r="D218" s="785"/>
      <c r="E218" s="785"/>
      <c r="F218" s="785"/>
      <c r="G218" s="785"/>
      <c r="H218" s="785"/>
      <c r="I218" s="785"/>
      <c r="J218" s="785"/>
      <c r="K218" s="785"/>
      <c r="L218" s="785"/>
      <c r="M218" s="785"/>
      <c r="N218" s="785"/>
      <c r="O218" s="785"/>
      <c r="P218" s="785"/>
      <c r="Q218" s="785"/>
      <c r="R218" s="785"/>
      <c r="S218" s="785"/>
      <c r="T218" s="785"/>
      <c r="U218" s="785"/>
      <c r="V218" s="785"/>
      <c r="W218" s="785"/>
      <c r="X218" s="785"/>
      <c r="Y218" s="785"/>
      <c r="Z218" s="785"/>
      <c r="AA218" s="785"/>
      <c r="AB218" s="785"/>
      <c r="AC218" s="785"/>
      <c r="AD218" s="785"/>
      <c r="AE218" s="785"/>
      <c r="AF218" s="785"/>
      <c r="AG218" s="785"/>
      <c r="AH218" s="785"/>
      <c r="AI218" s="785"/>
      <c r="AJ218" s="785"/>
      <c r="AK218" s="785"/>
      <c r="AL218" s="785"/>
      <c r="AM218" s="785"/>
      <c r="AN218" s="785"/>
      <c r="AO218" s="785"/>
      <c r="AP218" s="785"/>
      <c r="AQ218" s="785"/>
      <c r="AR218" s="785"/>
      <c r="AS218" s="785"/>
      <c r="AT218" s="785"/>
      <c r="AU218" s="785"/>
      <c r="AV218" s="785"/>
      <c r="AW218" s="785"/>
      <c r="AX218" s="785"/>
      <c r="AY218" s="785"/>
      <c r="AZ218" s="785"/>
      <c r="BA218" s="785"/>
      <c r="BB218" s="785"/>
      <c r="BC218" s="785"/>
      <c r="BD218" s="785"/>
      <c r="BE218" s="785"/>
      <c r="BF218" s="785"/>
      <c r="BG218" s="785"/>
      <c r="BH218" s="785"/>
      <c r="BI218" s="785"/>
      <c r="BJ218" s="785"/>
      <c r="BK218" s="785"/>
      <c r="BL218" s="785"/>
      <c r="BM218" s="785"/>
      <c r="BN218" s="785"/>
      <c r="BO218" s="785"/>
      <c r="BP218" s="785"/>
      <c r="BQ218" s="785"/>
      <c r="BR218" s="785"/>
      <c r="BS218" s="785"/>
      <c r="BT218" s="785"/>
    </row>
    <row r="219" spans="1:72">
      <c r="A219" s="785" t="s">
        <v>728</v>
      </c>
      <c r="B219" s="785"/>
      <c r="C219" s="785"/>
      <c r="D219" s="785"/>
      <c r="E219" s="785"/>
      <c r="F219" s="785"/>
      <c r="G219" s="785"/>
      <c r="H219" s="785"/>
      <c r="I219" s="785"/>
      <c r="J219" s="785"/>
      <c r="K219" s="785"/>
      <c r="L219" s="785"/>
      <c r="M219" s="785"/>
      <c r="N219" s="785"/>
      <c r="O219" s="785"/>
      <c r="P219" s="785"/>
      <c r="Q219" s="785"/>
      <c r="R219" s="785"/>
      <c r="S219" s="785"/>
      <c r="T219" s="785"/>
      <c r="U219" s="785"/>
      <c r="V219" s="785"/>
      <c r="W219" s="785"/>
      <c r="X219" s="785"/>
      <c r="Y219" s="785"/>
      <c r="Z219" s="785"/>
      <c r="AA219" s="785"/>
      <c r="AB219" s="785"/>
      <c r="AC219" s="785"/>
      <c r="AD219" s="785"/>
      <c r="AE219" s="785"/>
      <c r="AF219" s="785"/>
      <c r="AG219" s="785"/>
      <c r="AH219" s="785"/>
      <c r="AI219" s="785"/>
      <c r="AJ219" s="785"/>
      <c r="AK219" s="785"/>
      <c r="AL219" s="785"/>
      <c r="AM219" s="785"/>
      <c r="AN219" s="785"/>
      <c r="AO219" s="785"/>
      <c r="AP219" s="785"/>
      <c r="AQ219" s="785"/>
      <c r="AR219" s="785"/>
      <c r="AS219" s="785"/>
      <c r="AT219" s="785"/>
      <c r="AU219" s="785"/>
      <c r="AV219" s="785"/>
      <c r="AW219" s="785"/>
      <c r="AX219" s="785"/>
      <c r="AY219" s="785"/>
      <c r="AZ219" s="785"/>
      <c r="BA219" s="785"/>
      <c r="BB219" s="785"/>
      <c r="BC219" s="785"/>
      <c r="BD219" s="785"/>
      <c r="BE219" s="785"/>
      <c r="BF219" s="785"/>
      <c r="BG219" s="785"/>
      <c r="BH219" s="785"/>
      <c r="BI219" s="785"/>
      <c r="BJ219" s="785"/>
      <c r="BK219" s="785"/>
      <c r="BL219" s="785"/>
      <c r="BM219" s="785"/>
      <c r="BN219" s="785"/>
      <c r="BO219" s="785"/>
      <c r="BP219" s="785"/>
      <c r="BQ219" s="785"/>
      <c r="BR219" s="785"/>
      <c r="BS219" s="785"/>
      <c r="BT219" s="785"/>
    </row>
    <row r="220" spans="1:72">
      <c r="A220" s="785" t="s">
        <v>790</v>
      </c>
      <c r="B220" s="785"/>
      <c r="C220" s="785"/>
      <c r="D220" s="785"/>
      <c r="E220" s="785"/>
      <c r="F220" s="785"/>
      <c r="G220" s="785"/>
      <c r="H220" s="785"/>
      <c r="I220" s="785"/>
      <c r="J220" s="785"/>
      <c r="K220" s="785"/>
      <c r="L220" s="785"/>
      <c r="M220" s="785"/>
      <c r="N220" s="785"/>
      <c r="O220" s="785"/>
      <c r="P220" s="785"/>
      <c r="Q220" s="785"/>
      <c r="R220" s="785"/>
      <c r="S220" s="785"/>
      <c r="T220" s="785"/>
      <c r="U220" s="785"/>
      <c r="V220" s="785"/>
      <c r="W220" s="785"/>
      <c r="X220" s="785"/>
      <c r="Y220" s="785"/>
      <c r="Z220" s="785"/>
      <c r="AA220" s="785"/>
      <c r="AB220" s="785"/>
      <c r="AC220" s="785"/>
      <c r="AD220" s="785"/>
      <c r="AE220" s="785"/>
      <c r="AF220" s="785"/>
      <c r="AG220" s="785"/>
      <c r="AH220" s="785"/>
      <c r="AI220" s="785"/>
      <c r="AJ220" s="785"/>
      <c r="AK220" s="785"/>
      <c r="AL220" s="785"/>
      <c r="AM220" s="785"/>
      <c r="AN220" s="785"/>
      <c r="AO220" s="785"/>
      <c r="AP220" s="785"/>
      <c r="AQ220" s="785"/>
      <c r="AR220" s="785"/>
      <c r="AS220" s="785"/>
      <c r="AT220" s="785"/>
      <c r="AU220" s="785"/>
      <c r="AV220" s="785"/>
      <c r="AW220" s="785"/>
      <c r="AX220" s="785"/>
      <c r="AY220" s="785"/>
      <c r="AZ220" s="785"/>
      <c r="BA220" s="785"/>
      <c r="BB220" s="785"/>
      <c r="BC220" s="785"/>
      <c r="BD220" s="785"/>
      <c r="BE220" s="785"/>
      <c r="BF220" s="785"/>
      <c r="BG220" s="785"/>
      <c r="BH220" s="785"/>
      <c r="BI220" s="785"/>
      <c r="BJ220" s="785"/>
      <c r="BK220" s="785"/>
      <c r="BL220" s="785"/>
      <c r="BM220" s="785"/>
      <c r="BN220" s="785"/>
      <c r="BO220" s="785"/>
      <c r="BP220" s="785"/>
      <c r="BQ220" s="785"/>
      <c r="BR220" s="785"/>
      <c r="BS220" s="785"/>
      <c r="BT220" s="785"/>
    </row>
    <row r="221" spans="1:72">
      <c r="A221" s="785" t="s">
        <v>791</v>
      </c>
      <c r="B221" s="785"/>
      <c r="C221" s="785"/>
      <c r="D221" s="785"/>
      <c r="E221" s="785"/>
      <c r="F221" s="785"/>
      <c r="G221" s="785"/>
      <c r="H221" s="785"/>
      <c r="I221" s="785"/>
      <c r="J221" s="785"/>
      <c r="K221" s="785"/>
      <c r="L221" s="785"/>
      <c r="M221" s="785"/>
      <c r="N221" s="785"/>
      <c r="O221" s="785"/>
      <c r="P221" s="785"/>
      <c r="Q221" s="785"/>
      <c r="R221" s="785"/>
      <c r="S221" s="785"/>
      <c r="T221" s="785"/>
      <c r="U221" s="785"/>
      <c r="V221" s="785"/>
      <c r="W221" s="785"/>
      <c r="X221" s="785"/>
      <c r="Y221" s="785"/>
      <c r="Z221" s="785"/>
      <c r="AA221" s="785"/>
      <c r="AB221" s="785"/>
      <c r="AC221" s="785"/>
      <c r="AD221" s="785"/>
      <c r="AE221" s="785"/>
      <c r="AF221" s="785"/>
      <c r="AG221" s="785"/>
      <c r="AH221" s="785"/>
      <c r="AI221" s="785"/>
      <c r="AJ221" s="785"/>
      <c r="AK221" s="785"/>
      <c r="AL221" s="785"/>
      <c r="AM221" s="785"/>
      <c r="AN221" s="785"/>
      <c r="AO221" s="785"/>
      <c r="AP221" s="785"/>
      <c r="AQ221" s="785"/>
      <c r="AR221" s="785"/>
      <c r="AS221" s="785"/>
      <c r="AT221" s="785"/>
      <c r="AU221" s="785"/>
      <c r="AV221" s="785"/>
      <c r="AW221" s="785"/>
      <c r="AX221" s="785"/>
      <c r="AY221" s="785"/>
      <c r="AZ221" s="785"/>
      <c r="BA221" s="785"/>
      <c r="BB221" s="785"/>
      <c r="BC221" s="785"/>
      <c r="BD221" s="785"/>
      <c r="BE221" s="785"/>
      <c r="BF221" s="785"/>
      <c r="BG221" s="785"/>
      <c r="BH221" s="785"/>
      <c r="BI221" s="785"/>
      <c r="BJ221" s="785"/>
      <c r="BK221" s="785"/>
      <c r="BL221" s="785"/>
      <c r="BM221" s="785"/>
      <c r="BN221" s="785"/>
      <c r="BO221" s="785"/>
      <c r="BP221" s="785"/>
      <c r="BQ221" s="785"/>
      <c r="BR221" s="785"/>
      <c r="BS221" s="785"/>
      <c r="BT221" s="785"/>
    </row>
    <row r="222" spans="1:72">
      <c r="A222" s="785" t="s">
        <v>792</v>
      </c>
      <c r="B222" s="785"/>
      <c r="C222" s="785"/>
      <c r="D222" s="785"/>
      <c r="E222" s="785"/>
      <c r="F222" s="785"/>
      <c r="G222" s="785"/>
      <c r="H222" s="785"/>
      <c r="I222" s="785"/>
      <c r="J222" s="785"/>
      <c r="K222" s="785"/>
      <c r="L222" s="785"/>
      <c r="M222" s="785"/>
      <c r="N222" s="785"/>
      <c r="O222" s="785"/>
      <c r="P222" s="785"/>
      <c r="Q222" s="785"/>
      <c r="R222" s="785"/>
      <c r="S222" s="785"/>
      <c r="T222" s="785"/>
      <c r="U222" s="785"/>
      <c r="V222" s="785"/>
      <c r="W222" s="785"/>
      <c r="X222" s="785"/>
      <c r="Y222" s="785"/>
      <c r="Z222" s="785"/>
      <c r="AA222" s="785"/>
      <c r="AB222" s="785"/>
      <c r="AC222" s="785"/>
      <c r="AD222" s="785"/>
      <c r="AE222" s="785"/>
      <c r="AF222" s="785"/>
      <c r="AG222" s="785"/>
      <c r="AH222" s="785"/>
      <c r="AI222" s="785"/>
      <c r="AJ222" s="785"/>
      <c r="AK222" s="785"/>
      <c r="AL222" s="785"/>
      <c r="AM222" s="785"/>
      <c r="AN222" s="785"/>
      <c r="AO222" s="785"/>
      <c r="AP222" s="785"/>
      <c r="AQ222" s="785"/>
      <c r="AR222" s="785"/>
      <c r="AS222" s="785"/>
      <c r="AT222" s="785"/>
      <c r="AU222" s="785"/>
      <c r="AV222" s="785"/>
      <c r="AW222" s="785"/>
      <c r="AX222" s="785"/>
      <c r="AY222" s="785"/>
      <c r="AZ222" s="785"/>
      <c r="BA222" s="785"/>
      <c r="BB222" s="785"/>
      <c r="BC222" s="785"/>
      <c r="BD222" s="785"/>
      <c r="BE222" s="785"/>
      <c r="BF222" s="785"/>
      <c r="BG222" s="785"/>
      <c r="BH222" s="785"/>
      <c r="BI222" s="785"/>
      <c r="BJ222" s="785"/>
      <c r="BK222" s="785"/>
      <c r="BL222" s="785"/>
      <c r="BM222" s="785"/>
      <c r="BN222" s="785"/>
      <c r="BO222" s="785"/>
      <c r="BP222" s="785"/>
      <c r="BQ222" s="785"/>
      <c r="BR222" s="785"/>
      <c r="BS222" s="785"/>
      <c r="BT222" s="785"/>
    </row>
    <row r="223" spans="1:72">
      <c r="A223" s="785" t="s">
        <v>793</v>
      </c>
      <c r="B223" s="785"/>
      <c r="C223" s="785"/>
      <c r="D223" s="785"/>
      <c r="E223" s="785"/>
      <c r="F223" s="785"/>
      <c r="G223" s="785"/>
      <c r="H223" s="785"/>
      <c r="I223" s="785"/>
      <c r="J223" s="785"/>
      <c r="K223" s="785"/>
      <c r="L223" s="785"/>
      <c r="M223" s="785"/>
      <c r="N223" s="785"/>
      <c r="O223" s="785"/>
      <c r="P223" s="785"/>
      <c r="Q223" s="785"/>
      <c r="R223" s="785"/>
      <c r="S223" s="785"/>
      <c r="T223" s="785"/>
      <c r="U223" s="785"/>
      <c r="V223" s="785"/>
      <c r="W223" s="785"/>
      <c r="X223" s="785"/>
      <c r="Y223" s="785"/>
      <c r="Z223" s="785"/>
      <c r="AA223" s="785"/>
      <c r="AB223" s="785"/>
      <c r="AC223" s="785"/>
      <c r="AD223" s="785"/>
      <c r="AE223" s="785"/>
      <c r="AF223" s="785"/>
      <c r="AG223" s="785"/>
      <c r="AH223" s="785"/>
      <c r="AI223" s="785"/>
      <c r="AJ223" s="785"/>
      <c r="AK223" s="785"/>
      <c r="AL223" s="785"/>
      <c r="AM223" s="785"/>
      <c r="AN223" s="785"/>
      <c r="AO223" s="785"/>
      <c r="AP223" s="785"/>
      <c r="AQ223" s="785"/>
      <c r="AR223" s="785"/>
      <c r="AS223" s="785"/>
      <c r="AT223" s="785"/>
      <c r="AU223" s="785"/>
      <c r="AV223" s="785"/>
      <c r="AW223" s="785"/>
      <c r="AX223" s="785"/>
      <c r="AY223" s="785"/>
      <c r="AZ223" s="785"/>
      <c r="BA223" s="785"/>
      <c r="BB223" s="785"/>
      <c r="BC223" s="785"/>
      <c r="BD223" s="785"/>
      <c r="BE223" s="785"/>
      <c r="BF223" s="785"/>
      <c r="BG223" s="785"/>
      <c r="BH223" s="785"/>
      <c r="BI223" s="785"/>
      <c r="BJ223" s="785"/>
      <c r="BK223" s="785"/>
      <c r="BL223" s="785"/>
      <c r="BM223" s="785"/>
      <c r="BN223" s="785"/>
      <c r="BO223" s="785"/>
      <c r="BP223" s="785"/>
      <c r="BQ223" s="785"/>
      <c r="BR223" s="785"/>
      <c r="BS223" s="785"/>
      <c r="BT223" s="785"/>
    </row>
    <row r="224" spans="1:72">
      <c r="A224" s="785" t="s">
        <v>794</v>
      </c>
      <c r="B224" s="785"/>
      <c r="C224" s="785"/>
      <c r="D224" s="785"/>
      <c r="E224" s="785"/>
      <c r="F224" s="785"/>
      <c r="G224" s="785"/>
      <c r="H224" s="785"/>
      <c r="I224" s="785"/>
      <c r="J224" s="785"/>
      <c r="K224" s="785"/>
      <c r="L224" s="785"/>
      <c r="M224" s="785"/>
      <c r="N224" s="785"/>
      <c r="O224" s="785"/>
      <c r="P224" s="785"/>
      <c r="Q224" s="785"/>
      <c r="R224" s="785"/>
      <c r="S224" s="785"/>
      <c r="T224" s="785"/>
      <c r="U224" s="785"/>
      <c r="V224" s="785"/>
      <c r="W224" s="785"/>
      <c r="X224" s="785"/>
      <c r="Y224" s="785"/>
      <c r="Z224" s="785"/>
      <c r="AA224" s="785"/>
      <c r="AB224" s="785"/>
      <c r="AC224" s="785"/>
      <c r="AD224" s="785"/>
      <c r="AE224" s="785"/>
      <c r="AF224" s="785"/>
      <c r="AG224" s="785"/>
      <c r="AH224" s="785"/>
      <c r="AI224" s="785"/>
      <c r="AJ224" s="785"/>
      <c r="AK224" s="785"/>
      <c r="AL224" s="785"/>
      <c r="AM224" s="785"/>
      <c r="AN224" s="785"/>
      <c r="AO224" s="785"/>
      <c r="AP224" s="785"/>
      <c r="AQ224" s="785"/>
      <c r="AR224" s="785"/>
      <c r="AS224" s="785"/>
      <c r="AT224" s="785"/>
      <c r="AU224" s="785"/>
      <c r="AV224" s="785"/>
      <c r="AW224" s="785"/>
      <c r="AX224" s="785"/>
      <c r="AY224" s="785"/>
      <c r="AZ224" s="785"/>
      <c r="BA224" s="785"/>
      <c r="BB224" s="785"/>
      <c r="BC224" s="785"/>
      <c r="BD224" s="785"/>
      <c r="BE224" s="785"/>
      <c r="BF224" s="785"/>
      <c r="BG224" s="785"/>
      <c r="BH224" s="785"/>
      <c r="BI224" s="785"/>
      <c r="BJ224" s="785"/>
      <c r="BK224" s="785"/>
      <c r="BL224" s="785"/>
      <c r="BM224" s="785"/>
      <c r="BN224" s="785"/>
      <c r="BO224" s="785"/>
      <c r="BP224" s="785"/>
      <c r="BQ224" s="785"/>
      <c r="BR224" s="785"/>
      <c r="BS224" s="785"/>
      <c r="BT224" s="785"/>
    </row>
    <row r="225" spans="1:72">
      <c r="A225" s="785" t="s">
        <v>795</v>
      </c>
      <c r="B225" s="785"/>
      <c r="C225" s="785"/>
      <c r="D225" s="785"/>
      <c r="E225" s="785"/>
      <c r="F225" s="785"/>
      <c r="G225" s="785"/>
      <c r="H225" s="785"/>
      <c r="I225" s="785"/>
      <c r="J225" s="785"/>
      <c r="K225" s="785"/>
      <c r="L225" s="785"/>
      <c r="M225" s="785"/>
      <c r="N225" s="785"/>
      <c r="O225" s="785"/>
      <c r="P225" s="785"/>
      <c r="Q225" s="785"/>
      <c r="R225" s="785"/>
      <c r="S225" s="785"/>
      <c r="T225" s="785"/>
      <c r="U225" s="785"/>
      <c r="V225" s="785"/>
      <c r="W225" s="785"/>
      <c r="X225" s="785"/>
      <c r="Y225" s="785"/>
      <c r="Z225" s="785"/>
      <c r="AA225" s="785"/>
      <c r="AB225" s="785"/>
      <c r="AC225" s="785"/>
      <c r="AD225" s="785"/>
      <c r="AE225" s="785"/>
      <c r="AF225" s="785"/>
      <c r="AG225" s="785"/>
      <c r="AH225" s="785"/>
      <c r="AI225" s="785"/>
      <c r="AJ225" s="785"/>
      <c r="AK225" s="785"/>
      <c r="AL225" s="785"/>
      <c r="AM225" s="785"/>
      <c r="AN225" s="785"/>
      <c r="AO225" s="785"/>
      <c r="AP225" s="785"/>
      <c r="AQ225" s="785"/>
      <c r="AR225" s="785"/>
      <c r="AS225" s="785"/>
      <c r="AT225" s="785"/>
      <c r="AU225" s="785"/>
      <c r="AV225" s="785"/>
      <c r="AW225" s="785"/>
      <c r="AX225" s="785"/>
      <c r="AY225" s="785"/>
      <c r="AZ225" s="785"/>
      <c r="BA225" s="785"/>
      <c r="BB225" s="785"/>
      <c r="BC225" s="785"/>
      <c r="BD225" s="785"/>
      <c r="BE225" s="785"/>
      <c r="BF225" s="785"/>
      <c r="BG225" s="785"/>
      <c r="BH225" s="785"/>
      <c r="BI225" s="785"/>
      <c r="BJ225" s="785"/>
      <c r="BK225" s="785"/>
      <c r="BL225" s="785"/>
      <c r="BM225" s="785"/>
      <c r="BN225" s="785"/>
      <c r="BO225" s="785"/>
      <c r="BP225" s="785"/>
      <c r="BQ225" s="785"/>
      <c r="BR225" s="785"/>
      <c r="BS225" s="785"/>
      <c r="BT225" s="785"/>
    </row>
    <row r="226" spans="1:72">
      <c r="A226" s="785" t="s">
        <v>796</v>
      </c>
      <c r="B226" s="785"/>
      <c r="C226" s="785"/>
      <c r="D226" s="785"/>
      <c r="E226" s="785"/>
      <c r="F226" s="785"/>
      <c r="G226" s="785"/>
      <c r="H226" s="785"/>
      <c r="I226" s="785"/>
      <c r="J226" s="785"/>
      <c r="K226" s="785"/>
      <c r="L226" s="785"/>
      <c r="M226" s="785"/>
      <c r="N226" s="785"/>
      <c r="O226" s="785"/>
      <c r="P226" s="785"/>
      <c r="Q226" s="785"/>
      <c r="R226" s="785"/>
      <c r="S226" s="785"/>
      <c r="T226" s="785"/>
      <c r="U226" s="785"/>
      <c r="V226" s="785"/>
      <c r="W226" s="785"/>
      <c r="X226" s="785"/>
      <c r="Y226" s="785"/>
      <c r="Z226" s="785"/>
      <c r="AA226" s="785"/>
      <c r="AB226" s="785"/>
      <c r="AC226" s="785"/>
      <c r="AD226" s="785"/>
      <c r="AE226" s="785"/>
      <c r="AF226" s="785"/>
      <c r="AG226" s="785"/>
      <c r="AH226" s="785"/>
      <c r="AI226" s="785"/>
      <c r="AJ226" s="785"/>
      <c r="AK226" s="785"/>
      <c r="AL226" s="785"/>
      <c r="AM226" s="785"/>
      <c r="AN226" s="785"/>
      <c r="AO226" s="785"/>
      <c r="AP226" s="785"/>
      <c r="AQ226" s="785"/>
      <c r="AR226" s="785"/>
      <c r="AS226" s="785"/>
      <c r="AT226" s="785"/>
      <c r="AU226" s="785"/>
      <c r="AV226" s="785"/>
      <c r="AW226" s="785"/>
      <c r="AX226" s="785"/>
      <c r="AY226" s="785"/>
      <c r="AZ226" s="785"/>
      <c r="BA226" s="785"/>
      <c r="BB226" s="785"/>
      <c r="BC226" s="785"/>
      <c r="BD226" s="785"/>
      <c r="BE226" s="785"/>
      <c r="BF226" s="785"/>
      <c r="BG226" s="785"/>
      <c r="BH226" s="785"/>
      <c r="BI226" s="785"/>
      <c r="BJ226" s="785"/>
      <c r="BK226" s="785"/>
      <c r="BL226" s="785"/>
      <c r="BM226" s="785"/>
      <c r="BN226" s="785"/>
      <c r="BO226" s="785"/>
      <c r="BP226" s="785"/>
      <c r="BQ226" s="785"/>
      <c r="BR226" s="785"/>
      <c r="BS226" s="785"/>
      <c r="BT226" s="785"/>
    </row>
    <row r="227" spans="1:72">
      <c r="A227" s="785" t="s">
        <v>797</v>
      </c>
      <c r="B227" s="785"/>
      <c r="C227" s="785"/>
      <c r="D227" s="785"/>
      <c r="E227" s="785"/>
      <c r="F227" s="785"/>
      <c r="G227" s="785"/>
      <c r="H227" s="785"/>
      <c r="I227" s="785"/>
      <c r="J227" s="785"/>
      <c r="K227" s="785"/>
      <c r="L227" s="785"/>
      <c r="M227" s="785"/>
      <c r="N227" s="785"/>
      <c r="O227" s="785"/>
      <c r="P227" s="785"/>
      <c r="Q227" s="785"/>
      <c r="R227" s="785"/>
      <c r="S227" s="785"/>
      <c r="T227" s="785"/>
      <c r="U227" s="785"/>
      <c r="V227" s="785"/>
      <c r="W227" s="785"/>
      <c r="X227" s="785"/>
      <c r="Y227" s="785"/>
      <c r="Z227" s="785"/>
      <c r="AA227" s="785"/>
      <c r="AB227" s="785"/>
      <c r="AC227" s="785"/>
      <c r="AD227" s="785"/>
      <c r="AE227" s="785"/>
      <c r="AF227" s="785"/>
      <c r="AG227" s="785"/>
      <c r="AH227" s="785"/>
      <c r="AI227" s="785"/>
      <c r="AJ227" s="785"/>
      <c r="AK227" s="785"/>
      <c r="AL227" s="785"/>
      <c r="AM227" s="785"/>
      <c r="AN227" s="785"/>
      <c r="AO227" s="785"/>
      <c r="AP227" s="785"/>
      <c r="AQ227" s="785"/>
      <c r="AR227" s="785"/>
      <c r="AS227" s="785"/>
      <c r="AT227" s="785"/>
      <c r="AU227" s="785"/>
      <c r="AV227" s="785"/>
      <c r="AW227" s="785"/>
      <c r="AX227" s="785"/>
      <c r="AY227" s="785"/>
      <c r="AZ227" s="785"/>
      <c r="BA227" s="785"/>
      <c r="BB227" s="785"/>
      <c r="BC227" s="785"/>
      <c r="BD227" s="785"/>
      <c r="BE227" s="785"/>
      <c r="BF227" s="785"/>
      <c r="BG227" s="785"/>
      <c r="BH227" s="785"/>
      <c r="BI227" s="785"/>
      <c r="BJ227" s="785"/>
      <c r="BK227" s="785"/>
      <c r="BL227" s="785"/>
      <c r="BM227" s="785"/>
      <c r="BN227" s="785"/>
      <c r="BO227" s="785"/>
      <c r="BP227" s="785"/>
      <c r="BQ227" s="785"/>
      <c r="BR227" s="785"/>
      <c r="BS227" s="785"/>
      <c r="BT227" s="785"/>
    </row>
    <row r="228" spans="1:72">
      <c r="A228" s="785" t="s">
        <v>798</v>
      </c>
      <c r="B228" s="785"/>
      <c r="C228" s="785"/>
      <c r="D228" s="785"/>
      <c r="E228" s="785"/>
      <c r="F228" s="785"/>
      <c r="G228" s="785"/>
      <c r="H228" s="785"/>
      <c r="I228" s="785"/>
      <c r="J228" s="785"/>
      <c r="K228" s="785"/>
      <c r="L228" s="785"/>
      <c r="M228" s="785"/>
      <c r="N228" s="785"/>
      <c r="O228" s="785"/>
      <c r="P228" s="785"/>
      <c r="Q228" s="785"/>
      <c r="R228" s="785"/>
      <c r="S228" s="785"/>
      <c r="T228" s="785"/>
      <c r="U228" s="785"/>
      <c r="V228" s="785"/>
      <c r="W228" s="785"/>
      <c r="X228" s="785"/>
      <c r="Y228" s="785"/>
      <c r="Z228" s="785"/>
      <c r="AA228" s="785"/>
      <c r="AB228" s="785"/>
      <c r="AC228" s="785"/>
      <c r="AD228" s="785"/>
      <c r="AE228" s="785"/>
      <c r="AF228" s="785"/>
      <c r="AG228" s="785"/>
      <c r="AH228" s="785"/>
      <c r="AI228" s="785"/>
      <c r="AJ228" s="785"/>
      <c r="AK228" s="785"/>
      <c r="AL228" s="785"/>
      <c r="AM228" s="785"/>
      <c r="AN228" s="785"/>
      <c r="AO228" s="785"/>
      <c r="AP228" s="785"/>
      <c r="AQ228" s="785"/>
      <c r="AR228" s="785"/>
      <c r="AS228" s="785"/>
      <c r="AT228" s="785"/>
      <c r="AU228" s="785"/>
      <c r="AV228" s="785"/>
      <c r="AW228" s="785"/>
      <c r="AX228" s="785"/>
      <c r="AY228" s="785"/>
      <c r="AZ228" s="785"/>
      <c r="BA228" s="785"/>
      <c r="BB228" s="785"/>
      <c r="BC228" s="785"/>
      <c r="BD228" s="785"/>
      <c r="BE228" s="785"/>
      <c r="BF228" s="785"/>
      <c r="BG228" s="785"/>
      <c r="BH228" s="785"/>
      <c r="BI228" s="785"/>
      <c r="BJ228" s="785"/>
      <c r="BK228" s="785"/>
      <c r="BL228" s="785"/>
      <c r="BM228" s="785"/>
      <c r="BN228" s="785"/>
      <c r="BO228" s="785"/>
      <c r="BP228" s="785"/>
      <c r="BQ228" s="785"/>
      <c r="BR228" s="785"/>
      <c r="BS228" s="785"/>
      <c r="BT228" s="785"/>
    </row>
    <row r="229" spans="1:72">
      <c r="A229" s="785" t="s">
        <v>799</v>
      </c>
      <c r="B229" s="785"/>
      <c r="C229" s="785"/>
      <c r="D229" s="785"/>
      <c r="E229" s="785"/>
      <c r="F229" s="785"/>
      <c r="G229" s="785"/>
      <c r="H229" s="785"/>
      <c r="I229" s="785"/>
      <c r="J229" s="785"/>
      <c r="K229" s="785"/>
      <c r="L229" s="785"/>
      <c r="M229" s="785"/>
      <c r="N229" s="785"/>
      <c r="O229" s="785"/>
      <c r="P229" s="785"/>
      <c r="Q229" s="785"/>
      <c r="R229" s="785"/>
      <c r="S229" s="785"/>
      <c r="T229" s="785"/>
      <c r="U229" s="785"/>
      <c r="V229" s="785"/>
      <c r="W229" s="785"/>
      <c r="X229" s="785"/>
      <c r="Y229" s="785"/>
      <c r="Z229" s="785"/>
      <c r="AA229" s="785"/>
      <c r="AB229" s="785"/>
      <c r="AC229" s="785"/>
      <c r="AD229" s="785"/>
      <c r="AE229" s="785"/>
      <c r="AF229" s="785"/>
      <c r="AG229" s="785"/>
      <c r="AH229" s="785"/>
      <c r="AI229" s="785"/>
      <c r="AJ229" s="785"/>
      <c r="AK229" s="785"/>
      <c r="AL229" s="785"/>
      <c r="AM229" s="785"/>
      <c r="AN229" s="785"/>
      <c r="AO229" s="785"/>
      <c r="AP229" s="785"/>
      <c r="AQ229" s="785"/>
      <c r="AR229" s="785"/>
      <c r="AS229" s="785"/>
      <c r="AT229" s="785"/>
      <c r="AU229" s="785"/>
      <c r="AV229" s="785"/>
      <c r="AW229" s="785"/>
      <c r="AX229" s="785"/>
      <c r="AY229" s="785"/>
      <c r="AZ229" s="785"/>
      <c r="BA229" s="785"/>
      <c r="BB229" s="785"/>
      <c r="BC229" s="785"/>
      <c r="BD229" s="785"/>
      <c r="BE229" s="785"/>
      <c r="BF229" s="785"/>
      <c r="BG229" s="785"/>
      <c r="BH229" s="785"/>
      <c r="BI229" s="785"/>
      <c r="BJ229" s="785"/>
      <c r="BK229" s="785"/>
      <c r="BL229" s="785"/>
      <c r="BM229" s="785"/>
      <c r="BN229" s="785"/>
      <c r="BO229" s="785"/>
      <c r="BP229" s="785"/>
      <c r="BQ229" s="785"/>
      <c r="BR229" s="785"/>
      <c r="BS229" s="785"/>
      <c r="BT229" s="785"/>
    </row>
    <row r="230" spans="1:72">
      <c r="A230" s="785" t="s">
        <v>800</v>
      </c>
      <c r="B230" s="785"/>
      <c r="C230" s="785"/>
      <c r="D230" s="785"/>
      <c r="E230" s="785"/>
      <c r="F230" s="785"/>
      <c r="G230" s="785"/>
      <c r="H230" s="785"/>
      <c r="I230" s="785"/>
      <c r="J230" s="785"/>
      <c r="K230" s="785"/>
      <c r="L230" s="785"/>
      <c r="M230" s="785"/>
      <c r="N230" s="785"/>
      <c r="O230" s="785"/>
      <c r="P230" s="785"/>
      <c r="Q230" s="785"/>
      <c r="R230" s="785"/>
      <c r="S230" s="785"/>
      <c r="T230" s="785"/>
      <c r="U230" s="785"/>
      <c r="V230" s="785"/>
      <c r="W230" s="785"/>
      <c r="X230" s="785"/>
      <c r="Y230" s="785"/>
      <c r="Z230" s="785"/>
      <c r="AA230" s="785"/>
      <c r="AB230" s="785"/>
      <c r="AC230" s="785"/>
      <c r="AD230" s="785"/>
      <c r="AE230" s="785"/>
      <c r="AF230" s="785"/>
      <c r="AG230" s="785"/>
      <c r="AH230" s="785"/>
      <c r="AI230" s="785"/>
      <c r="AJ230" s="785"/>
      <c r="AK230" s="785"/>
      <c r="AL230" s="785"/>
      <c r="AM230" s="785"/>
      <c r="AN230" s="785"/>
      <c r="AO230" s="785"/>
      <c r="AP230" s="785"/>
      <c r="AQ230" s="785"/>
      <c r="AR230" s="785"/>
      <c r="AS230" s="785"/>
      <c r="AT230" s="785"/>
      <c r="AU230" s="785"/>
      <c r="AV230" s="785"/>
      <c r="AW230" s="785"/>
      <c r="AX230" s="785"/>
      <c r="AY230" s="785"/>
      <c r="AZ230" s="785"/>
      <c r="BA230" s="785"/>
      <c r="BB230" s="785"/>
      <c r="BC230" s="785"/>
      <c r="BD230" s="785"/>
      <c r="BE230" s="785"/>
      <c r="BF230" s="785"/>
      <c r="BG230" s="785"/>
      <c r="BH230" s="785"/>
      <c r="BI230" s="785"/>
      <c r="BJ230" s="785"/>
      <c r="BK230" s="785"/>
      <c r="BL230" s="785"/>
      <c r="BM230" s="785"/>
      <c r="BN230" s="785"/>
      <c r="BO230" s="785"/>
      <c r="BP230" s="785"/>
      <c r="BQ230" s="785"/>
      <c r="BR230" s="785"/>
      <c r="BS230" s="785"/>
      <c r="BT230" s="785"/>
    </row>
    <row r="231" spans="1:72">
      <c r="A231" s="785" t="s">
        <v>801</v>
      </c>
      <c r="B231" s="785"/>
      <c r="C231" s="785"/>
      <c r="D231" s="785"/>
      <c r="E231" s="785"/>
      <c r="F231" s="785"/>
      <c r="G231" s="785"/>
      <c r="H231" s="785"/>
      <c r="I231" s="785"/>
      <c r="J231" s="785"/>
      <c r="K231" s="785"/>
      <c r="L231" s="785"/>
      <c r="M231" s="785"/>
      <c r="N231" s="785"/>
      <c r="O231" s="785"/>
      <c r="P231" s="785"/>
      <c r="Q231" s="785"/>
      <c r="R231" s="785"/>
      <c r="S231" s="785"/>
      <c r="T231" s="785"/>
      <c r="U231" s="785"/>
      <c r="V231" s="785"/>
      <c r="W231" s="785"/>
      <c r="X231" s="785"/>
      <c r="Y231" s="785"/>
      <c r="Z231" s="785"/>
      <c r="AA231" s="785"/>
      <c r="AB231" s="785"/>
      <c r="AC231" s="785"/>
      <c r="AD231" s="785"/>
      <c r="AE231" s="785"/>
      <c r="AF231" s="785"/>
      <c r="AG231" s="785"/>
      <c r="AH231" s="785"/>
      <c r="AI231" s="785"/>
      <c r="AJ231" s="785"/>
      <c r="AK231" s="785"/>
      <c r="AL231" s="785"/>
      <c r="AM231" s="785"/>
      <c r="AN231" s="785"/>
      <c r="AO231" s="785"/>
      <c r="AP231" s="785"/>
      <c r="AQ231" s="785"/>
      <c r="AR231" s="785"/>
      <c r="AS231" s="785"/>
      <c r="AT231" s="785"/>
      <c r="AU231" s="785"/>
      <c r="AV231" s="785"/>
      <c r="AW231" s="785"/>
      <c r="AX231" s="785"/>
      <c r="AY231" s="785"/>
      <c r="AZ231" s="785"/>
      <c r="BA231" s="785"/>
      <c r="BB231" s="785"/>
      <c r="BC231" s="785"/>
      <c r="BD231" s="785"/>
      <c r="BE231" s="785"/>
      <c r="BF231" s="785"/>
      <c r="BG231" s="785"/>
      <c r="BH231" s="785"/>
      <c r="BI231" s="785"/>
      <c r="BJ231" s="785"/>
      <c r="BK231" s="785"/>
      <c r="BL231" s="785"/>
      <c r="BM231" s="785"/>
      <c r="BN231" s="785"/>
      <c r="BO231" s="785"/>
      <c r="BP231" s="785"/>
      <c r="BQ231" s="785"/>
      <c r="BR231" s="785"/>
      <c r="BS231" s="785"/>
      <c r="BT231" s="785"/>
    </row>
    <row r="232" spans="1:72">
      <c r="A232" s="785" t="s">
        <v>802</v>
      </c>
      <c r="B232" s="785"/>
      <c r="C232" s="785"/>
      <c r="D232" s="785"/>
      <c r="E232" s="785"/>
      <c r="F232" s="785"/>
      <c r="G232" s="785"/>
      <c r="H232" s="785"/>
      <c r="I232" s="785"/>
      <c r="J232" s="785"/>
      <c r="K232" s="785"/>
      <c r="L232" s="785"/>
      <c r="M232" s="785"/>
      <c r="N232" s="785"/>
      <c r="O232" s="785"/>
      <c r="P232" s="785"/>
      <c r="Q232" s="785"/>
      <c r="R232" s="785"/>
      <c r="S232" s="785"/>
      <c r="T232" s="785"/>
      <c r="U232" s="785"/>
      <c r="V232" s="785"/>
      <c r="W232" s="785"/>
      <c r="X232" s="785"/>
      <c r="Y232" s="785"/>
      <c r="Z232" s="785"/>
      <c r="AA232" s="785"/>
      <c r="AB232" s="785"/>
      <c r="AC232" s="785"/>
      <c r="AD232" s="785"/>
      <c r="AE232" s="785"/>
      <c r="AF232" s="785"/>
      <c r="AG232" s="785"/>
      <c r="AH232" s="785"/>
      <c r="AI232" s="785"/>
      <c r="AJ232" s="785"/>
      <c r="AK232" s="785"/>
      <c r="AL232" s="785"/>
      <c r="AM232" s="785"/>
      <c r="AN232" s="785"/>
      <c r="AO232" s="785"/>
      <c r="AP232" s="785"/>
      <c r="AQ232" s="785"/>
      <c r="AR232" s="785"/>
      <c r="AS232" s="785"/>
      <c r="AT232" s="785"/>
      <c r="AU232" s="785"/>
      <c r="AV232" s="785"/>
      <c r="AW232" s="785"/>
      <c r="AX232" s="785"/>
      <c r="AY232" s="785"/>
      <c r="AZ232" s="785"/>
      <c r="BA232" s="785"/>
      <c r="BB232" s="785"/>
      <c r="BC232" s="785"/>
      <c r="BD232" s="785"/>
      <c r="BE232" s="785"/>
      <c r="BF232" s="785"/>
      <c r="BG232" s="785"/>
      <c r="BH232" s="785"/>
      <c r="BI232" s="785"/>
      <c r="BJ232" s="785"/>
      <c r="BK232" s="785"/>
      <c r="BL232" s="785"/>
      <c r="BM232" s="785"/>
      <c r="BN232" s="785"/>
      <c r="BO232" s="785"/>
      <c r="BP232" s="785"/>
      <c r="BQ232" s="785"/>
      <c r="BR232" s="785"/>
      <c r="BS232" s="785"/>
      <c r="BT232" s="785"/>
    </row>
    <row r="233" spans="1:72">
      <c r="A233" s="765" t="s">
        <v>803</v>
      </c>
      <c r="AA233" s="283"/>
      <c r="AB233" s="283"/>
      <c r="AC233" s="283"/>
      <c r="AD233" s="283"/>
    </row>
    <row r="234" spans="1:72">
      <c r="A234" s="765" t="s">
        <v>804</v>
      </c>
      <c r="AA234" s="283"/>
      <c r="AB234" s="283"/>
      <c r="AC234" s="283"/>
      <c r="AD234" s="283"/>
    </row>
    <row r="235" spans="1:72">
      <c r="A235" s="765" t="s">
        <v>716</v>
      </c>
      <c r="B235" t="s">
        <v>717</v>
      </c>
      <c r="C235" t="s">
        <v>718</v>
      </c>
      <c r="E235" t="s">
        <v>719</v>
      </c>
      <c r="AA235" s="283"/>
      <c r="AB235" s="283"/>
      <c r="AC235" s="283"/>
      <c r="AD235" s="283"/>
    </row>
    <row r="236" spans="1:72">
      <c r="AA236" s="283"/>
      <c r="AB236" s="283"/>
      <c r="AC236" s="283"/>
      <c r="AD236" s="283"/>
    </row>
    <row r="237" spans="1:72">
      <c r="A237" s="765" t="s">
        <v>445</v>
      </c>
      <c r="AA237" s="283"/>
      <c r="AB237" s="283"/>
      <c r="AC237" s="283"/>
      <c r="AD237" s="283"/>
    </row>
    <row r="238" spans="1:72">
      <c r="A238" s="765" t="s">
        <v>720</v>
      </c>
      <c r="AA238" s="283"/>
      <c r="AB238" s="283"/>
      <c r="AC238" s="283"/>
      <c r="AD238" s="283"/>
    </row>
    <row r="239" spans="1:72">
      <c r="AA239" s="283"/>
      <c r="AB239" s="283"/>
      <c r="AC239" s="283"/>
      <c r="AD239" s="283"/>
    </row>
    <row r="240" spans="1:72">
      <c r="AA240" s="283"/>
      <c r="AB240" s="283"/>
      <c r="AC240" s="283"/>
      <c r="AD240" s="283"/>
    </row>
    <row r="241" spans="1:70">
      <c r="AA241" s="283"/>
      <c r="AB241" s="283"/>
      <c r="AC241" s="283"/>
      <c r="AD241" s="283"/>
    </row>
    <row r="242" spans="1:70">
      <c r="B242" s="766" t="s">
        <v>451</v>
      </c>
      <c r="C242" s="766" t="s">
        <v>452</v>
      </c>
      <c r="D242" s="766" t="s">
        <v>453</v>
      </c>
      <c r="E242" s="766" t="s">
        <v>454</v>
      </c>
      <c r="F242" s="766" t="s">
        <v>455</v>
      </c>
      <c r="G242" s="766" t="s">
        <v>456</v>
      </c>
      <c r="H242" s="766" t="s">
        <v>457</v>
      </c>
      <c r="I242" s="766" t="s">
        <v>458</v>
      </c>
      <c r="J242" s="766" t="s">
        <v>459</v>
      </c>
      <c r="K242" s="766" t="s">
        <v>460</v>
      </c>
      <c r="L242" s="766" t="s">
        <v>461</v>
      </c>
      <c r="M242" s="766" t="s">
        <v>462</v>
      </c>
      <c r="N242" s="766" t="s">
        <v>463</v>
      </c>
      <c r="O242" s="766" t="s">
        <v>464</v>
      </c>
      <c r="P242" s="766" t="s">
        <v>465</v>
      </c>
      <c r="Q242" s="766" t="s">
        <v>466</v>
      </c>
      <c r="R242" s="766" t="s">
        <v>467</v>
      </c>
      <c r="S242" s="766" t="s">
        <v>468</v>
      </c>
      <c r="T242" s="766" t="s">
        <v>469</v>
      </c>
      <c r="U242" s="766" t="s">
        <v>470</v>
      </c>
      <c r="V242" s="766" t="s">
        <v>602</v>
      </c>
      <c r="W242" s="766" t="s">
        <v>603</v>
      </c>
      <c r="X242" s="766" t="s">
        <v>604</v>
      </c>
      <c r="Y242" s="766" t="s">
        <v>605</v>
      </c>
      <c r="Z242" s="766" t="s">
        <v>606</v>
      </c>
      <c r="AA242" s="283" t="s">
        <v>603</v>
      </c>
      <c r="AB242" s="283" t="s">
        <v>604</v>
      </c>
      <c r="AC242" s="283" t="s">
        <v>605</v>
      </c>
      <c r="AD242" s="283" t="s">
        <v>606</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c r="AA243" s="283"/>
      <c r="AB243" s="283"/>
      <c r="AC243" s="283"/>
      <c r="AD243" s="283"/>
    </row>
    <row r="244" spans="1:70">
      <c r="AA244" s="283"/>
      <c r="AB244" s="283"/>
      <c r="AC244" s="283"/>
      <c r="AD244" s="283"/>
    </row>
    <row r="245" spans="1:70">
      <c r="A245" s="765" t="s">
        <v>471</v>
      </c>
      <c r="AA245" s="283"/>
      <c r="AB245" s="283"/>
      <c r="AC245" s="283"/>
      <c r="AD245" s="283"/>
    </row>
    <row r="246" spans="1:70">
      <c r="A246" s="765" t="s">
        <v>607</v>
      </c>
      <c r="B246" s="767">
        <v>23.882804870605501</v>
      </c>
      <c r="C246" s="767">
        <v>24.973464965820298</v>
      </c>
      <c r="D246" s="767">
        <v>28.470840454101602</v>
      </c>
      <c r="E246" s="767">
        <v>21.505495071411101</v>
      </c>
      <c r="F246" s="767">
        <v>20.697200775146499</v>
      </c>
      <c r="G246" s="767">
        <v>23.0020751953125</v>
      </c>
      <c r="H246" s="767">
        <v>24.980747222900401</v>
      </c>
      <c r="I246" s="767">
        <v>26.7403888702393</v>
      </c>
      <c r="J246" s="767">
        <v>28.254840850830099</v>
      </c>
      <c r="K246" s="767">
        <v>29.8807067871094</v>
      </c>
      <c r="L246" s="767">
        <v>30.930690765380898</v>
      </c>
      <c r="M246" s="767">
        <v>31.804765701293899</v>
      </c>
      <c r="N246" s="767">
        <v>32.682899475097699</v>
      </c>
      <c r="O246" s="767">
        <v>33.084945678710902</v>
      </c>
      <c r="P246" s="767">
        <v>33.339298248291001</v>
      </c>
      <c r="Q246" s="767">
        <v>33.569530487060497</v>
      </c>
      <c r="R246" s="767">
        <v>33.692008972167997</v>
      </c>
      <c r="S246" s="767">
        <v>34.029460906982401</v>
      </c>
      <c r="T246" s="767">
        <v>34.165733337402301</v>
      </c>
      <c r="U246" s="767">
        <v>33.722698211669901</v>
      </c>
      <c r="V246" s="767">
        <v>33.999015808105497</v>
      </c>
      <c r="W246" s="767">
        <v>34.276668548583999</v>
      </c>
      <c r="X246" s="767">
        <v>34.616855621337898</v>
      </c>
      <c r="Y246" s="767">
        <v>34.804977416992202</v>
      </c>
      <c r="Z246" s="767">
        <v>35.163482666015597</v>
      </c>
      <c r="AA246" s="283">
        <v>23.653226852416999</v>
      </c>
      <c r="AB246" s="283">
        <v>23.781959533691399</v>
      </c>
      <c r="AC246" s="283">
        <v>23.869001388549801</v>
      </c>
      <c r="AD246" s="283">
        <v>23.909082412719702</v>
      </c>
    </row>
    <row r="247" spans="1:70">
      <c r="A247" s="765" t="s">
        <v>608</v>
      </c>
      <c r="B247" s="767">
        <v>18.4642543792725</v>
      </c>
      <c r="C247" s="767">
        <v>19.664405822753899</v>
      </c>
      <c r="D247" s="767">
        <v>23.940315246581999</v>
      </c>
      <c r="E247" s="767">
        <v>15.6857194900513</v>
      </c>
      <c r="F247" s="767">
        <v>13.3512983322144</v>
      </c>
      <c r="G247" s="767">
        <v>15.708171844482401</v>
      </c>
      <c r="H247" s="767">
        <v>17.491518020629901</v>
      </c>
      <c r="I247" s="767">
        <v>18.8044624328613</v>
      </c>
      <c r="J247" s="767">
        <v>20.071212768554702</v>
      </c>
      <c r="K247" s="767">
        <v>21.571735382080099</v>
      </c>
      <c r="L247" s="767">
        <v>22.444984436035199</v>
      </c>
      <c r="M247" s="767">
        <v>23.2645053863525</v>
      </c>
      <c r="N247" s="767">
        <v>23.975505828857401</v>
      </c>
      <c r="O247" s="767">
        <v>24.350082397460898</v>
      </c>
      <c r="P247" s="767">
        <v>24.6401481628418</v>
      </c>
      <c r="Q247" s="767">
        <v>24.7862453460693</v>
      </c>
      <c r="R247" s="767">
        <v>24.899822235107401</v>
      </c>
      <c r="S247" s="767">
        <v>25.1952934265137</v>
      </c>
      <c r="T247" s="767">
        <v>25.492937088012699</v>
      </c>
      <c r="U247" s="767">
        <v>25.134300231933601</v>
      </c>
      <c r="V247" s="767">
        <v>25.433099746704102</v>
      </c>
      <c r="W247" s="767">
        <v>25.7546691894531</v>
      </c>
      <c r="X247" s="767">
        <v>26.098386764526399</v>
      </c>
      <c r="Y247" s="767">
        <v>26.3820476531982</v>
      </c>
      <c r="Z247" s="767">
        <v>26.7700805664063</v>
      </c>
      <c r="AA247" s="283">
        <v>13.801754951477101</v>
      </c>
      <c r="AB247" s="283">
        <v>13.897899627685501</v>
      </c>
      <c r="AC247" s="283">
        <v>14.058331489563001</v>
      </c>
      <c r="AD247" s="283">
        <v>14.125551223754901</v>
      </c>
    </row>
    <row r="248" spans="1:70">
      <c r="A248" s="765" t="s">
        <v>508</v>
      </c>
      <c r="B248" s="767">
        <v>13.7000589370728</v>
      </c>
      <c r="C248" s="767">
        <v>12.691158294677701</v>
      </c>
      <c r="D248" s="767">
        <v>12.9778490066528</v>
      </c>
      <c r="E248" s="767">
        <v>10.717614173889199</v>
      </c>
      <c r="F248" s="767">
        <v>11.192774772644</v>
      </c>
      <c r="G248" s="767">
        <v>11.487280845642101</v>
      </c>
      <c r="H248" s="767">
        <v>11.3991556167603</v>
      </c>
      <c r="I248" s="767">
        <v>11.307798385620099</v>
      </c>
      <c r="J248" s="767">
        <v>11.2896461486816</v>
      </c>
      <c r="K248" s="767">
        <v>11.345415115356399</v>
      </c>
      <c r="L248" s="767">
        <v>11.538298606872599</v>
      </c>
      <c r="M248" s="767">
        <v>11.7583208084106</v>
      </c>
      <c r="N248" s="767">
        <v>11.975100517272899</v>
      </c>
      <c r="O248" s="767">
        <v>12.23952293396</v>
      </c>
      <c r="P248" s="767">
        <v>12.557071685791</v>
      </c>
      <c r="Q248" s="767">
        <v>12.7957820892334</v>
      </c>
      <c r="R248" s="767">
        <v>12.871651649475099</v>
      </c>
      <c r="S248" s="767">
        <v>12.660281181335399</v>
      </c>
      <c r="T248" s="767">
        <v>12.6240320205688</v>
      </c>
      <c r="U248" s="767">
        <v>12.5992183685303</v>
      </c>
      <c r="V248" s="767">
        <v>12.7868556976318</v>
      </c>
      <c r="W248" s="767">
        <v>13.07555103302</v>
      </c>
      <c r="X248" s="767">
        <v>13.407883644104</v>
      </c>
      <c r="Y248" s="767">
        <v>13.6725673675537</v>
      </c>
      <c r="Z248" s="767">
        <v>13.962038993835399</v>
      </c>
      <c r="AA248" s="283">
        <v>11.116808891296399</v>
      </c>
      <c r="AB248" s="283">
        <v>11.2574377059937</v>
      </c>
      <c r="AC248" s="283">
        <v>11.3709173202515</v>
      </c>
      <c r="AD248" s="283">
        <v>11.426144599914601</v>
      </c>
    </row>
    <row r="249" spans="1:70">
      <c r="A249" s="765" t="s">
        <v>477</v>
      </c>
      <c r="B249" s="767">
        <v>31.206779479980501</v>
      </c>
      <c r="C249" s="767">
        <v>31.181957244873001</v>
      </c>
      <c r="D249" s="767">
        <v>31.772819519043001</v>
      </c>
      <c r="E249" s="767">
        <v>30.736837387085</v>
      </c>
      <c r="F249" s="767">
        <v>28.616357803344702</v>
      </c>
      <c r="G249" s="767">
        <v>29.873619079589801</v>
      </c>
      <c r="H249" s="767">
        <v>30.101655960083001</v>
      </c>
      <c r="I249" s="767">
        <v>30.425390243530298</v>
      </c>
      <c r="J249" s="767">
        <v>30.7938537597656</v>
      </c>
      <c r="K249" s="767">
        <v>30.883028030395501</v>
      </c>
      <c r="L249" s="767">
        <v>31.149145126342798</v>
      </c>
      <c r="M249" s="767">
        <v>31.4898681640625</v>
      </c>
      <c r="N249" s="767">
        <v>31.815629959106399</v>
      </c>
      <c r="O249" s="767">
        <v>32.020698547363303</v>
      </c>
      <c r="P249" s="767">
        <v>32.4303588867188</v>
      </c>
      <c r="Q249" s="767">
        <v>32.7907905578613</v>
      </c>
      <c r="R249" s="767">
        <v>32.994007110595703</v>
      </c>
      <c r="S249" s="767">
        <v>32.923465728759801</v>
      </c>
      <c r="T249" s="767">
        <v>32.920154571533203</v>
      </c>
      <c r="U249" s="767">
        <v>32.902271270752003</v>
      </c>
      <c r="V249" s="767">
        <v>32.958240509033203</v>
      </c>
      <c r="W249" s="767">
        <v>33.321102142333999</v>
      </c>
      <c r="X249" s="767">
        <v>33.734363555908203</v>
      </c>
      <c r="Y249" s="767">
        <v>34.149539947509801</v>
      </c>
      <c r="Z249" s="767">
        <v>34.490489959716797</v>
      </c>
      <c r="AA249" s="283">
        <v>26.5695495605469</v>
      </c>
      <c r="AB249" s="283">
        <v>26.6057014465332</v>
      </c>
      <c r="AC249" s="283">
        <v>26.7373046875</v>
      </c>
      <c r="AD249" s="283">
        <v>26.757972717285199</v>
      </c>
    </row>
    <row r="250" spans="1:70">
      <c r="AA250" s="283"/>
      <c r="AB250" s="283"/>
      <c r="AC250" s="283"/>
      <c r="AD250" s="283"/>
    </row>
    <row r="251" spans="1:70">
      <c r="A251" s="765" t="s">
        <v>478</v>
      </c>
      <c r="AA251" s="283">
        <v>12.0537929534912</v>
      </c>
      <c r="AB251" s="283">
        <v>12.2529897689819</v>
      </c>
      <c r="AC251" s="283">
        <v>12.3258762359619</v>
      </c>
      <c r="AD251" s="283">
        <v>12.452996253967299</v>
      </c>
    </row>
    <row r="252" spans="1:70" ht="14" thickBot="1">
      <c r="A252" s="765" t="s">
        <v>607</v>
      </c>
      <c r="B252" s="767">
        <v>21.1974983215332</v>
      </c>
      <c r="C252" s="767">
        <v>23.041419982910199</v>
      </c>
      <c r="D252" s="767">
        <v>23.540430068969702</v>
      </c>
      <c r="E252" s="767">
        <v>20.975297927856399</v>
      </c>
      <c r="F252" s="767">
        <v>17.540355682373001</v>
      </c>
      <c r="G252" s="767">
        <v>19.827720642089801</v>
      </c>
      <c r="H252" s="767">
        <v>21.7962131500244</v>
      </c>
      <c r="I252" s="767">
        <v>23.5440998077393</v>
      </c>
      <c r="J252" s="767">
        <v>25.047388076782202</v>
      </c>
      <c r="K252" s="767">
        <v>26.6623840332031</v>
      </c>
      <c r="L252" s="767">
        <v>27.701774597168001</v>
      </c>
      <c r="M252" s="767">
        <v>28.565574645996101</v>
      </c>
      <c r="N252" s="767">
        <v>29.4346523284912</v>
      </c>
      <c r="O252" s="767">
        <v>29.8274021148682</v>
      </c>
      <c r="P252" s="767">
        <v>30.0731811523438</v>
      </c>
      <c r="Q252" s="767">
        <v>30.2960014343262</v>
      </c>
      <c r="R252" s="767">
        <v>30.4115695953369</v>
      </c>
      <c r="S252" s="767">
        <v>30.7421360015869</v>
      </c>
      <c r="T252" s="767">
        <v>30.871879577636701</v>
      </c>
      <c r="U252" s="767">
        <v>30.422807693481399</v>
      </c>
      <c r="V252" s="767">
        <v>30.6932373046875</v>
      </c>
      <c r="W252" s="767">
        <v>30.965314865112301</v>
      </c>
      <c r="X252" s="767">
        <v>31.299940109252901</v>
      </c>
      <c r="Y252" s="767">
        <v>31.482862472534201</v>
      </c>
      <c r="Z252" s="767">
        <v>31.836189270019499</v>
      </c>
      <c r="AA252" s="283">
        <v>7.3951959609985396</v>
      </c>
      <c r="AB252" s="283">
        <v>7.4624595642089799</v>
      </c>
      <c r="AC252" s="283">
        <v>7.2386937141418501</v>
      </c>
      <c r="AD252" s="283">
        <v>7.3113985061645499</v>
      </c>
    </row>
    <row r="253" spans="1:70" ht="14" thickBot="1">
      <c r="A253" s="765" t="s">
        <v>608</v>
      </c>
      <c r="B253" s="767">
        <v>15.019946098327599</v>
      </c>
      <c r="C253" s="767">
        <v>16.054100036621101</v>
      </c>
      <c r="D253" s="767">
        <v>20.9568576812744</v>
      </c>
      <c r="E253" s="767">
        <v>13.740292549133301</v>
      </c>
      <c r="F253" s="767">
        <v>10.759732246398899</v>
      </c>
      <c r="G253" s="767">
        <v>13.277551651001</v>
      </c>
      <c r="H253" s="767">
        <v>15.102119445800801</v>
      </c>
      <c r="I253" s="767">
        <v>16.819028854370099</v>
      </c>
      <c r="J253" s="767">
        <v>18.163129806518601</v>
      </c>
      <c r="K253" s="767">
        <v>19.404659271240199</v>
      </c>
      <c r="L253" s="767">
        <v>20.2805690765381</v>
      </c>
      <c r="M253" s="767">
        <v>21.141357421875</v>
      </c>
      <c r="N253" s="767">
        <v>21.870569229126001</v>
      </c>
      <c r="O253" s="767">
        <v>22.288406372070298</v>
      </c>
      <c r="P253" s="767">
        <v>22.606428146362301</v>
      </c>
      <c r="Q253" s="767">
        <v>22.643785476684599</v>
      </c>
      <c r="R253" s="767">
        <v>22.862098693847699</v>
      </c>
      <c r="S253" s="767">
        <v>23.111530303955099</v>
      </c>
      <c r="T253" s="767">
        <v>23.2818489074707</v>
      </c>
      <c r="U253" s="767">
        <v>23.1139316558838</v>
      </c>
      <c r="V253" s="767">
        <v>23.4434604644775</v>
      </c>
      <c r="W253" s="767">
        <v>23.529294967651399</v>
      </c>
      <c r="X253" s="767">
        <v>23.9437866210938</v>
      </c>
      <c r="Y253" s="767">
        <v>24.471529006958001</v>
      </c>
      <c r="Z253" s="767">
        <v>24.6476936340332</v>
      </c>
      <c r="AA253" s="283">
        <v>9.0512752532959002</v>
      </c>
      <c r="AB253" s="283">
        <v>9.1702537536621094</v>
      </c>
      <c r="AC253" s="283">
        <v>9.2454566955566406</v>
      </c>
      <c r="AD253" s="283">
        <v>9.3029346466064506</v>
      </c>
      <c r="AE253" s="261">
        <f>AD253+($AI$253-$AD$253)/5</f>
        <v>9.3577216364198588</v>
      </c>
      <c r="AF253" s="261">
        <f>AE253+($AI$253-$AD$253)/5</f>
        <v>9.4125086262332669</v>
      </c>
      <c r="AG253" s="261">
        <f>AF253+($AI$253-$AD$253)/5</f>
        <v>9.467295616046675</v>
      </c>
      <c r="AH253" s="261">
        <f>AG253+($AI$253-$AD$253)/5</f>
        <v>9.5220826058600831</v>
      </c>
      <c r="AI253" s="262">
        <f>T423*$E$742</f>
        <v>9.5768695956734877</v>
      </c>
      <c r="AJ253" s="261">
        <f>AI253+($AX$253-$AI$253)/15</f>
        <v>9.6852727225982509</v>
      </c>
      <c r="AK253" s="261">
        <f t="shared" ref="AK253:AW253" si="3">AJ253+($AX$253-$AI$253)/15</f>
        <v>9.7936758495230141</v>
      </c>
      <c r="AL253" s="261">
        <f t="shared" si="3"/>
        <v>9.9020789764477772</v>
      </c>
      <c r="AM253" s="261">
        <f t="shared" si="3"/>
        <v>10.01048210337254</v>
      </c>
      <c r="AN253" s="261">
        <f t="shared" si="3"/>
        <v>10.118885230297304</v>
      </c>
      <c r="AO253" s="261">
        <f t="shared" si="3"/>
        <v>10.227288357222067</v>
      </c>
      <c r="AP253" s="261">
        <f t="shared" si="3"/>
        <v>10.33569148414683</v>
      </c>
      <c r="AQ253" s="261">
        <f t="shared" si="3"/>
        <v>10.444094611071593</v>
      </c>
      <c r="AR253" s="261">
        <f t="shared" si="3"/>
        <v>10.552497737996356</v>
      </c>
      <c r="AS253" s="261">
        <f t="shared" si="3"/>
        <v>10.660900864921119</v>
      </c>
      <c r="AT253" s="261">
        <f t="shared" si="3"/>
        <v>10.769303991845883</v>
      </c>
      <c r="AU253" s="261">
        <f t="shared" si="3"/>
        <v>10.877707118770646</v>
      </c>
      <c r="AV253" s="261">
        <f t="shared" si="3"/>
        <v>10.986110245695409</v>
      </c>
      <c r="AW253" s="261">
        <f t="shared" si="3"/>
        <v>11.094513372620172</v>
      </c>
      <c r="AX253" s="262">
        <f>AI253*$B$742</f>
        <v>11.202916499544939</v>
      </c>
      <c r="AY253" s="261">
        <f>AX253+($BM$253-$AX$253)/15</f>
        <v>11.313845014700993</v>
      </c>
      <c r="AZ253" s="261">
        <f t="shared" ref="AZ253:BL253" si="4">AY253+($BM$253-$AX$253)/15</f>
        <v>11.424773529857047</v>
      </c>
      <c r="BA253" s="261">
        <f t="shared" si="4"/>
        <v>11.535702045013101</v>
      </c>
      <c r="BB253" s="261">
        <f t="shared" si="4"/>
        <v>11.646630560169156</v>
      </c>
      <c r="BC253" s="261">
        <f t="shared" si="4"/>
        <v>11.75755907532521</v>
      </c>
      <c r="BD253" s="261">
        <f t="shared" si="4"/>
        <v>11.868487590481264</v>
      </c>
      <c r="BE253" s="261">
        <f t="shared" si="4"/>
        <v>11.979416105637318</v>
      </c>
      <c r="BF253" s="261">
        <f t="shared" si="4"/>
        <v>12.090344620793372</v>
      </c>
      <c r="BG253" s="261">
        <f t="shared" si="4"/>
        <v>12.201273135949426</v>
      </c>
      <c r="BH253" s="261">
        <f t="shared" si="4"/>
        <v>12.312201651105481</v>
      </c>
      <c r="BI253" s="261">
        <f t="shared" si="4"/>
        <v>12.423130166261535</v>
      </c>
      <c r="BJ253" s="261">
        <f t="shared" si="4"/>
        <v>12.534058681417589</v>
      </c>
      <c r="BK253" s="261">
        <f t="shared" si="4"/>
        <v>12.644987196573643</v>
      </c>
      <c r="BL253" s="261">
        <f t="shared" si="4"/>
        <v>12.755915711729697</v>
      </c>
      <c r="BM253" s="262">
        <f>AX253*$C$742</f>
        <v>12.866844226885757</v>
      </c>
      <c r="BN253" s="261">
        <f>BM253+($BR$253-$BM$253)/5</f>
        <v>12.994248543867917</v>
      </c>
      <c r="BO253" s="261">
        <f>BN253+($BR$253-$BM$253)/5</f>
        <v>13.121652860850077</v>
      </c>
      <c r="BP253" s="261">
        <f>BO253+($BR$253-$BM$253)/5</f>
        <v>13.249057177832237</v>
      </c>
      <c r="BQ253" s="261">
        <f>BP253+($BR$253-$BM$253)/5</f>
        <v>13.376461494814397</v>
      </c>
      <c r="BR253" s="262">
        <f>BM253*$D$742</f>
        <v>13.503865811796555</v>
      </c>
    </row>
    <row r="254" spans="1:70" ht="14" thickBot="1">
      <c r="A254" s="765" t="s">
        <v>721</v>
      </c>
      <c r="B254" s="767">
        <v>8.8815975189209002</v>
      </c>
      <c r="C254" s="767">
        <v>10.3074436187744</v>
      </c>
      <c r="D254" s="767">
        <v>13.411918640136699</v>
      </c>
      <c r="E254" s="767">
        <v>6.6991925239562997</v>
      </c>
      <c r="F254" s="767">
        <v>5.8016228675842303</v>
      </c>
      <c r="G254" s="767">
        <v>8.5975322723388707</v>
      </c>
      <c r="H254" s="767">
        <v>10.1285858154297</v>
      </c>
      <c r="I254" s="767">
        <v>11.654000282287599</v>
      </c>
      <c r="J254" s="767">
        <v>12.9474182128906</v>
      </c>
      <c r="K254" s="767">
        <v>14.400235176086399</v>
      </c>
      <c r="L254" s="767">
        <v>15.2041673660278</v>
      </c>
      <c r="M254" s="767">
        <v>15.658245086669901</v>
      </c>
      <c r="N254" s="767">
        <v>16.352220535278299</v>
      </c>
      <c r="O254" s="767">
        <v>16.605510711669901</v>
      </c>
      <c r="P254" s="767">
        <v>16.856744766235401</v>
      </c>
      <c r="Q254" s="767">
        <v>17.043632507324201</v>
      </c>
      <c r="R254" s="767">
        <v>17.1953125</v>
      </c>
      <c r="S254" s="767">
        <v>17.403110504150401</v>
      </c>
      <c r="T254" s="767">
        <v>17.4520969390869</v>
      </c>
      <c r="U254" s="767">
        <v>17.016120910644499</v>
      </c>
      <c r="V254" s="767">
        <v>17.163618087768601</v>
      </c>
      <c r="W254" s="767">
        <v>17.311967849731399</v>
      </c>
      <c r="X254" s="767">
        <v>17.516565322876001</v>
      </c>
      <c r="Y254" s="767">
        <v>17.704761505126999</v>
      </c>
      <c r="Z254" s="767">
        <v>17.873653411865199</v>
      </c>
      <c r="AA254" s="283">
        <v>24.1571254730225</v>
      </c>
      <c r="AB254" s="283">
        <v>24.207300186157202</v>
      </c>
      <c r="AC254" s="283">
        <v>24.2876873016357</v>
      </c>
      <c r="AD254" s="283">
        <v>24.267208099365199</v>
      </c>
      <c r="AE254" s="263">
        <f>AD254+($AI$254-$AD$254)/5</f>
        <v>24.075703794494256</v>
      </c>
      <c r="AF254" s="263">
        <f>AE254+($AI$254-$AD$254)/5</f>
        <v>23.884199489623313</v>
      </c>
      <c r="AG254" s="263">
        <f>AF254+($AI$254-$AD$254)/5</f>
        <v>23.69269518475237</v>
      </c>
      <c r="AH254" s="263">
        <f>AG254+($AI$254-$AD$254)/5</f>
        <v>23.501190879881428</v>
      </c>
      <c r="AI254" s="264">
        <f>T424*$E$745</f>
        <v>23.309686575010492</v>
      </c>
      <c r="AJ254" s="263">
        <f>AI254+($AX$254-$AI$254)/15</f>
        <v>23.300523054015734</v>
      </c>
      <c r="AK254" s="263">
        <f t="shared" ref="AK254:AW254" si="5">AJ254+($AX$254-$AI$254)/15</f>
        <v>23.291359533020977</v>
      </c>
      <c r="AL254" s="263">
        <f t="shared" si="5"/>
        <v>23.282196012026219</v>
      </c>
      <c r="AM254" s="263">
        <f t="shared" si="5"/>
        <v>23.273032491031461</v>
      </c>
      <c r="AN254" s="263">
        <f t="shared" si="5"/>
        <v>23.263868970036704</v>
      </c>
      <c r="AO254" s="263">
        <f t="shared" si="5"/>
        <v>23.254705449041946</v>
      </c>
      <c r="AP254" s="263">
        <f t="shared" si="5"/>
        <v>23.245541928047189</v>
      </c>
      <c r="AQ254" s="263">
        <f t="shared" si="5"/>
        <v>23.236378407052431</v>
      </c>
      <c r="AR254" s="263">
        <f t="shared" si="5"/>
        <v>23.227214886057673</v>
      </c>
      <c r="AS254" s="263">
        <f t="shared" si="5"/>
        <v>23.218051365062916</v>
      </c>
      <c r="AT254" s="263">
        <f t="shared" si="5"/>
        <v>23.208887844068158</v>
      </c>
      <c r="AU254" s="263">
        <f t="shared" si="5"/>
        <v>23.199724323073401</v>
      </c>
      <c r="AV254" s="263">
        <f t="shared" si="5"/>
        <v>23.190560802078643</v>
      </c>
      <c r="AW254" s="263">
        <f t="shared" si="5"/>
        <v>23.181397281083886</v>
      </c>
      <c r="AX254" s="264">
        <f>AI254*$B$745</f>
        <v>23.172233760089139</v>
      </c>
      <c r="AY254" s="263">
        <f>AX254+($BM$254-$AX$254)/15</f>
        <v>23.186953863011141</v>
      </c>
      <c r="AZ254" s="263">
        <f t="shared" ref="AZ254:BL254" si="6">AY254+($BM$254-$AX$254)/15</f>
        <v>23.201673965933143</v>
      </c>
      <c r="BA254" s="263">
        <f t="shared" si="6"/>
        <v>23.216394068855145</v>
      </c>
      <c r="BB254" s="263">
        <f t="shared" si="6"/>
        <v>23.231114171777147</v>
      </c>
      <c r="BC254" s="263">
        <f t="shared" si="6"/>
        <v>23.245834274699149</v>
      </c>
      <c r="BD254" s="263">
        <f t="shared" si="6"/>
        <v>23.260554377621151</v>
      </c>
      <c r="BE254" s="263">
        <f t="shared" si="6"/>
        <v>23.275274480543153</v>
      </c>
      <c r="BF254" s="263">
        <f t="shared" si="6"/>
        <v>23.289994583465155</v>
      </c>
      <c r="BG254" s="263">
        <f t="shared" si="6"/>
        <v>23.304714686387157</v>
      </c>
      <c r="BH254" s="263">
        <f t="shared" si="6"/>
        <v>23.31943478930916</v>
      </c>
      <c r="BI254" s="263">
        <f t="shared" si="6"/>
        <v>23.334154892231162</v>
      </c>
      <c r="BJ254" s="263">
        <f t="shared" si="6"/>
        <v>23.348874995153164</v>
      </c>
      <c r="BK254" s="263">
        <f t="shared" si="6"/>
        <v>23.363595098075166</v>
      </c>
      <c r="BL254" s="263">
        <f t="shared" si="6"/>
        <v>23.378315200997168</v>
      </c>
      <c r="BM254" s="264">
        <f>AX254*$C$745</f>
        <v>23.393035303919145</v>
      </c>
      <c r="BN254" s="263">
        <f>BM254+($BR$254-$BM$254)/5</f>
        <v>23.407895670463727</v>
      </c>
      <c r="BO254" s="263">
        <f>BN254+($BR$254-$BM$254)/5</f>
        <v>23.422756037008309</v>
      </c>
      <c r="BP254" s="263">
        <f>BO254+($BR$254-$BM$254)/5</f>
        <v>23.437616403552891</v>
      </c>
      <c r="BQ254" s="263">
        <f>BP254+($BR$254-$BM$254)/5</f>
        <v>23.452476770097473</v>
      </c>
      <c r="BR254" s="264">
        <f>BM254*$D$745</f>
        <v>23.467337136642058</v>
      </c>
    </row>
    <row r="255" spans="1:70">
      <c r="A255" s="765" t="s">
        <v>508</v>
      </c>
      <c r="B255" s="767">
        <v>11.896094322204601</v>
      </c>
      <c r="C255" s="767">
        <v>10.9898433685303</v>
      </c>
      <c r="D255" s="767">
        <v>11.3387994766235</v>
      </c>
      <c r="E255" s="767">
        <v>8.9075946807861293</v>
      </c>
      <c r="F255" s="767">
        <v>9.4656057357788104</v>
      </c>
      <c r="G255" s="767">
        <v>9.7463216781616193</v>
      </c>
      <c r="H255" s="767">
        <v>9.7210922241210902</v>
      </c>
      <c r="I255" s="767">
        <v>9.6719341278076207</v>
      </c>
      <c r="J255" s="767">
        <v>9.7138872146606392</v>
      </c>
      <c r="K255" s="767">
        <v>9.8306560516357404</v>
      </c>
      <c r="L255" s="767">
        <v>10.038209915161101</v>
      </c>
      <c r="M255" s="767">
        <v>10.2545003890991</v>
      </c>
      <c r="N255" s="767">
        <v>10.476261138916</v>
      </c>
      <c r="O255" s="767">
        <v>10.746561050415</v>
      </c>
      <c r="P255" s="767">
        <v>11.0803880691528</v>
      </c>
      <c r="Q255" s="767">
        <v>11.314369201660201</v>
      </c>
      <c r="R255" s="767">
        <v>11.4017143249512</v>
      </c>
      <c r="S255" s="767">
        <v>11.212500572204601</v>
      </c>
      <c r="T255" s="767">
        <v>11.1975994110107</v>
      </c>
      <c r="U255" s="767">
        <v>11.159740447998001</v>
      </c>
      <c r="V255" s="767">
        <v>11.3503875732422</v>
      </c>
      <c r="W255" s="767">
        <v>11.640952110290501</v>
      </c>
      <c r="X255" s="767">
        <v>11.9785671234131</v>
      </c>
      <c r="Y255" s="767">
        <v>12.2332496643066</v>
      </c>
      <c r="Z255" s="767">
        <v>12.5188312530518</v>
      </c>
      <c r="AA255" s="283"/>
      <c r="AB255" s="283"/>
      <c r="AC255" s="283"/>
      <c r="AD255" s="283"/>
    </row>
    <row r="256" spans="1:70">
      <c r="A256" s="765" t="s">
        <v>477</v>
      </c>
      <c r="B256" s="767">
        <v>28.3762531280518</v>
      </c>
      <c r="C256" s="767">
        <v>28.029735565185501</v>
      </c>
      <c r="D256" s="767">
        <v>29.057315826416001</v>
      </c>
      <c r="E256" s="767">
        <v>27.6067714691162</v>
      </c>
      <c r="F256" s="767">
        <v>24.835584640502901</v>
      </c>
      <c r="G256" s="767">
        <v>25.581251144409201</v>
      </c>
      <c r="H256" s="767">
        <v>25.4402256011963</v>
      </c>
      <c r="I256" s="767">
        <v>25.470129013061499</v>
      </c>
      <c r="J256" s="767">
        <v>25.672283172607401</v>
      </c>
      <c r="K256" s="767">
        <v>25.763282775878899</v>
      </c>
      <c r="L256" s="767">
        <v>26.100669860839801</v>
      </c>
      <c r="M256" s="767">
        <v>26.468044281005898</v>
      </c>
      <c r="N256" s="767">
        <v>26.885612487793001</v>
      </c>
      <c r="O256" s="767">
        <v>27.169450759887699</v>
      </c>
      <c r="P256" s="767">
        <v>27.620109558105501</v>
      </c>
      <c r="Q256" s="767">
        <v>28.002447128295898</v>
      </c>
      <c r="R256" s="767">
        <v>28.245407104492202</v>
      </c>
      <c r="S256" s="767">
        <v>28.186374664306602</v>
      </c>
      <c r="T256" s="767">
        <v>28.203248977661101</v>
      </c>
      <c r="U256" s="767">
        <v>28.139711380004901</v>
      </c>
      <c r="V256" s="767">
        <v>28.178466796875</v>
      </c>
      <c r="W256" s="767">
        <v>28.495182037353501</v>
      </c>
      <c r="X256" s="767">
        <v>28.915565490722699</v>
      </c>
      <c r="Y256" s="767">
        <v>29.289411544799801</v>
      </c>
      <c r="Z256" s="767">
        <v>29.651695251464801</v>
      </c>
      <c r="AA256" s="283">
        <v>16.318952560424801</v>
      </c>
      <c r="AB256" s="283">
        <v>16.4172878265381</v>
      </c>
      <c r="AC256" s="283">
        <v>16.5084934234619</v>
      </c>
      <c r="AD256" s="283">
        <v>16.549221038818398</v>
      </c>
    </row>
    <row r="257" spans="1:70">
      <c r="AA257" s="283">
        <v>12.788073539733899</v>
      </c>
      <c r="AB257" s="283">
        <v>13.069622039794901</v>
      </c>
      <c r="AC257" s="283">
        <v>13.0597486495972</v>
      </c>
      <c r="AD257" s="283">
        <v>13.2463188171387</v>
      </c>
    </row>
    <row r="258" spans="1:70" ht="14" thickBot="1">
      <c r="A258" s="765" t="s">
        <v>610</v>
      </c>
      <c r="AA258" s="283">
        <v>9.5039434432983398</v>
      </c>
      <c r="AB258" s="283">
        <v>9.4975557327270508</v>
      </c>
      <c r="AC258" s="283">
        <v>9.6068582534790004</v>
      </c>
      <c r="AD258" s="283">
        <v>9.5831336975097692</v>
      </c>
    </row>
    <row r="259" spans="1:70" ht="14" thickBot="1">
      <c r="A259" s="765" t="s">
        <v>607</v>
      </c>
      <c r="B259" s="767">
        <v>21.041078567504901</v>
      </c>
      <c r="C259" s="767">
        <v>23.3795166015625</v>
      </c>
      <c r="D259" s="767">
        <v>26.646581649780298</v>
      </c>
      <c r="E259" s="767">
        <v>22.2440700531006</v>
      </c>
      <c r="F259" s="767">
        <v>16.6379299163818</v>
      </c>
      <c r="G259" s="767">
        <v>18.920274734497099</v>
      </c>
      <c r="H259" s="767">
        <v>20.8892612457275</v>
      </c>
      <c r="I259" s="767">
        <v>22.636520385742202</v>
      </c>
      <c r="J259" s="767">
        <v>24.1346244812012</v>
      </c>
      <c r="K259" s="767">
        <v>25.742292404174801</v>
      </c>
      <c r="L259" s="767">
        <v>26.783767700195298</v>
      </c>
      <c r="M259" s="767">
        <v>27.652248382568398</v>
      </c>
      <c r="N259" s="767">
        <v>28.520401000976602</v>
      </c>
      <c r="O259" s="767">
        <v>28.932659149169901</v>
      </c>
      <c r="P259" s="767">
        <v>29.169765472412099</v>
      </c>
      <c r="Q259" s="767">
        <v>29.4143581390381</v>
      </c>
      <c r="R259" s="767">
        <v>29.524629592895501</v>
      </c>
      <c r="S259" s="767">
        <v>29.853767395019499</v>
      </c>
      <c r="T259" s="767">
        <v>29.959171295166001</v>
      </c>
      <c r="U259" s="767">
        <v>29.528638839721701</v>
      </c>
      <c r="V259" s="767">
        <v>29.7813510894775</v>
      </c>
      <c r="W259" s="767">
        <v>30.054143905639599</v>
      </c>
      <c r="X259" s="767">
        <v>30.3852443695068</v>
      </c>
      <c r="Y259" s="767">
        <v>30.4649448394775</v>
      </c>
      <c r="Z259" s="767">
        <v>30.849096298217798</v>
      </c>
      <c r="AA259" s="283">
        <v>6.3330101966857901</v>
      </c>
      <c r="AB259" s="283">
        <v>6.4338274002075204</v>
      </c>
      <c r="AC259" s="283">
        <v>6.5134425163268999</v>
      </c>
      <c r="AD259" s="283">
        <v>6.5598897933959996</v>
      </c>
      <c r="AE259" s="261">
        <f>AD259+($AI$259-$AD$259)/5</f>
        <v>6.5507078532683796</v>
      </c>
      <c r="AF259" s="261">
        <f>AE259+($AI$259-$AD$259)/5</f>
        <v>6.5415259131407595</v>
      </c>
      <c r="AG259" s="261">
        <f>AF259+($AI$259-$AD$259)/5</f>
        <v>6.5323439730131394</v>
      </c>
      <c r="AH259" s="261">
        <f>AG259+($AI$259-$AD$259)/5</f>
        <v>6.5231620328855193</v>
      </c>
      <c r="AI259" s="262">
        <f>T429*$E$742</f>
        <v>6.5139800927579001</v>
      </c>
      <c r="AJ259" s="261">
        <f>AI259+($AX$259-$AI$259)/15</f>
        <v>6.5877135610615332</v>
      </c>
      <c r="AK259" s="261">
        <f t="shared" ref="AK259:AW259" si="7">AJ259+($AX$259-$AI$259)/15</f>
        <v>6.6614470293651662</v>
      </c>
      <c r="AL259" s="261">
        <f t="shared" si="7"/>
        <v>6.7351804976687992</v>
      </c>
      <c r="AM259" s="261">
        <f t="shared" si="7"/>
        <v>6.8089139659724323</v>
      </c>
      <c r="AN259" s="261">
        <f t="shared" si="7"/>
        <v>6.8826474342760653</v>
      </c>
      <c r="AO259" s="261">
        <f t="shared" si="7"/>
        <v>6.9563809025796983</v>
      </c>
      <c r="AP259" s="261">
        <f t="shared" si="7"/>
        <v>7.0301143708833314</v>
      </c>
      <c r="AQ259" s="261">
        <f t="shared" si="7"/>
        <v>7.1038478391869644</v>
      </c>
      <c r="AR259" s="261">
        <f t="shared" si="7"/>
        <v>7.1775813074905974</v>
      </c>
      <c r="AS259" s="261">
        <f t="shared" si="7"/>
        <v>7.2513147757942304</v>
      </c>
      <c r="AT259" s="261">
        <f t="shared" si="7"/>
        <v>7.3250482440978635</v>
      </c>
      <c r="AU259" s="261">
        <f t="shared" si="7"/>
        <v>7.3987817124014965</v>
      </c>
      <c r="AV259" s="261">
        <f t="shared" si="7"/>
        <v>7.4725151807051295</v>
      </c>
      <c r="AW259" s="261">
        <f t="shared" si="7"/>
        <v>7.5462486490087626</v>
      </c>
      <c r="AX259" s="262">
        <f>AI259*$B$742</f>
        <v>7.6199821173123929</v>
      </c>
      <c r="AY259" s="261">
        <f>AX259+($BM$259-$AX$259)/15</f>
        <v>7.6954333002095865</v>
      </c>
      <c r="AZ259" s="261">
        <f t="shared" ref="AZ259:BL259" si="8">AY259+($BM$259-$AX$259)/15</f>
        <v>7.77088448310678</v>
      </c>
      <c r="BA259" s="261">
        <f t="shared" si="8"/>
        <v>7.8463356660039736</v>
      </c>
      <c r="BB259" s="261">
        <f t="shared" si="8"/>
        <v>7.9217868489011671</v>
      </c>
      <c r="BC259" s="261">
        <f t="shared" si="8"/>
        <v>7.9972380317983607</v>
      </c>
      <c r="BD259" s="261">
        <f t="shared" si="8"/>
        <v>8.0726892146955542</v>
      </c>
      <c r="BE259" s="261">
        <f t="shared" si="8"/>
        <v>8.1481403975927478</v>
      </c>
      <c r="BF259" s="261">
        <f t="shared" si="8"/>
        <v>8.2235915804899413</v>
      </c>
      <c r="BG259" s="261">
        <f t="shared" si="8"/>
        <v>8.2990427633871349</v>
      </c>
      <c r="BH259" s="261">
        <f t="shared" si="8"/>
        <v>8.3744939462843284</v>
      </c>
      <c r="BI259" s="261">
        <f t="shared" si="8"/>
        <v>8.449945129181522</v>
      </c>
      <c r="BJ259" s="261">
        <f t="shared" si="8"/>
        <v>8.5253963120787155</v>
      </c>
      <c r="BK259" s="261">
        <f t="shared" si="8"/>
        <v>8.6008474949759091</v>
      </c>
      <c r="BL259" s="261">
        <f t="shared" si="8"/>
        <v>8.6762986778731026</v>
      </c>
      <c r="BM259" s="262">
        <f>AX259*$C$742</f>
        <v>8.7517498607702962</v>
      </c>
      <c r="BN259" s="261">
        <f>BM259+($BR$259-$BM$259)/5</f>
        <v>8.8384075286295438</v>
      </c>
      <c r="BO259" s="261">
        <f>BN259+($BR$259-$BM$259)/5</f>
        <v>8.9250651964887915</v>
      </c>
      <c r="BP259" s="261">
        <f>BO259+($BR$259-$BM$259)/5</f>
        <v>9.0117228643480392</v>
      </c>
      <c r="BQ259" s="261">
        <f>BP259+($BR$259-$BM$259)/5</f>
        <v>9.0983805322072868</v>
      </c>
      <c r="BR259" s="262">
        <f>BM259*$D$742</f>
        <v>9.1850382000665363</v>
      </c>
    </row>
    <row r="260" spans="1:70">
      <c r="A260" s="765" t="s">
        <v>608</v>
      </c>
      <c r="B260" s="767">
        <v>15.7354278564453</v>
      </c>
      <c r="C260" s="767">
        <v>16.8219394683838</v>
      </c>
      <c r="D260" s="767">
        <v>21.937858581543001</v>
      </c>
      <c r="E260" s="767">
        <v>14.291754722595201</v>
      </c>
      <c r="F260" s="767">
        <v>10.6247463226318</v>
      </c>
      <c r="G260" s="767">
        <v>13.4027051925659</v>
      </c>
      <c r="H260" s="767">
        <v>15.2648477554321</v>
      </c>
      <c r="I260" s="767">
        <v>17.266075134277301</v>
      </c>
      <c r="J260" s="767">
        <v>18.658037185668899</v>
      </c>
      <c r="K260" s="767">
        <v>19.740333557128899</v>
      </c>
      <c r="L260" s="767">
        <v>20.622322082519499</v>
      </c>
      <c r="M260" s="767">
        <v>21.514814376831101</v>
      </c>
      <c r="N260" s="767">
        <v>22.261856079101602</v>
      </c>
      <c r="O260" s="767">
        <v>22.720048904418899</v>
      </c>
      <c r="P260" s="767">
        <v>23.0620517730713</v>
      </c>
      <c r="Q260" s="767">
        <v>23.029100418090799</v>
      </c>
      <c r="R260" s="767">
        <v>23.327865600585898</v>
      </c>
      <c r="S260" s="767">
        <v>23.5460414886475</v>
      </c>
      <c r="T260" s="767">
        <v>23.635374069213899</v>
      </c>
      <c r="U260" s="767">
        <v>23.588466644287099</v>
      </c>
      <c r="V260" s="767">
        <v>23.9423828125</v>
      </c>
      <c r="W260" s="767">
        <v>23.870851516723601</v>
      </c>
      <c r="X260" s="767">
        <v>24.336980819702099</v>
      </c>
      <c r="Y260" s="767">
        <v>25.037542343139599</v>
      </c>
      <c r="Z260" s="767">
        <v>25.073137283325199</v>
      </c>
      <c r="AA260" s="283">
        <v>2.7168338298797599</v>
      </c>
      <c r="AB260" s="283">
        <v>2.7307398319244398</v>
      </c>
      <c r="AC260" s="283">
        <v>2.7413196563720699</v>
      </c>
      <c r="AD260" s="283">
        <v>2.7546591758728001</v>
      </c>
    </row>
    <row r="261" spans="1:70">
      <c r="A261" s="765" t="s">
        <v>609</v>
      </c>
      <c r="B261" s="767">
        <v>9.2125787734985405</v>
      </c>
      <c r="C261" s="767">
        <v>10.5954837799072</v>
      </c>
      <c r="D261" s="767">
        <v>13.7473258972168</v>
      </c>
      <c r="E261" s="767">
        <v>6.9127345085143999</v>
      </c>
      <c r="F261" s="767">
        <v>9.8444128036499006</v>
      </c>
      <c r="G261" s="767">
        <v>12.2499532699585</v>
      </c>
      <c r="H261" s="767">
        <v>13.9352369308472</v>
      </c>
      <c r="I261" s="767">
        <v>15.428977966308601</v>
      </c>
      <c r="J261" s="767">
        <v>16.646518707275401</v>
      </c>
      <c r="K261" s="767">
        <v>18.037969589233398</v>
      </c>
      <c r="L261" s="767">
        <v>18.8180332183838</v>
      </c>
      <c r="M261" s="767">
        <v>19.4296264648438</v>
      </c>
      <c r="N261" s="767">
        <v>20.112428665161101</v>
      </c>
      <c r="O261" s="767">
        <v>20.448431015014599</v>
      </c>
      <c r="P261" s="767">
        <v>20.727931976318398</v>
      </c>
      <c r="Q261" s="767">
        <v>20.973798751831101</v>
      </c>
      <c r="R261" s="767">
        <v>21.101537704467798</v>
      </c>
      <c r="S261" s="767">
        <v>21.306892395019499</v>
      </c>
      <c r="T261" s="767">
        <v>21.394767761230501</v>
      </c>
      <c r="U261" s="767">
        <v>21.017236709594702</v>
      </c>
      <c r="V261" s="767">
        <v>21.180326461791999</v>
      </c>
      <c r="W261" s="767">
        <v>21.338615417480501</v>
      </c>
      <c r="X261" s="767">
        <v>21.660650253295898</v>
      </c>
      <c r="Y261" s="767">
        <v>21.793584823608398</v>
      </c>
      <c r="Z261" s="767">
        <v>22.078443527221701</v>
      </c>
      <c r="AA261" s="283">
        <v>2.2517027854919398</v>
      </c>
      <c r="AB261" s="283">
        <v>2.2682161331176802</v>
      </c>
      <c r="AC261" s="283">
        <v>2.2745745182037398</v>
      </c>
      <c r="AD261" s="283">
        <v>2.2862651348114</v>
      </c>
    </row>
    <row r="262" spans="1:70" ht="14" thickBot="1">
      <c r="A262" s="765" t="s">
        <v>611</v>
      </c>
      <c r="B262" s="767">
        <v>7.9540700912475604</v>
      </c>
      <c r="C262" s="767">
        <v>7.5152516365051296</v>
      </c>
      <c r="D262" s="767">
        <v>8.8012723922729492</v>
      </c>
      <c r="E262" s="767">
        <v>4.8485679626464799</v>
      </c>
      <c r="F262" s="767">
        <v>5.4989199638366699</v>
      </c>
      <c r="G262" s="767">
        <v>5.8261642456054696</v>
      </c>
      <c r="H262" s="767">
        <v>5.87778615951538</v>
      </c>
      <c r="I262" s="767">
        <v>5.9538393020629901</v>
      </c>
      <c r="J262" s="767">
        <v>6.1098570823669398</v>
      </c>
      <c r="K262" s="767">
        <v>6.3294844627380398</v>
      </c>
      <c r="L262" s="767">
        <v>6.5125813484191903</v>
      </c>
      <c r="M262" s="767">
        <v>6.7027301788330096</v>
      </c>
      <c r="N262" s="767">
        <v>6.8988709449768102</v>
      </c>
      <c r="O262" s="767">
        <v>7.1528282165527299</v>
      </c>
      <c r="P262" s="767">
        <v>7.4686021804809597</v>
      </c>
      <c r="Q262" s="767">
        <v>7.6786775588989302</v>
      </c>
      <c r="R262" s="767">
        <v>7.7538070678710902</v>
      </c>
      <c r="S262" s="767">
        <v>7.5584783554077104</v>
      </c>
      <c r="T262" s="767">
        <v>7.5461778640747097</v>
      </c>
      <c r="U262" s="767">
        <v>7.4592709541320801</v>
      </c>
      <c r="V262" s="767">
        <v>7.6002230644226101</v>
      </c>
      <c r="W262" s="767">
        <v>7.8596048355102504</v>
      </c>
      <c r="X262" s="767">
        <v>8.1941757202148402</v>
      </c>
      <c r="Y262" s="767">
        <v>8.4216127395629901</v>
      </c>
      <c r="Z262" s="767">
        <v>8.6935501098632795</v>
      </c>
      <c r="AA262" s="283">
        <v>1.2833950519561801</v>
      </c>
      <c r="AB262" s="283">
        <v>1.3286876678466799</v>
      </c>
      <c r="AC262" s="283">
        <v>1.33012855052948</v>
      </c>
      <c r="AD262" s="283">
        <v>1.33445107936859</v>
      </c>
    </row>
    <row r="263" spans="1:70" ht="14" thickBot="1">
      <c r="A263" s="765" t="s">
        <v>612</v>
      </c>
      <c r="B263" s="767">
        <v>3.6353600025177002</v>
      </c>
      <c r="C263" s="767">
        <v>3.6099998950958301</v>
      </c>
      <c r="D263" s="767">
        <v>4.0558156967163104</v>
      </c>
      <c r="E263" s="767">
        <v>4.0487108230590803</v>
      </c>
      <c r="F263" s="767">
        <v>3.9977276325225799</v>
      </c>
      <c r="G263" s="767">
        <v>4.1121706962585396</v>
      </c>
      <c r="H263" s="767">
        <v>4.1809573173522896</v>
      </c>
      <c r="I263" s="767">
        <v>4.2343683242797896</v>
      </c>
      <c r="J263" s="767">
        <v>4.27162742614746</v>
      </c>
      <c r="K263" s="767">
        <v>4.2985162734985396</v>
      </c>
      <c r="L263" s="767">
        <v>4.3192996978759801</v>
      </c>
      <c r="M263" s="767">
        <v>4.3337044715881303</v>
      </c>
      <c r="N263" s="767">
        <v>4.3530845642089799</v>
      </c>
      <c r="O263" s="767">
        <v>4.3696141242981001</v>
      </c>
      <c r="P263" s="767">
        <v>4.3899216651916504</v>
      </c>
      <c r="Q263" s="767">
        <v>4.4470157623290998</v>
      </c>
      <c r="R263" s="767">
        <v>4.5093812942504901</v>
      </c>
      <c r="S263" s="767">
        <v>4.5352845191955602</v>
      </c>
      <c r="T263" s="767">
        <v>4.5618190765380904</v>
      </c>
      <c r="U263" s="767">
        <v>4.5643453598022496</v>
      </c>
      <c r="V263" s="767">
        <v>4.5493078231811497</v>
      </c>
      <c r="W263" s="767">
        <v>4.5490665435790998</v>
      </c>
      <c r="X263" s="767">
        <v>4.5331215858459499</v>
      </c>
      <c r="Y263" s="767">
        <v>4.4955492019653303</v>
      </c>
      <c r="Z263" s="767">
        <v>4.4319190979003897</v>
      </c>
      <c r="AA263" s="283">
        <v>17.3004150390625</v>
      </c>
      <c r="AB263" s="283">
        <v>17.331628799438501</v>
      </c>
      <c r="AC263" s="283">
        <v>17.425392150878899</v>
      </c>
      <c r="AD263" s="283">
        <v>17.430723190307599</v>
      </c>
      <c r="AE263" s="263">
        <f>AD263+($AI$263-$AD$263)/5</f>
        <v>17.267158349957999</v>
      </c>
      <c r="AF263" s="263">
        <f>AE263+($AI$263-$AD$263)/5</f>
        <v>17.103593509608398</v>
      </c>
      <c r="AG263" s="263">
        <f>AF263+($AI$263-$AD$263)/5</f>
        <v>16.940028669258798</v>
      </c>
      <c r="AH263" s="263">
        <f>AG263+($AI$263-$AD$263)/5</f>
        <v>16.776463828909197</v>
      </c>
      <c r="AI263" s="264">
        <f>T433*$E$745</f>
        <v>16.612898988559596</v>
      </c>
      <c r="AJ263" s="263">
        <f>AI263+($AX$263-$AI$263)/15</f>
        <v>16.606368113587273</v>
      </c>
      <c r="AK263" s="263">
        <f t="shared" ref="AK263:AW263" si="9">AJ263+($AX$263-$AI$263)/15</f>
        <v>16.599837238614949</v>
      </c>
      <c r="AL263" s="263">
        <f t="shared" si="9"/>
        <v>16.593306363642625</v>
      </c>
      <c r="AM263" s="263">
        <f t="shared" si="9"/>
        <v>16.586775488670302</v>
      </c>
      <c r="AN263" s="263">
        <f t="shared" si="9"/>
        <v>16.580244613697978</v>
      </c>
      <c r="AO263" s="263">
        <f t="shared" si="9"/>
        <v>16.573713738725655</v>
      </c>
      <c r="AP263" s="263">
        <f t="shared" si="9"/>
        <v>16.567182863753331</v>
      </c>
      <c r="AQ263" s="263">
        <f t="shared" si="9"/>
        <v>16.560651988781007</v>
      </c>
      <c r="AR263" s="263">
        <f t="shared" si="9"/>
        <v>16.554121113808684</v>
      </c>
      <c r="AS263" s="263">
        <f t="shared" si="9"/>
        <v>16.54759023883636</v>
      </c>
      <c r="AT263" s="263">
        <f t="shared" si="9"/>
        <v>16.541059363864036</v>
      </c>
      <c r="AU263" s="263">
        <f t="shared" si="9"/>
        <v>16.534528488891713</v>
      </c>
      <c r="AV263" s="263">
        <f t="shared" si="9"/>
        <v>16.527997613919389</v>
      </c>
      <c r="AW263" s="263">
        <f t="shared" si="9"/>
        <v>16.521466738947066</v>
      </c>
      <c r="AX263" s="264">
        <f>AI263*$B$745</f>
        <v>16.514935863974742</v>
      </c>
      <c r="AY263" s="263">
        <f>AX263+($BM$263-$AX$263)/15</f>
        <v>16.525426935236357</v>
      </c>
      <c r="AZ263" s="263">
        <f t="shared" ref="AZ263:BL263" si="10">AY263+($BM$263-$AX$263)/15</f>
        <v>16.535918006497972</v>
      </c>
      <c r="BA263" s="263">
        <f t="shared" si="10"/>
        <v>16.546409077759588</v>
      </c>
      <c r="BB263" s="263">
        <f t="shared" si="10"/>
        <v>16.556900149021203</v>
      </c>
      <c r="BC263" s="263">
        <f t="shared" si="10"/>
        <v>16.567391220282818</v>
      </c>
      <c r="BD263" s="263">
        <f t="shared" si="10"/>
        <v>16.577882291544434</v>
      </c>
      <c r="BE263" s="263">
        <f t="shared" si="10"/>
        <v>16.588373362806049</v>
      </c>
      <c r="BF263" s="263">
        <f t="shared" si="10"/>
        <v>16.598864434067664</v>
      </c>
      <c r="BG263" s="263">
        <f t="shared" si="10"/>
        <v>16.60935550532928</v>
      </c>
      <c r="BH263" s="263">
        <f t="shared" si="10"/>
        <v>16.619846576590895</v>
      </c>
      <c r="BI263" s="263">
        <f t="shared" si="10"/>
        <v>16.63033764785251</v>
      </c>
      <c r="BJ263" s="263">
        <f t="shared" si="10"/>
        <v>16.640828719114126</v>
      </c>
      <c r="BK263" s="263">
        <f t="shared" si="10"/>
        <v>16.651319790375741</v>
      </c>
      <c r="BL263" s="263">
        <f t="shared" si="10"/>
        <v>16.661810861637356</v>
      </c>
      <c r="BM263" s="264">
        <f>AX263*$C$745</f>
        <v>16.672301932898996</v>
      </c>
      <c r="BN263" s="263">
        <f>BM263+($BR$263-$BM$263)/5</f>
        <v>16.682892970558111</v>
      </c>
      <c r="BO263" s="263">
        <f>BN263+($BR$263-$BM$263)/5</f>
        <v>16.693484008217226</v>
      </c>
      <c r="BP263" s="263">
        <f>BO263+($BR$263-$BM$263)/5</f>
        <v>16.704075045876341</v>
      </c>
      <c r="BQ263" s="263">
        <f>BP263+($BR$263-$BM$263)/5</f>
        <v>16.714666083535455</v>
      </c>
      <c r="BR263" s="264">
        <f>BM263*$D$745</f>
        <v>16.725257121194577</v>
      </c>
    </row>
    <row r="264" spans="1:70">
      <c r="A264" s="765" t="s">
        <v>613</v>
      </c>
      <c r="B264" s="767">
        <v>2.4029970169067401</v>
      </c>
      <c r="C264" s="767">
        <v>2.4299483299255402</v>
      </c>
      <c r="D264" s="767">
        <v>2.5420303344726598</v>
      </c>
      <c r="E264" s="767">
        <v>2.4490520954132098</v>
      </c>
      <c r="F264" s="767">
        <v>2.3906834125518799</v>
      </c>
      <c r="G264" s="767">
        <v>2.4765830039978001</v>
      </c>
      <c r="H264" s="767">
        <v>2.4936084747314502</v>
      </c>
      <c r="I264" s="767">
        <v>2.5247271060943599</v>
      </c>
      <c r="J264" s="767">
        <v>2.54471778869629</v>
      </c>
      <c r="K264" s="767">
        <v>2.53918480873108</v>
      </c>
      <c r="L264" s="767">
        <v>2.54552221298218</v>
      </c>
      <c r="M264" s="767">
        <v>2.5526983737945601</v>
      </c>
      <c r="N264" s="767">
        <v>2.5639333724975599</v>
      </c>
      <c r="O264" s="767">
        <v>2.5611753463745099</v>
      </c>
      <c r="P264" s="767">
        <v>2.56861472129822</v>
      </c>
      <c r="Q264" s="767">
        <v>2.5710935592651398</v>
      </c>
      <c r="R264" s="767">
        <v>2.57420825958252</v>
      </c>
      <c r="S264" s="767">
        <v>2.5741758346557599</v>
      </c>
      <c r="T264" s="767">
        <v>2.5788726806640598</v>
      </c>
      <c r="U264" s="767">
        <v>2.5789062976837198</v>
      </c>
      <c r="V264" s="767">
        <v>2.59378290176392</v>
      </c>
      <c r="W264" s="767">
        <v>2.6088099479675302</v>
      </c>
      <c r="X264" s="767">
        <v>2.6259028911590598</v>
      </c>
      <c r="Y264" s="767">
        <v>2.64452123641968</v>
      </c>
      <c r="Z264" s="767">
        <v>2.6644773483276398</v>
      </c>
      <c r="AA264" s="283"/>
      <c r="AB264" s="283"/>
      <c r="AC264" s="283"/>
      <c r="AD264" s="283"/>
    </row>
    <row r="265" spans="1:70" ht="14" thickBot="1">
      <c r="A265" s="765" t="s">
        <v>614</v>
      </c>
      <c r="B265" s="767">
        <v>0</v>
      </c>
      <c r="C265" s="767">
        <v>0</v>
      </c>
      <c r="D265" s="767">
        <v>0</v>
      </c>
      <c r="E265" s="767">
        <v>0</v>
      </c>
      <c r="F265" s="767">
        <v>0</v>
      </c>
      <c r="G265" s="767">
        <v>1.5133428573608401</v>
      </c>
      <c r="H265" s="767">
        <v>1.3742095232009901</v>
      </c>
      <c r="I265" s="767">
        <v>1.19064140319824</v>
      </c>
      <c r="J265" s="767">
        <v>1.3664953708648699</v>
      </c>
      <c r="K265" s="767">
        <v>1.33487153053284</v>
      </c>
      <c r="L265" s="767">
        <v>1.31654036045074</v>
      </c>
      <c r="M265" s="767">
        <v>1.30223417282104</v>
      </c>
      <c r="N265" s="767">
        <v>1.30838906764984</v>
      </c>
      <c r="O265" s="767">
        <v>1.32146644592285</v>
      </c>
      <c r="P265" s="767">
        <v>1.3489345312118499</v>
      </c>
      <c r="Q265" s="767">
        <v>1.3524934053421001</v>
      </c>
      <c r="R265" s="767">
        <v>1.3570195436477701</v>
      </c>
      <c r="S265" s="767">
        <v>1.3626403808593801</v>
      </c>
      <c r="T265" s="767">
        <v>1.37119424343109</v>
      </c>
      <c r="U265" s="767">
        <v>1.3635557889938399</v>
      </c>
      <c r="V265" s="767">
        <v>1.3662919998168901</v>
      </c>
      <c r="W265" s="767">
        <v>1.37254309654236</v>
      </c>
      <c r="X265" s="767">
        <v>1.37609398365021</v>
      </c>
      <c r="Y265" s="767">
        <v>1.3784751892089799</v>
      </c>
      <c r="Z265" s="767">
        <v>1.3805129528045701</v>
      </c>
      <c r="AA265" s="283">
        <v>24.056577682495099</v>
      </c>
      <c r="AB265" s="283">
        <v>24.1739406585693</v>
      </c>
      <c r="AC265" s="283">
        <v>24.2586994171143</v>
      </c>
      <c r="AD265" s="283">
        <v>24.288969039916999</v>
      </c>
    </row>
    <row r="266" spans="1:70" ht="14" thickBot="1">
      <c r="A266" s="765" t="s">
        <v>477</v>
      </c>
      <c r="B266" s="767">
        <v>18.400894165039102</v>
      </c>
      <c r="C266" s="767">
        <v>18.6226921081543</v>
      </c>
      <c r="D266" s="767">
        <v>20.334409713745099</v>
      </c>
      <c r="E266" s="767">
        <v>19.159486770629901</v>
      </c>
      <c r="F266" s="767">
        <v>16.828172683715799</v>
      </c>
      <c r="G266" s="767">
        <v>17.264308929443398</v>
      </c>
      <c r="H266" s="767">
        <v>17.156070709228501</v>
      </c>
      <c r="I266" s="767">
        <v>17.083604812622099</v>
      </c>
      <c r="J266" s="767">
        <v>17.1988334655762</v>
      </c>
      <c r="K266" s="767">
        <v>17.318143844604499</v>
      </c>
      <c r="L266" s="767">
        <v>17.615074157714801</v>
      </c>
      <c r="M266" s="767">
        <v>17.910154342651399</v>
      </c>
      <c r="N266" s="767">
        <v>18.210170745849599</v>
      </c>
      <c r="O266" s="767">
        <v>18.456880569458001</v>
      </c>
      <c r="P266" s="767">
        <v>18.803001403808601</v>
      </c>
      <c r="Q266" s="767">
        <v>19.085206985473601</v>
      </c>
      <c r="R266" s="767">
        <v>19.30615234375</v>
      </c>
      <c r="S266" s="767">
        <v>19.3043308258057</v>
      </c>
      <c r="T266" s="767">
        <v>19.3253479003906</v>
      </c>
      <c r="U266" s="767">
        <v>19.324813842773398</v>
      </c>
      <c r="V266" s="767">
        <v>19.354219436645501</v>
      </c>
      <c r="W266" s="767">
        <v>19.614883422851602</v>
      </c>
      <c r="X266" s="767">
        <v>19.97239112854</v>
      </c>
      <c r="Y266" s="767">
        <v>20.29469871521</v>
      </c>
      <c r="Z266" s="767">
        <v>20.560989379882798</v>
      </c>
      <c r="AA266" s="283">
        <v>21.3195495605469</v>
      </c>
      <c r="AB266" s="283">
        <v>21.43874168396</v>
      </c>
      <c r="AC266" s="283">
        <v>21.398374557495099</v>
      </c>
      <c r="AD266" s="283">
        <v>21.4992275238037</v>
      </c>
      <c r="AE266" s="267">
        <f>AD266+($AI$266-$AD$266)/5</f>
        <v>21.318281718011935</v>
      </c>
      <c r="AF266" s="267">
        <f>AE266+($AI$266-$AD$266)/5</f>
        <v>21.13733591222017</v>
      </c>
      <c r="AG266" s="267">
        <f>AF266+($AI$266-$AD$266)/5</f>
        <v>20.956390106428405</v>
      </c>
      <c r="AH266" s="267">
        <f>AG266+($AI$266-$AD$266)/5</f>
        <v>20.775444300636639</v>
      </c>
      <c r="AI266" s="268">
        <f>T436*$E$747</f>
        <v>20.594498494844878</v>
      </c>
      <c r="AJ266" s="267">
        <f>AI266+($AX$266-$AI$266)/15</f>
        <v>20.60819416894353</v>
      </c>
      <c r="AK266" s="267">
        <f t="shared" ref="AK266:AW266" si="11">AJ266+($AX$266-$AI$266)/15</f>
        <v>20.621889843042183</v>
      </c>
      <c r="AL266" s="267">
        <f t="shared" si="11"/>
        <v>20.635585517140836</v>
      </c>
      <c r="AM266" s="267">
        <f t="shared" si="11"/>
        <v>20.649281191239488</v>
      </c>
      <c r="AN266" s="267">
        <f t="shared" si="11"/>
        <v>20.662976865338141</v>
      </c>
      <c r="AO266" s="267">
        <f t="shared" si="11"/>
        <v>20.676672539436794</v>
      </c>
      <c r="AP266" s="267">
        <f t="shared" si="11"/>
        <v>20.690368213535447</v>
      </c>
      <c r="AQ266" s="267">
        <f t="shared" si="11"/>
        <v>20.704063887634099</v>
      </c>
      <c r="AR266" s="267">
        <f t="shared" si="11"/>
        <v>20.717759561732752</v>
      </c>
      <c r="AS266" s="267">
        <f t="shared" si="11"/>
        <v>20.731455235831405</v>
      </c>
      <c r="AT266" s="267">
        <f t="shared" si="11"/>
        <v>20.745150909930057</v>
      </c>
      <c r="AU266" s="267">
        <f t="shared" si="11"/>
        <v>20.75884658402871</v>
      </c>
      <c r="AV266" s="267">
        <f t="shared" si="11"/>
        <v>20.772542258127363</v>
      </c>
      <c r="AW266" s="267">
        <f t="shared" si="11"/>
        <v>20.786237932226015</v>
      </c>
      <c r="AX266" s="268">
        <f>AI266*$B$747</f>
        <v>20.799933606324664</v>
      </c>
      <c r="AY266" s="267">
        <f>AX266+($BM$266-$AX$266)/15</f>
        <v>20.807002050879195</v>
      </c>
      <c r="AZ266" s="267">
        <f t="shared" ref="AZ266:BL266" si="12">AY266+($BM$266-$AX$266)/15</f>
        <v>20.814070495433725</v>
      </c>
      <c r="BA266" s="267">
        <f t="shared" si="12"/>
        <v>20.821138939988256</v>
      </c>
      <c r="BB266" s="267">
        <f t="shared" si="12"/>
        <v>20.828207384542786</v>
      </c>
      <c r="BC266" s="267">
        <f t="shared" si="12"/>
        <v>20.835275829097316</v>
      </c>
      <c r="BD266" s="267">
        <f t="shared" si="12"/>
        <v>20.842344273651847</v>
      </c>
      <c r="BE266" s="267">
        <f t="shared" si="12"/>
        <v>20.849412718206377</v>
      </c>
      <c r="BF266" s="267">
        <f t="shared" si="12"/>
        <v>20.856481162760907</v>
      </c>
      <c r="BG266" s="267">
        <f t="shared" si="12"/>
        <v>20.863549607315438</v>
      </c>
      <c r="BH266" s="267">
        <f t="shared" si="12"/>
        <v>20.870618051869968</v>
      </c>
      <c r="BI266" s="267">
        <f t="shared" si="12"/>
        <v>20.877686496424499</v>
      </c>
      <c r="BJ266" s="267">
        <f t="shared" si="12"/>
        <v>20.884754940979029</v>
      </c>
      <c r="BK266" s="267">
        <f t="shared" si="12"/>
        <v>20.891823385533559</v>
      </c>
      <c r="BL266" s="267">
        <f t="shared" si="12"/>
        <v>20.89889183008809</v>
      </c>
      <c r="BM266" s="268">
        <f>AX266*$C$747</f>
        <v>20.905960274642634</v>
      </c>
      <c r="BN266" s="267">
        <f>BM266+($BR$266-$BM$266)/5</f>
        <v>20.913064750255749</v>
      </c>
      <c r="BO266" s="267">
        <f>BN266+($BR$266-$BM$266)/5</f>
        <v>20.920169225868865</v>
      </c>
      <c r="BP266" s="267">
        <f>BO266+($BR$266-$BM$266)/5</f>
        <v>20.92727370148198</v>
      </c>
      <c r="BQ266" s="267">
        <f>BP266+($BR$266-$BM$266)/5</f>
        <v>20.934378177095095</v>
      </c>
      <c r="BR266" s="268">
        <f>BM266*$D$747</f>
        <v>20.94148265270821</v>
      </c>
    </row>
    <row r="267" spans="1:70" ht="14" thickBot="1">
      <c r="AA267" s="283">
        <v>17.292875289916999</v>
      </c>
      <c r="AB267" s="283">
        <v>17.531343460083001</v>
      </c>
      <c r="AC267" s="283">
        <v>17.526832580566399</v>
      </c>
      <c r="AD267" s="283">
        <v>17.756109237670898</v>
      </c>
      <c r="AE267" s="265">
        <f>AD267+($AI$267-$AD$267)/5</f>
        <v>18.740759573600641</v>
      </c>
      <c r="AF267" s="265">
        <f>AE267+($AI$267-$AD$267)/5</f>
        <v>19.725409909530384</v>
      </c>
      <c r="AG267" s="265">
        <f>AF267+($AI$267-$AD$267)/5</f>
        <v>20.710060245460127</v>
      </c>
      <c r="AH267" s="265">
        <f>AG267+($AI$267-$AD$267)/5</f>
        <v>21.69471058138987</v>
      </c>
      <c r="AI267" s="266">
        <f>T437*$E$744</f>
        <v>22.67936091731961</v>
      </c>
      <c r="AJ267" s="265">
        <f>AI267+($AX$267-$AI$267)/15</f>
        <v>22.91940642537169</v>
      </c>
      <c r="AK267" s="265">
        <f t="shared" ref="AK267:AW267" si="13">AJ267+($AX$267-$AI$267)/15</f>
        <v>23.159451933423771</v>
      </c>
      <c r="AL267" s="265">
        <f t="shared" si="13"/>
        <v>23.399497441475852</v>
      </c>
      <c r="AM267" s="265">
        <f t="shared" si="13"/>
        <v>23.639542949527932</v>
      </c>
      <c r="AN267" s="265">
        <f t="shared" si="13"/>
        <v>23.879588457580013</v>
      </c>
      <c r="AO267" s="265">
        <f t="shared" si="13"/>
        <v>24.119633965632094</v>
      </c>
      <c r="AP267" s="265">
        <f t="shared" si="13"/>
        <v>24.359679473684174</v>
      </c>
      <c r="AQ267" s="265">
        <f t="shared" si="13"/>
        <v>24.599724981736255</v>
      </c>
      <c r="AR267" s="265">
        <f t="shared" si="13"/>
        <v>24.839770489788336</v>
      </c>
      <c r="AS267" s="265">
        <f t="shared" si="13"/>
        <v>25.079815997840416</v>
      </c>
      <c r="AT267" s="265">
        <f t="shared" si="13"/>
        <v>25.319861505892497</v>
      </c>
      <c r="AU267" s="265">
        <f t="shared" si="13"/>
        <v>25.559907013944578</v>
      </c>
      <c r="AV267" s="265">
        <f t="shared" si="13"/>
        <v>25.799952521996659</v>
      </c>
      <c r="AW267" s="265">
        <f t="shared" si="13"/>
        <v>26.039998030048739</v>
      </c>
      <c r="AX267" s="266">
        <f>AI267*$B$744</f>
        <v>26.28004353810082</v>
      </c>
      <c r="AY267" s="265">
        <f>AX267+($BM$267-$AX$267)/15</f>
        <v>26.429681543018035</v>
      </c>
      <c r="AZ267" s="265">
        <f t="shared" ref="AZ267:BL267" si="14">AY267+($BM$267-$AX$267)/15</f>
        <v>26.579319547935249</v>
      </c>
      <c r="BA267" s="265">
        <f t="shared" si="14"/>
        <v>26.728957552852464</v>
      </c>
      <c r="BB267" s="265">
        <f t="shared" si="14"/>
        <v>26.878595557769678</v>
      </c>
      <c r="BC267" s="265">
        <f t="shared" si="14"/>
        <v>27.028233562686893</v>
      </c>
      <c r="BD267" s="265">
        <f t="shared" si="14"/>
        <v>27.177871567604107</v>
      </c>
      <c r="BE267" s="265">
        <f t="shared" si="14"/>
        <v>27.327509572521322</v>
      </c>
      <c r="BF267" s="265">
        <f t="shared" si="14"/>
        <v>27.477147577438537</v>
      </c>
      <c r="BG267" s="265">
        <f t="shared" si="14"/>
        <v>27.626785582355751</v>
      </c>
      <c r="BH267" s="265">
        <f t="shared" si="14"/>
        <v>27.776423587272966</v>
      </c>
      <c r="BI267" s="265">
        <f t="shared" si="14"/>
        <v>27.92606159219018</v>
      </c>
      <c r="BJ267" s="265">
        <f t="shared" si="14"/>
        <v>28.075699597107395</v>
      </c>
      <c r="BK267" s="265">
        <f t="shared" si="14"/>
        <v>28.225337602024609</v>
      </c>
      <c r="BL267" s="265">
        <f t="shared" si="14"/>
        <v>28.374975606941824</v>
      </c>
      <c r="BM267" s="266">
        <f>AX267*$C$744</f>
        <v>28.524613611859053</v>
      </c>
      <c r="BN267" s="265">
        <f>BM267+($BR$267-$BM$267)/5</f>
        <v>28.687032150691561</v>
      </c>
      <c r="BO267" s="265">
        <f>BN267+($BR$267-$BM$267)/5</f>
        <v>28.849450689524069</v>
      </c>
      <c r="BP267" s="265">
        <f>BO267+($BR$267-$BM$267)/5</f>
        <v>29.011869228356577</v>
      </c>
      <c r="BQ267" s="265">
        <f>BP267+($BR$267-$BM$267)/5</f>
        <v>29.174287767189085</v>
      </c>
      <c r="BR267" s="266">
        <f>BM267*$D$744</f>
        <v>29.336706306021593</v>
      </c>
    </row>
    <row r="268" spans="1:70" ht="14" thickBot="1">
      <c r="A268" s="765" t="s">
        <v>485</v>
      </c>
      <c r="AA268" s="283">
        <v>11.227470397949199</v>
      </c>
      <c r="AB268" s="283">
        <v>11.517865180969199</v>
      </c>
      <c r="AC268" s="283">
        <v>11.5089683532715</v>
      </c>
      <c r="AD268" s="283">
        <v>11.7493782043457</v>
      </c>
    </row>
    <row r="269" spans="1:70" ht="14" thickBot="1">
      <c r="A269" s="765" t="s">
        <v>615</v>
      </c>
      <c r="B269" s="767">
        <v>22.296371459960898</v>
      </c>
      <c r="C269" s="767">
        <v>25.0072345733643</v>
      </c>
      <c r="D269" s="767">
        <v>28.759458541870099</v>
      </c>
      <c r="E269" s="767">
        <v>21.685003280639599</v>
      </c>
      <c r="F269" s="767">
        <v>20.534326553344702</v>
      </c>
      <c r="G269" s="767">
        <v>22.796831130981399</v>
      </c>
      <c r="H269" s="767">
        <v>24.8035278320313</v>
      </c>
      <c r="I269" s="767">
        <v>26.570152282714801</v>
      </c>
      <c r="J269" s="767">
        <v>28.076972961425799</v>
      </c>
      <c r="K269" s="767">
        <v>29.693559646606399</v>
      </c>
      <c r="L269" s="767">
        <v>30.7330017089844</v>
      </c>
      <c r="M269" s="767">
        <v>31.595745086669901</v>
      </c>
      <c r="N269" s="767">
        <v>32.463813781738303</v>
      </c>
      <c r="O269" s="767">
        <v>32.853603363037102</v>
      </c>
      <c r="P269" s="767">
        <v>33.095050811767599</v>
      </c>
      <c r="Q269" s="767">
        <v>33.3141899108887</v>
      </c>
      <c r="R269" s="767">
        <v>33.425758361816399</v>
      </c>
      <c r="S269" s="767">
        <v>33.752655029296903</v>
      </c>
      <c r="T269" s="767">
        <v>33.878787994384801</v>
      </c>
      <c r="U269" s="767">
        <v>33.426109313964801</v>
      </c>
      <c r="V269" s="767">
        <v>33.692680358886697</v>
      </c>
      <c r="W269" s="767">
        <v>33.960933685302699</v>
      </c>
      <c r="X269" s="767">
        <v>34.291332244872997</v>
      </c>
      <c r="Y269" s="767">
        <v>34.467491149902301</v>
      </c>
      <c r="Z269" s="767">
        <v>34.819602966308601</v>
      </c>
      <c r="AA269" s="283">
        <v>16.025825500488299</v>
      </c>
      <c r="AB269" s="283">
        <v>16.333782196044901</v>
      </c>
      <c r="AC269" s="283">
        <v>16.2625331878662</v>
      </c>
      <c r="AD269" s="283">
        <v>16.470952987670898</v>
      </c>
      <c r="AE269" s="265">
        <f>AD269+($AI$269-$AD$269)/5</f>
        <v>17.380928094850553</v>
      </c>
      <c r="AF269" s="265">
        <f>AE269+($AI$269-$AD$269)/5</f>
        <v>18.290903202030208</v>
      </c>
      <c r="AG269" s="265">
        <f>AF269+($AI$269-$AD$269)/5</f>
        <v>19.200878309209862</v>
      </c>
      <c r="AH269" s="265">
        <f>AG269+($AI$269-$AD$269)/5</f>
        <v>20.110853416389517</v>
      </c>
      <c r="AI269" s="266">
        <f>T439*$E$744</f>
        <v>21.020828523569172</v>
      </c>
      <c r="AJ269" s="265">
        <f>AI269+($AX$269-$AI$269)/15</f>
        <v>21.243319601735415</v>
      </c>
      <c r="AK269" s="265">
        <f t="shared" ref="AK269:AW269" si="15">AJ269+($AX$269-$AI$269)/15</f>
        <v>21.465810679901658</v>
      </c>
      <c r="AL269" s="265">
        <f t="shared" si="15"/>
        <v>21.688301758067901</v>
      </c>
      <c r="AM269" s="265">
        <f t="shared" si="15"/>
        <v>21.910792836234144</v>
      </c>
      <c r="AN269" s="265">
        <f t="shared" si="15"/>
        <v>22.133283914400387</v>
      </c>
      <c r="AO269" s="265">
        <f t="shared" si="15"/>
        <v>22.35577499256663</v>
      </c>
      <c r="AP269" s="265">
        <f t="shared" si="15"/>
        <v>22.578266070732873</v>
      </c>
      <c r="AQ269" s="265">
        <f t="shared" si="15"/>
        <v>22.800757148899116</v>
      </c>
      <c r="AR269" s="265">
        <f t="shared" si="15"/>
        <v>23.023248227065359</v>
      </c>
      <c r="AS269" s="265">
        <f t="shared" si="15"/>
        <v>23.245739305231602</v>
      </c>
      <c r="AT269" s="265">
        <f t="shared" si="15"/>
        <v>23.468230383397845</v>
      </c>
      <c r="AU269" s="265">
        <f t="shared" si="15"/>
        <v>23.690721461564088</v>
      </c>
      <c r="AV269" s="265">
        <f t="shared" si="15"/>
        <v>23.913212539730331</v>
      </c>
      <c r="AW269" s="265">
        <f t="shared" si="15"/>
        <v>24.135703617896574</v>
      </c>
      <c r="AX269" s="266">
        <f>AI269*$B$744</f>
        <v>24.358194696062842</v>
      </c>
      <c r="AY269" s="265">
        <f>AX269+($BM$269-$AX$269)/15</f>
        <v>24.496889734844629</v>
      </c>
      <c r="AZ269" s="265">
        <f t="shared" ref="AZ269:BL269" si="16">AY269+($BM$269-$AX$269)/15</f>
        <v>24.635584773626416</v>
      </c>
      <c r="BA269" s="265">
        <f t="shared" si="16"/>
        <v>24.774279812408203</v>
      </c>
      <c r="BB269" s="265">
        <f t="shared" si="16"/>
        <v>24.91297485118999</v>
      </c>
      <c r="BC269" s="265">
        <f t="shared" si="16"/>
        <v>25.051669889971777</v>
      </c>
      <c r="BD269" s="265">
        <f t="shared" si="16"/>
        <v>25.190364928753564</v>
      </c>
      <c r="BE269" s="265">
        <f t="shared" si="16"/>
        <v>25.32905996753535</v>
      </c>
      <c r="BF269" s="265">
        <f t="shared" si="16"/>
        <v>25.467755006317137</v>
      </c>
      <c r="BG269" s="265">
        <f t="shared" si="16"/>
        <v>25.606450045098924</v>
      </c>
      <c r="BH269" s="265">
        <f t="shared" si="16"/>
        <v>25.745145083880711</v>
      </c>
      <c r="BI269" s="265">
        <f t="shared" si="16"/>
        <v>25.883840122662498</v>
      </c>
      <c r="BJ269" s="265">
        <f t="shared" si="16"/>
        <v>26.022535161444285</v>
      </c>
      <c r="BK269" s="265">
        <f t="shared" si="16"/>
        <v>26.161230200226072</v>
      </c>
      <c r="BL269" s="265">
        <f t="shared" si="16"/>
        <v>26.299925239007859</v>
      </c>
      <c r="BM269" s="266">
        <f>AX269*$C$744</f>
        <v>26.438620277789649</v>
      </c>
      <c r="BN269" s="265">
        <f>BM269+($BR$269-$BM$269)/5</f>
        <v>26.589161215265516</v>
      </c>
      <c r="BO269" s="265">
        <f>BN269+($BR$269-$BM$269)/5</f>
        <v>26.739702152741383</v>
      </c>
      <c r="BP269" s="265">
        <f>BO269+($BR$269-$BM$269)/5</f>
        <v>26.89024309021725</v>
      </c>
      <c r="BQ269" s="265">
        <f>BP269+($BR$269-$BM$269)/5</f>
        <v>27.040784027693118</v>
      </c>
      <c r="BR269" s="266">
        <f>BM269*$D$744</f>
        <v>27.191324965168981</v>
      </c>
    </row>
    <row r="270" spans="1:70">
      <c r="A270" s="765" t="s">
        <v>616</v>
      </c>
      <c r="B270" s="767">
        <v>25.5142211914063</v>
      </c>
      <c r="C270" s="767">
        <v>26.818180084228501</v>
      </c>
      <c r="D270" s="767">
        <v>34.073703765869098</v>
      </c>
      <c r="E270" s="767">
        <v>20.3962516784668</v>
      </c>
      <c r="F270" s="767">
        <v>18.869060516357401</v>
      </c>
      <c r="G270" s="767">
        <v>22.499189376831101</v>
      </c>
      <c r="H270" s="767">
        <v>24.345371246337901</v>
      </c>
      <c r="I270" s="767">
        <v>25.8835773468018</v>
      </c>
      <c r="J270" s="767">
        <v>27.376197814941399</v>
      </c>
      <c r="K270" s="767">
        <v>25.5507621765137</v>
      </c>
      <c r="L270" s="767">
        <v>26.3307495117188</v>
      </c>
      <c r="M270" s="767">
        <v>27.042121887206999</v>
      </c>
      <c r="N270" s="767">
        <v>27.074653625488299</v>
      </c>
      <c r="O270" s="767">
        <v>28.861484527587901</v>
      </c>
      <c r="P270" s="767">
        <v>29.593324661254901</v>
      </c>
      <c r="Q270" s="767">
        <v>29.691083908081101</v>
      </c>
      <c r="R270" s="767">
        <v>29.8394565582275</v>
      </c>
      <c r="S270" s="767">
        <v>30.056737899780298</v>
      </c>
      <c r="T270" s="767">
        <v>30.123649597168001</v>
      </c>
      <c r="U270" s="767">
        <v>30.045396804809599</v>
      </c>
      <c r="V270" s="767">
        <v>30.335887908935501</v>
      </c>
      <c r="W270" s="767">
        <v>30.1821899414063</v>
      </c>
      <c r="X270" s="767">
        <v>30.567377090454102</v>
      </c>
      <c r="Y270" s="767">
        <v>31.227724075317401</v>
      </c>
      <c r="Z270" s="767">
        <v>30.935503005981399</v>
      </c>
      <c r="AA270" s="283">
        <v>8.1832656860351598</v>
      </c>
      <c r="AB270" s="283">
        <v>8.1197490692138707</v>
      </c>
      <c r="AC270" s="283">
        <v>8.3803300857543892</v>
      </c>
      <c r="AD270" s="283">
        <v>8.2735004425048793</v>
      </c>
    </row>
    <row r="271" spans="1:70">
      <c r="A271" s="765" t="s">
        <v>617</v>
      </c>
      <c r="B271" s="767">
        <v>21.784559249877901</v>
      </c>
      <c r="C271" s="767">
        <v>22.982162475585898</v>
      </c>
      <c r="D271" s="767">
        <v>26.1744689941406</v>
      </c>
      <c r="E271" s="767">
        <v>15.6736001968384</v>
      </c>
      <c r="F271" s="767">
        <v>17.7131462097168</v>
      </c>
      <c r="G271" s="767">
        <v>20.6617527008057</v>
      </c>
      <c r="H271" s="767">
        <v>22.301433563232401</v>
      </c>
      <c r="I271" s="767">
        <v>23.517950057983398</v>
      </c>
      <c r="J271" s="767">
        <v>24.816135406494102</v>
      </c>
      <c r="K271" s="767">
        <v>26.137458801269499</v>
      </c>
      <c r="L271" s="767">
        <v>27.061580657958999</v>
      </c>
      <c r="M271" s="767">
        <v>27.993299484252901</v>
      </c>
      <c r="N271" s="767">
        <v>28.802474975585898</v>
      </c>
      <c r="O271" s="767">
        <v>29.411088943481399</v>
      </c>
      <c r="P271" s="767">
        <v>29.938217163085898</v>
      </c>
      <c r="Q271" s="767">
        <v>30.057752609252901</v>
      </c>
      <c r="R271" s="767">
        <v>30.3159790039063</v>
      </c>
      <c r="S271" s="767">
        <v>30.494945526123001</v>
      </c>
      <c r="T271" s="767">
        <v>30.528341293335</v>
      </c>
      <c r="U271" s="767">
        <v>30.4458103179932</v>
      </c>
      <c r="V271" s="767">
        <v>30.726751327514599</v>
      </c>
      <c r="W271" s="767">
        <v>30.704950332641602</v>
      </c>
      <c r="X271" s="767">
        <v>31.110511779785199</v>
      </c>
      <c r="Y271" s="767">
        <v>31.9617519378662</v>
      </c>
      <c r="Z271" s="767">
        <v>31.583656311035199</v>
      </c>
      <c r="AA271" s="283">
        <v>13.240598678588899</v>
      </c>
      <c r="AB271" s="283">
        <v>13.359972000122101</v>
      </c>
      <c r="AC271" s="283">
        <v>13.395259857177701</v>
      </c>
      <c r="AD271" s="283">
        <v>13.453570365905801</v>
      </c>
    </row>
    <row r="272" spans="1:70">
      <c r="A272" s="765" t="s">
        <v>618</v>
      </c>
      <c r="B272" s="767">
        <v>15.2446508407593</v>
      </c>
      <c r="C272" s="767">
        <v>16.0964660644531</v>
      </c>
      <c r="D272" s="767">
        <v>22.1856594085693</v>
      </c>
      <c r="E272" s="767">
        <v>10.540905952453601</v>
      </c>
      <c r="F272" s="767">
        <v>10.4131317138672</v>
      </c>
      <c r="G272" s="767">
        <v>12.992267608642599</v>
      </c>
      <c r="H272" s="767">
        <v>14.8510446548462</v>
      </c>
      <c r="I272" s="767">
        <v>16.4927158355713</v>
      </c>
      <c r="J272" s="767">
        <v>17.888269424438501</v>
      </c>
      <c r="K272" s="767">
        <v>19.120731353759801</v>
      </c>
      <c r="L272" s="767">
        <v>20.025011062622099</v>
      </c>
      <c r="M272" s="767">
        <v>20.925888061523398</v>
      </c>
      <c r="N272" s="767">
        <v>21.650459289550799</v>
      </c>
      <c r="O272" s="767">
        <v>22.054113388061499</v>
      </c>
      <c r="P272" s="767">
        <v>22.358533859252901</v>
      </c>
      <c r="Q272" s="767">
        <v>22.535087585449201</v>
      </c>
      <c r="R272" s="767">
        <v>22.624557495117202</v>
      </c>
      <c r="S272" s="767">
        <v>22.875423431396499</v>
      </c>
      <c r="T272" s="767">
        <v>23.088819503784201</v>
      </c>
      <c r="U272" s="767">
        <v>22.878332138061499</v>
      </c>
      <c r="V272" s="767">
        <v>23.229129791259801</v>
      </c>
      <c r="W272" s="767">
        <v>23.440977096557599</v>
      </c>
      <c r="X272" s="767">
        <v>23.911849975585898</v>
      </c>
      <c r="Y272" s="767">
        <v>24.3618278503418</v>
      </c>
      <c r="Z272" s="767">
        <v>24.669164657592798</v>
      </c>
      <c r="AA272" s="283">
        <v>24.345100402831999</v>
      </c>
      <c r="AB272" s="283">
        <v>24.401657104492202</v>
      </c>
      <c r="AC272" s="283">
        <v>24.482112884521499</v>
      </c>
      <c r="AD272" s="283">
        <v>24.4609375</v>
      </c>
    </row>
    <row r="273" spans="1:70">
      <c r="A273" s="765" t="s">
        <v>722</v>
      </c>
      <c r="B273" s="767">
        <v>20.2724208831787</v>
      </c>
      <c r="C273" s="767">
        <v>20.921422958373999</v>
      </c>
      <c r="D273" s="767">
        <v>27.066003799438501</v>
      </c>
      <c r="E273" s="767">
        <v>15.379162788391101</v>
      </c>
      <c r="F273" s="767">
        <v>14.6322994232178</v>
      </c>
      <c r="G273" s="767">
        <v>17.082887649536101</v>
      </c>
      <c r="H273" s="767">
        <v>18.906814575195298</v>
      </c>
      <c r="I273" s="767">
        <v>21.012025833129901</v>
      </c>
      <c r="J273" s="767">
        <v>22.391767501831101</v>
      </c>
      <c r="K273" s="767">
        <v>23.401908874511701</v>
      </c>
      <c r="L273" s="767">
        <v>24.249780654907202</v>
      </c>
      <c r="M273" s="767">
        <v>25.151100158691399</v>
      </c>
      <c r="N273" s="767">
        <v>25.830009460449201</v>
      </c>
      <c r="O273" s="767">
        <v>26.267305374145501</v>
      </c>
      <c r="P273" s="767">
        <v>26.5901203155518</v>
      </c>
      <c r="Q273" s="767">
        <v>26.487575531005898</v>
      </c>
      <c r="R273" s="767">
        <v>26.7318305969238</v>
      </c>
      <c r="S273" s="767">
        <v>26.979133605956999</v>
      </c>
      <c r="T273" s="767">
        <v>27.001283645629901</v>
      </c>
      <c r="U273" s="767">
        <v>26.997362136840799</v>
      </c>
      <c r="V273" s="767">
        <v>27.317785263061499</v>
      </c>
      <c r="W273" s="767">
        <v>27.182266235351602</v>
      </c>
      <c r="X273" s="767">
        <v>27.638069152831999</v>
      </c>
      <c r="Y273" s="767">
        <v>28.388862609863299</v>
      </c>
      <c r="Z273" s="767">
        <v>28.337171554565401</v>
      </c>
      <c r="AA273" s="283"/>
      <c r="AB273" s="283"/>
      <c r="AC273" s="283"/>
      <c r="AD273" s="283"/>
    </row>
    <row r="274" spans="1:70">
      <c r="A274" s="765" t="s">
        <v>609</v>
      </c>
      <c r="B274" s="767">
        <v>8.20648097991943</v>
      </c>
      <c r="C274" s="767">
        <v>9.4357099533081108</v>
      </c>
      <c r="D274" s="767">
        <v>14.2847747802734</v>
      </c>
      <c r="E274" s="767">
        <v>6.3925981521606401</v>
      </c>
      <c r="F274" s="767">
        <v>6.5852246284484899</v>
      </c>
      <c r="G274" s="767">
        <v>8.6673641204834002</v>
      </c>
      <c r="H274" s="767">
        <v>10.3328533172607</v>
      </c>
      <c r="I274" s="767">
        <v>11.815202713012701</v>
      </c>
      <c r="J274" s="767">
        <v>13.023598670959499</v>
      </c>
      <c r="K274" s="767">
        <v>14.4141092300415</v>
      </c>
      <c r="L274" s="767">
        <v>15.219378471374499</v>
      </c>
      <c r="M274" s="767">
        <v>15.915946006774901</v>
      </c>
      <c r="N274" s="767">
        <v>16.592523574829102</v>
      </c>
      <c r="O274" s="767">
        <v>16.9536838531494</v>
      </c>
      <c r="P274" s="767">
        <v>17.162534713745099</v>
      </c>
      <c r="Q274" s="767">
        <v>17.429744720458999</v>
      </c>
      <c r="R274" s="767">
        <v>17.456914901733398</v>
      </c>
      <c r="S274" s="767">
        <v>17.5628662109375</v>
      </c>
      <c r="T274" s="767">
        <v>17.630765914916999</v>
      </c>
      <c r="U274" s="767">
        <v>17.410764694213899</v>
      </c>
      <c r="V274" s="767">
        <v>17.6028347015381</v>
      </c>
      <c r="W274" s="767">
        <v>17.926630020141602</v>
      </c>
      <c r="X274" s="767">
        <v>18.257143020629901</v>
      </c>
      <c r="Y274" s="767">
        <v>18.451654434204102</v>
      </c>
      <c r="Z274" s="767">
        <v>18.835027694702099</v>
      </c>
      <c r="AA274" s="283">
        <v>10.4858131408691</v>
      </c>
      <c r="AB274" s="283">
        <v>10.572740554809601</v>
      </c>
      <c r="AC274" s="283">
        <v>10.740042686462401</v>
      </c>
      <c r="AD274" s="283">
        <v>10.786236763000501</v>
      </c>
    </row>
    <row r="275" spans="1:70" ht="14" thickBot="1">
      <c r="A275" s="765" t="s">
        <v>620</v>
      </c>
      <c r="B275" s="767">
        <v>15.5415086746216</v>
      </c>
      <c r="C275" s="767">
        <v>15.4958410263062</v>
      </c>
      <c r="D275" s="767">
        <v>16.8896675109863</v>
      </c>
      <c r="E275" s="767">
        <v>12.7877197265625</v>
      </c>
      <c r="F275" s="767">
        <v>13.502610206604</v>
      </c>
      <c r="G275" s="767">
        <v>13.8291311264038</v>
      </c>
      <c r="H275" s="767">
        <v>13.8390712738037</v>
      </c>
      <c r="I275" s="767">
        <v>13.843875885009799</v>
      </c>
      <c r="J275" s="767">
        <v>13.934069633483899</v>
      </c>
      <c r="K275" s="767">
        <v>14.0993509292603</v>
      </c>
      <c r="L275" s="767">
        <v>14.229956626892101</v>
      </c>
      <c r="M275" s="767">
        <v>14.3684740066528</v>
      </c>
      <c r="N275" s="767">
        <v>14.5119123458862</v>
      </c>
      <c r="O275" s="767">
        <v>14.701403617858899</v>
      </c>
      <c r="P275" s="767">
        <v>14.9462375640869</v>
      </c>
      <c r="Q275" s="767">
        <v>15.0934410095215</v>
      </c>
      <c r="R275" s="767">
        <v>15.092455863952599</v>
      </c>
      <c r="S275" s="767">
        <v>14.8220539093018</v>
      </c>
      <c r="T275" s="767">
        <v>14.7596139907837</v>
      </c>
      <c r="U275" s="767">
        <v>14.661186218261699</v>
      </c>
      <c r="V275" s="767">
        <v>14.786495208740201</v>
      </c>
      <c r="W275" s="767">
        <v>15.012266159057599</v>
      </c>
      <c r="X275" s="767">
        <v>15.2852840423584</v>
      </c>
      <c r="Y275" s="767">
        <v>15.4684591293335</v>
      </c>
      <c r="Z275" s="767">
        <v>15.6974124908447</v>
      </c>
      <c r="AA275" s="283">
        <v>6.7344188690185502</v>
      </c>
      <c r="AB275" s="283">
        <v>6.7479009628295898</v>
      </c>
      <c r="AC275" s="283">
        <v>6.8497943878173801</v>
      </c>
      <c r="AD275" s="283">
        <v>6.84698486328125</v>
      </c>
    </row>
    <row r="276" spans="1:70" ht="14" thickBot="1">
      <c r="A276" s="765" t="s">
        <v>477</v>
      </c>
      <c r="B276" s="767">
        <v>30.349004745483398</v>
      </c>
      <c r="C276" s="767">
        <v>30.777971267700199</v>
      </c>
      <c r="D276" s="767">
        <v>33.734138488769503</v>
      </c>
      <c r="E276" s="767">
        <v>31.501590728759801</v>
      </c>
      <c r="F276" s="767">
        <v>27.327030181884801</v>
      </c>
      <c r="G276" s="767">
        <v>28.561843872070298</v>
      </c>
      <c r="H276" s="767">
        <v>28.965305328369102</v>
      </c>
      <c r="I276" s="767">
        <v>28.9159030914307</v>
      </c>
      <c r="J276" s="767">
        <v>28.7644939422607</v>
      </c>
      <c r="K276" s="767">
        <v>28.526710510253899</v>
      </c>
      <c r="L276" s="767">
        <v>28.644361495971701</v>
      </c>
      <c r="M276" s="767">
        <v>28.6527919769287</v>
      </c>
      <c r="N276" s="767">
        <v>28.819505691528299</v>
      </c>
      <c r="O276" s="767">
        <v>28.888120651245099</v>
      </c>
      <c r="P276" s="767">
        <v>29.142557144165</v>
      </c>
      <c r="Q276" s="767">
        <v>29.470201492309599</v>
      </c>
      <c r="R276" s="767">
        <v>29.764074325561499</v>
      </c>
      <c r="S276" s="767">
        <v>29.801677703857401</v>
      </c>
      <c r="T276" s="767">
        <v>29.921939849853501</v>
      </c>
      <c r="U276" s="767">
        <v>30.035243988037099</v>
      </c>
      <c r="V276" s="767">
        <v>30.304817199706999</v>
      </c>
      <c r="W276" s="767">
        <v>30.8045558929443</v>
      </c>
      <c r="X276" s="767">
        <v>31.450147628784201</v>
      </c>
      <c r="Y276" s="767">
        <v>31.910936355590799</v>
      </c>
      <c r="Z276" s="767">
        <v>32.484222412109403</v>
      </c>
      <c r="AA276" s="283">
        <v>6.1479806900024396</v>
      </c>
      <c r="AB276" s="283">
        <v>6.2516684532165501</v>
      </c>
      <c r="AC276" s="283">
        <v>6.3134694099426296</v>
      </c>
      <c r="AD276" s="283">
        <v>6.3304243087768599</v>
      </c>
      <c r="AE276" s="261">
        <f>AD276+($AI$276-$AD$276)/5</f>
        <v>6.3370805697154289</v>
      </c>
      <c r="AF276" s="261">
        <f>AE276+($AI$276-$AD$276)/5</f>
        <v>6.3437368306539978</v>
      </c>
      <c r="AG276" s="261">
        <f>AF276+($AI$276-$AD$276)/5</f>
        <v>6.3503930915925668</v>
      </c>
      <c r="AH276" s="261">
        <f>AG276+($AI$276-$AD$276)/5</f>
        <v>6.3570493525311358</v>
      </c>
      <c r="AI276" s="262">
        <f>T446*$E$742</f>
        <v>6.363705613469703</v>
      </c>
      <c r="AJ276" s="261">
        <f>AI276+($AX$276-$AI$276)/15</f>
        <v>6.4357380850865695</v>
      </c>
      <c r="AK276" s="261">
        <f t="shared" ref="AK276:AW276" si="17">AJ276+($AX$276-$AI$276)/15</f>
        <v>6.5077705567034361</v>
      </c>
      <c r="AL276" s="261">
        <f t="shared" si="17"/>
        <v>6.5798030283203026</v>
      </c>
      <c r="AM276" s="261">
        <f t="shared" si="17"/>
        <v>6.6518354999371692</v>
      </c>
      <c r="AN276" s="261">
        <f t="shared" si="17"/>
        <v>6.7238679715540357</v>
      </c>
      <c r="AO276" s="261">
        <f t="shared" si="17"/>
        <v>6.7959004431709022</v>
      </c>
      <c r="AP276" s="261">
        <f t="shared" si="17"/>
        <v>6.8679329147877688</v>
      </c>
      <c r="AQ276" s="261">
        <f t="shared" si="17"/>
        <v>6.9399653864046353</v>
      </c>
      <c r="AR276" s="261">
        <f t="shared" si="17"/>
        <v>7.0119978580215019</v>
      </c>
      <c r="AS276" s="261">
        <f t="shared" si="17"/>
        <v>7.0840303296383684</v>
      </c>
      <c r="AT276" s="261">
        <f t="shared" si="17"/>
        <v>7.156062801255235</v>
      </c>
      <c r="AU276" s="261">
        <f t="shared" si="17"/>
        <v>7.2280952728721015</v>
      </c>
      <c r="AV276" s="261">
        <f t="shared" si="17"/>
        <v>7.3001277444889681</v>
      </c>
      <c r="AW276" s="261">
        <f t="shared" si="17"/>
        <v>7.3721602161058346</v>
      </c>
      <c r="AX276" s="262">
        <f>AI276*$B$742</f>
        <v>7.4441926877227056</v>
      </c>
      <c r="AY276" s="261">
        <f>AX276+($BM$276-$AX$276)/15</f>
        <v>7.51790324705948</v>
      </c>
      <c r="AZ276" s="261">
        <f t="shared" ref="AZ276:BL276" si="18">AY276+($BM$276-$AX$276)/15</f>
        <v>7.5916138063962544</v>
      </c>
      <c r="BA276" s="261">
        <f t="shared" si="18"/>
        <v>7.6653243657330288</v>
      </c>
      <c r="BB276" s="261">
        <f t="shared" si="18"/>
        <v>7.7390349250698032</v>
      </c>
      <c r="BC276" s="261">
        <f t="shared" si="18"/>
        <v>7.8127454844065776</v>
      </c>
      <c r="BD276" s="261">
        <f t="shared" si="18"/>
        <v>7.886456043743352</v>
      </c>
      <c r="BE276" s="261">
        <f t="shared" si="18"/>
        <v>7.9601666030801264</v>
      </c>
      <c r="BF276" s="261">
        <f t="shared" si="18"/>
        <v>8.0338771624169016</v>
      </c>
      <c r="BG276" s="261">
        <f t="shared" si="18"/>
        <v>8.107587721753676</v>
      </c>
      <c r="BH276" s="261">
        <f t="shared" si="18"/>
        <v>8.1812982810904504</v>
      </c>
      <c r="BI276" s="261">
        <f t="shared" si="18"/>
        <v>8.2550088404272248</v>
      </c>
      <c r="BJ276" s="261">
        <f t="shared" si="18"/>
        <v>8.3287193997639992</v>
      </c>
      <c r="BK276" s="261">
        <f t="shared" si="18"/>
        <v>8.4024299591007736</v>
      </c>
      <c r="BL276" s="261">
        <f t="shared" si="18"/>
        <v>8.476140518437548</v>
      </c>
      <c r="BM276" s="262">
        <f>AX276*$C$742</f>
        <v>8.5498510777743242</v>
      </c>
      <c r="BN276" s="261">
        <f>BM276+($BR$276-$BM$276)/5</f>
        <v>8.6345095936975138</v>
      </c>
      <c r="BO276" s="261">
        <f>BN276+($BR$276-$BM$276)/5</f>
        <v>8.7191681096207034</v>
      </c>
      <c r="BP276" s="261">
        <f>BO276+($BR$276-$BM$276)/5</f>
        <v>8.8038266255438931</v>
      </c>
      <c r="BQ276" s="261">
        <f>BP276+($BR$276-$BM$276)/5</f>
        <v>8.8884851414670827</v>
      </c>
      <c r="BR276" s="262">
        <f>BM276*$D$742</f>
        <v>8.9731436573902759</v>
      </c>
    </row>
    <row r="277" spans="1:70" ht="14" thickBot="1">
      <c r="AA277" s="283">
        <v>1.65011918544769</v>
      </c>
      <c r="AB277" s="283">
        <v>1.6656291484832799</v>
      </c>
      <c r="AC277" s="283">
        <v>1.67491066455841</v>
      </c>
      <c r="AD277" s="283">
        <v>1.68971908092499</v>
      </c>
      <c r="AE277" s="269">
        <f>AD277+($AI$277-$AD$277)/5</f>
        <v>1.6902380098146863</v>
      </c>
      <c r="AF277" s="269">
        <f>AE277+($AI$277-$AD$277)/5</f>
        <v>1.6907569387043826</v>
      </c>
      <c r="AG277" s="269">
        <f>AF277+($AI$277-$AD$277)/5</f>
        <v>1.6912758675940789</v>
      </c>
      <c r="AH277" s="269">
        <f>AG277+($AI$277-$AD$277)/5</f>
        <v>1.6917947964837752</v>
      </c>
      <c r="AI277" s="270">
        <f>T447*$E$740</f>
        <v>1.692313725373471</v>
      </c>
      <c r="AJ277" s="269">
        <f>AI277+($AX$277-$AI$277)/15</f>
        <v>1.6972753042285647</v>
      </c>
      <c r="AK277" s="269">
        <f t="shared" ref="AK277:AW277" si="19">AJ277+($AX$277-$AI$277)/15</f>
        <v>1.7022368830836583</v>
      </c>
      <c r="AL277" s="269">
        <f t="shared" si="19"/>
        <v>1.7071984619387519</v>
      </c>
      <c r="AM277" s="269">
        <f t="shared" si="19"/>
        <v>1.7121600407938455</v>
      </c>
      <c r="AN277" s="269">
        <f t="shared" si="19"/>
        <v>1.7171216196489392</v>
      </c>
      <c r="AO277" s="269">
        <f t="shared" si="19"/>
        <v>1.7220831985040328</v>
      </c>
      <c r="AP277" s="269">
        <f t="shared" si="19"/>
        <v>1.7270447773591264</v>
      </c>
      <c r="AQ277" s="269">
        <f t="shared" si="19"/>
        <v>1.7320063562142201</v>
      </c>
      <c r="AR277" s="269">
        <f t="shared" si="19"/>
        <v>1.7369679350693137</v>
      </c>
      <c r="AS277" s="269">
        <f t="shared" si="19"/>
        <v>1.7419295139244073</v>
      </c>
      <c r="AT277" s="269">
        <f t="shared" si="19"/>
        <v>1.7468910927795009</v>
      </c>
      <c r="AU277" s="269">
        <f t="shared" si="19"/>
        <v>1.7518526716345946</v>
      </c>
      <c r="AV277" s="269">
        <f t="shared" si="19"/>
        <v>1.7568142504896882</v>
      </c>
      <c r="AW277" s="269">
        <f t="shared" si="19"/>
        <v>1.7617758293447818</v>
      </c>
      <c r="AX277" s="270">
        <f>AI277*$B$740</f>
        <v>1.7667374081998766</v>
      </c>
      <c r="AY277" s="269">
        <f>AX277+($BM$277-$AX$277)/15</f>
        <v>1.7700881577207939</v>
      </c>
      <c r="AZ277" s="269">
        <f t="shared" ref="AZ277:BL277" si="20">AY277+($BM$277-$AX$277)/15</f>
        <v>1.7734389072417112</v>
      </c>
      <c r="BA277" s="269">
        <f t="shared" si="20"/>
        <v>1.7767896567626285</v>
      </c>
      <c r="BB277" s="269">
        <f t="shared" si="20"/>
        <v>1.7801404062835458</v>
      </c>
      <c r="BC277" s="269">
        <f t="shared" si="20"/>
        <v>1.783491155804463</v>
      </c>
      <c r="BD277" s="269">
        <f t="shared" si="20"/>
        <v>1.7868419053253803</v>
      </c>
      <c r="BE277" s="269">
        <f t="shared" si="20"/>
        <v>1.7901926548462976</v>
      </c>
      <c r="BF277" s="269">
        <f t="shared" si="20"/>
        <v>1.7935434043672149</v>
      </c>
      <c r="BG277" s="269">
        <f t="shared" si="20"/>
        <v>1.7968941538881322</v>
      </c>
      <c r="BH277" s="269">
        <f t="shared" si="20"/>
        <v>1.8002449034090495</v>
      </c>
      <c r="BI277" s="269">
        <f t="shared" si="20"/>
        <v>1.8035956529299668</v>
      </c>
      <c r="BJ277" s="269">
        <f t="shared" si="20"/>
        <v>1.8069464024508841</v>
      </c>
      <c r="BK277" s="269">
        <f t="shared" si="20"/>
        <v>1.8102971519718014</v>
      </c>
      <c r="BL277" s="269">
        <f t="shared" si="20"/>
        <v>1.8136479014927187</v>
      </c>
      <c r="BM277" s="270">
        <f>AX277*$C$740</f>
        <v>1.8169986510136373</v>
      </c>
      <c r="BN277" s="269">
        <f>BM277+($BR$277-$BM$277)/5</f>
        <v>1.8204447247375162</v>
      </c>
      <c r="BO277" s="269">
        <f>BN277+($BR$277-$BM$277)/5</f>
        <v>1.823890798461395</v>
      </c>
      <c r="BP277" s="269">
        <f>BO277+($BR$277-$BM$277)/5</f>
        <v>1.8273368721852739</v>
      </c>
      <c r="BQ277" s="269">
        <f>BP277+($BR$277-$BM$277)/5</f>
        <v>1.8307829459091527</v>
      </c>
      <c r="BR277" s="270">
        <f>BM277*$D$740</f>
        <v>1.8342290196330318</v>
      </c>
    </row>
    <row r="278" spans="1:70">
      <c r="A278" s="765" t="s">
        <v>621</v>
      </c>
      <c r="AA278" s="283"/>
      <c r="AB278" s="283"/>
      <c r="AC278" s="283"/>
      <c r="AD278" s="283"/>
    </row>
    <row r="279" spans="1:70">
      <c r="A279" s="765" t="s">
        <v>608</v>
      </c>
      <c r="B279" s="767">
        <v>13.773189544677701</v>
      </c>
      <c r="C279" s="767">
        <v>14.7725219726563</v>
      </c>
      <c r="D279" s="767">
        <v>19.176651000976602</v>
      </c>
      <c r="E279" s="767">
        <v>12.4995737075806</v>
      </c>
      <c r="F279" s="767">
        <v>9.7914295196533203</v>
      </c>
      <c r="G279" s="767">
        <v>12.0805196762085</v>
      </c>
      <c r="H279" s="767">
        <v>13.8671321868896</v>
      </c>
      <c r="I279" s="767">
        <v>15.216549873352101</v>
      </c>
      <c r="J279" s="767">
        <v>16.469785690307599</v>
      </c>
      <c r="K279" s="767">
        <v>17.9636936187744</v>
      </c>
      <c r="L279" s="767">
        <v>18.832237243652301</v>
      </c>
      <c r="M279" s="767">
        <v>19.641151428222699</v>
      </c>
      <c r="N279" s="767">
        <v>20.348432540893601</v>
      </c>
      <c r="O279" s="767">
        <v>20.710233688354499</v>
      </c>
      <c r="P279" s="767">
        <v>20.980741500854499</v>
      </c>
      <c r="Q279" s="767">
        <v>21.161005020141602</v>
      </c>
      <c r="R279" s="767">
        <v>21.2950553894043</v>
      </c>
      <c r="S279" s="767">
        <v>21.596014022827099</v>
      </c>
      <c r="T279" s="767">
        <v>21.884708404541001</v>
      </c>
      <c r="U279" s="767">
        <v>21.582948684692401</v>
      </c>
      <c r="V279" s="767">
        <v>21.8727416992188</v>
      </c>
      <c r="W279" s="767">
        <v>22.200710296630898</v>
      </c>
      <c r="X279" s="767">
        <v>22.548530578613299</v>
      </c>
      <c r="Y279" s="767">
        <v>22.812198638916001</v>
      </c>
      <c r="Z279" s="767">
        <v>23.2114353179932</v>
      </c>
      <c r="AA279" s="283">
        <v>18.0768718719482</v>
      </c>
      <c r="AB279" s="283">
        <v>18.184886932373001</v>
      </c>
      <c r="AC279" s="283">
        <v>18.263076782226602</v>
      </c>
      <c r="AD279" s="283">
        <v>18.304286956787099</v>
      </c>
    </row>
    <row r="280" spans="1:70">
      <c r="A280" s="765" t="s">
        <v>609</v>
      </c>
      <c r="B280" s="767">
        <v>8.3781757354736293</v>
      </c>
      <c r="C280" s="767">
        <v>8.5664386749267596</v>
      </c>
      <c r="D280" s="767">
        <v>14.309384346008301</v>
      </c>
      <c r="E280" s="767">
        <v>6.51324510574341</v>
      </c>
      <c r="F280" s="767">
        <v>6.6763448715209996</v>
      </c>
      <c r="G280" s="767">
        <v>9.3123388290405291</v>
      </c>
      <c r="H280" s="767">
        <v>10.994701385498001</v>
      </c>
      <c r="I280" s="767">
        <v>12.5300750732422</v>
      </c>
      <c r="J280" s="767">
        <v>13.7526693344116</v>
      </c>
      <c r="K280" s="767">
        <v>15.155575752258301</v>
      </c>
      <c r="L280" s="767">
        <v>15.963142395019499</v>
      </c>
      <c r="M280" s="767">
        <v>16.617677688598601</v>
      </c>
      <c r="N280" s="767">
        <v>17.274333953857401</v>
      </c>
      <c r="O280" s="767">
        <v>17.322587966918899</v>
      </c>
      <c r="P280" s="767">
        <v>17.542411804199201</v>
      </c>
      <c r="Q280" s="767">
        <v>17.799869537353501</v>
      </c>
      <c r="R280" s="767">
        <v>17.916141510009801</v>
      </c>
      <c r="S280" s="767">
        <v>18.075910568237301</v>
      </c>
      <c r="T280" s="767">
        <v>18.1613368988037</v>
      </c>
      <c r="U280" s="767">
        <v>17.935956954956101</v>
      </c>
      <c r="V280" s="767">
        <v>18.128087997436499</v>
      </c>
      <c r="W280" s="767">
        <v>18.400978088378899</v>
      </c>
      <c r="X280" s="767">
        <v>18.7218933105469</v>
      </c>
      <c r="Y280" s="767">
        <v>18.9085083007813</v>
      </c>
      <c r="Z280" s="767">
        <v>19.247135162353501</v>
      </c>
      <c r="AA280" s="283">
        <v>21.3195495605469</v>
      </c>
      <c r="AB280" s="283">
        <v>21.43874168396</v>
      </c>
      <c r="AC280" s="283">
        <v>21.398374557495099</v>
      </c>
      <c r="AD280" s="283">
        <v>21.4992275238037</v>
      </c>
    </row>
    <row r="281" spans="1:70">
      <c r="A281" s="765" t="s">
        <v>508</v>
      </c>
      <c r="B281" s="767">
        <v>7.0546379089355504</v>
      </c>
      <c r="C281" s="767">
        <v>7.0191597938537598</v>
      </c>
      <c r="D281" s="767">
        <v>8.8716125488281303</v>
      </c>
      <c r="E281" s="767">
        <v>4.5556221008300799</v>
      </c>
      <c r="F281" s="767">
        <v>5.1293134689331099</v>
      </c>
      <c r="G281" s="767">
        <v>5.4535460472106898</v>
      </c>
      <c r="H281" s="767">
        <v>5.5187635421752903</v>
      </c>
      <c r="I281" s="767">
        <v>5.53977298736572</v>
      </c>
      <c r="J281" s="767">
        <v>5.6835036277770996</v>
      </c>
      <c r="K281" s="767">
        <v>5.8920464515686</v>
      </c>
      <c r="L281" s="767">
        <v>6.0819325447082502</v>
      </c>
      <c r="M281" s="767">
        <v>6.2693996429443404</v>
      </c>
      <c r="N281" s="767">
        <v>6.4775133132934597</v>
      </c>
      <c r="O281" s="767">
        <v>6.7354197502136204</v>
      </c>
      <c r="P281" s="767">
        <v>7.0278439521789604</v>
      </c>
      <c r="Q281" s="767">
        <v>7.2539091110229501</v>
      </c>
      <c r="R281" s="767">
        <v>7.3283839225768999</v>
      </c>
      <c r="S281" s="767">
        <v>7.1506276130676296</v>
      </c>
      <c r="T281" s="767">
        <v>7.1924118995666504</v>
      </c>
      <c r="U281" s="767">
        <v>7.1398839950561497</v>
      </c>
      <c r="V281" s="767">
        <v>7.2806253433227504</v>
      </c>
      <c r="W281" s="767">
        <v>7.5354790687561</v>
      </c>
      <c r="X281" s="767">
        <v>7.8600792884826696</v>
      </c>
      <c r="Y281" s="767">
        <v>8.0742120742797905</v>
      </c>
      <c r="Z281" s="767">
        <v>8.3395175933837908</v>
      </c>
      <c r="AA281" s="283">
        <v>17.291141510009801</v>
      </c>
      <c r="AB281" s="283">
        <v>17.529483795166001</v>
      </c>
      <c r="AC281" s="283">
        <v>17.525184631347699</v>
      </c>
      <c r="AD281" s="283">
        <v>17.7543029785156</v>
      </c>
    </row>
    <row r="282" spans="1:70">
      <c r="A282" s="765" t="s">
        <v>622</v>
      </c>
      <c r="B282" s="767">
        <v>1.7355252504348799</v>
      </c>
      <c r="C282" s="767">
        <v>1.7800002098083501</v>
      </c>
      <c r="D282" s="767">
        <v>1.9310736656189</v>
      </c>
      <c r="E282" s="767">
        <v>1.98230564594269</v>
      </c>
      <c r="F282" s="767">
        <v>1.86225914955139</v>
      </c>
      <c r="G282" s="767">
        <v>1.87335216999054</v>
      </c>
      <c r="H282" s="767">
        <v>1.85759365558624</v>
      </c>
      <c r="I282" s="767">
        <v>1.8817487955093399</v>
      </c>
      <c r="J282" s="767">
        <v>1.9043176174163801</v>
      </c>
      <c r="K282" s="767">
        <v>1.90719401836395</v>
      </c>
      <c r="L282" s="767">
        <v>1.9170492887496899</v>
      </c>
      <c r="M282" s="767">
        <v>1.9259506464004501</v>
      </c>
      <c r="N282" s="767">
        <v>1.94080138206482</v>
      </c>
      <c r="O282" s="767">
        <v>1.94636797904968</v>
      </c>
      <c r="P282" s="767">
        <v>1.9562891721725499</v>
      </c>
      <c r="Q282" s="767">
        <v>1.9622501134872401</v>
      </c>
      <c r="R282" s="767">
        <v>1.9753552675247199</v>
      </c>
      <c r="S282" s="767">
        <v>1.9811542034149201</v>
      </c>
      <c r="T282" s="767">
        <v>1.98549652099609</v>
      </c>
      <c r="U282" s="767">
        <v>1.9898830652236901</v>
      </c>
      <c r="V282" s="767">
        <v>1.99634909629822</v>
      </c>
      <c r="W282" s="767">
        <v>2.00744533538818</v>
      </c>
      <c r="X282" s="767">
        <v>2.0202190876007098</v>
      </c>
      <c r="Y282" s="767">
        <v>2.0336120128631601</v>
      </c>
      <c r="Z282" s="767">
        <v>2.0445194244384801</v>
      </c>
      <c r="AA282" s="283">
        <v>11.227470397949199</v>
      </c>
      <c r="AB282" s="283">
        <v>11.517865180969199</v>
      </c>
      <c r="AC282" s="283">
        <v>11.5089683532715</v>
      </c>
      <c r="AD282" s="283">
        <v>11.7493782043457</v>
      </c>
    </row>
    <row r="283" spans="1:70">
      <c r="AA283" s="283">
        <v>15.2353620529175</v>
      </c>
      <c r="AB283" s="283">
        <v>15.5302953720093</v>
      </c>
      <c r="AC283" s="283">
        <v>15.500846862793001</v>
      </c>
      <c r="AD283" s="283">
        <v>15.7047281265259</v>
      </c>
    </row>
    <row r="284" spans="1:70">
      <c r="A284" s="765" t="s">
        <v>623</v>
      </c>
      <c r="AA284" s="283">
        <v>7.7013258934020996</v>
      </c>
      <c r="AB284" s="283">
        <v>7.6767330169677699</v>
      </c>
      <c r="AC284" s="283">
        <v>7.8322434425354004</v>
      </c>
      <c r="AD284" s="283">
        <v>7.7872447967529297</v>
      </c>
    </row>
    <row r="285" spans="1:70">
      <c r="A285" s="765" t="s">
        <v>607</v>
      </c>
      <c r="B285" s="767">
        <v>15.657142639160201</v>
      </c>
      <c r="C285" s="767">
        <v>18.5313529968262</v>
      </c>
      <c r="D285" s="767">
        <v>19.701341629028299</v>
      </c>
      <c r="E285" s="767">
        <v>16.4090671539307</v>
      </c>
      <c r="F285" s="767">
        <v>16.297544479370099</v>
      </c>
      <c r="G285" s="767">
        <v>18.4262371063232</v>
      </c>
      <c r="H285" s="767">
        <v>20.2184352874756</v>
      </c>
      <c r="I285" s="767">
        <v>21.813219070434599</v>
      </c>
      <c r="J285" s="767">
        <v>23.252103805541999</v>
      </c>
      <c r="K285" s="767">
        <v>24.811630249023398</v>
      </c>
      <c r="L285" s="767">
        <v>25.812454223632798</v>
      </c>
      <c r="M285" s="767">
        <v>26.627546310424801</v>
      </c>
      <c r="N285" s="767">
        <v>27.460300445556602</v>
      </c>
      <c r="O285" s="767">
        <v>27.8579425811768</v>
      </c>
      <c r="P285" s="767">
        <v>28.113265991210898</v>
      </c>
      <c r="Q285" s="767">
        <v>28.325565338134801</v>
      </c>
      <c r="R285" s="767">
        <v>28.4571437835693</v>
      </c>
      <c r="S285" s="767">
        <v>28.7732944488525</v>
      </c>
      <c r="T285" s="767">
        <v>28.920036315918001</v>
      </c>
      <c r="U285" s="767">
        <v>28.525373458862301</v>
      </c>
      <c r="V285" s="767">
        <v>28.814060211181602</v>
      </c>
      <c r="W285" s="767">
        <v>29.1242790222168</v>
      </c>
      <c r="X285" s="767">
        <v>29.486963272094702</v>
      </c>
      <c r="Y285" s="767">
        <v>29.629682540893601</v>
      </c>
      <c r="Z285" s="767">
        <v>30.0484523773193</v>
      </c>
      <c r="AA285" s="283">
        <v>7.8213167190551802</v>
      </c>
      <c r="AB285" s="283">
        <v>7.9383788108825701</v>
      </c>
      <c r="AC285" s="283">
        <v>8.0273618698120099</v>
      </c>
      <c r="AD285" s="283">
        <v>8.0851049423217791</v>
      </c>
    </row>
    <row r="286" spans="1:70">
      <c r="A286" s="765" t="s">
        <v>616</v>
      </c>
      <c r="B286" s="767">
        <v>25.5142211914063</v>
      </c>
      <c r="C286" s="767">
        <v>26.818180084228501</v>
      </c>
      <c r="D286" s="767">
        <v>34.073703765869098</v>
      </c>
      <c r="E286" s="767">
        <v>20.3962516784668</v>
      </c>
      <c r="F286" s="767">
        <v>18.869060516357401</v>
      </c>
      <c r="G286" s="767">
        <v>22.499189376831101</v>
      </c>
      <c r="H286" s="767">
        <v>24.345371246337901</v>
      </c>
      <c r="I286" s="767">
        <v>25.8835773468018</v>
      </c>
      <c r="J286" s="767">
        <v>27.376197814941399</v>
      </c>
      <c r="K286" s="767">
        <v>25.5507621765137</v>
      </c>
      <c r="L286" s="767">
        <v>26.3307495117188</v>
      </c>
      <c r="M286" s="767">
        <v>27.042121887206999</v>
      </c>
      <c r="N286" s="767">
        <v>27.074653625488299</v>
      </c>
      <c r="O286" s="767">
        <v>28.861484527587901</v>
      </c>
      <c r="P286" s="767">
        <v>29.593324661254901</v>
      </c>
      <c r="Q286" s="767">
        <v>29.691083908081101</v>
      </c>
      <c r="R286" s="767">
        <v>29.8394565582275</v>
      </c>
      <c r="S286" s="767">
        <v>30.056737899780298</v>
      </c>
      <c r="T286" s="767">
        <v>30.123649597168001</v>
      </c>
      <c r="U286" s="767">
        <v>30.045396804809599</v>
      </c>
      <c r="V286" s="767">
        <v>30.335887908935501</v>
      </c>
      <c r="W286" s="767">
        <v>30.1821899414063</v>
      </c>
      <c r="X286" s="767">
        <v>30.567377090454102</v>
      </c>
      <c r="Y286" s="767">
        <v>31.227724075317401</v>
      </c>
      <c r="Z286" s="767">
        <v>30.935503005981399</v>
      </c>
      <c r="AA286" s="283">
        <v>2.7168338298797599</v>
      </c>
      <c r="AB286" s="283">
        <v>2.7307398319244398</v>
      </c>
      <c r="AC286" s="283">
        <v>2.7413196563720699</v>
      </c>
      <c r="AD286" s="283">
        <v>2.7546591758728001</v>
      </c>
    </row>
    <row r="287" spans="1:70">
      <c r="A287" s="765" t="s">
        <v>617</v>
      </c>
      <c r="B287" s="767">
        <v>21.649000167846701</v>
      </c>
      <c r="C287" s="767">
        <v>22.8191947937012</v>
      </c>
      <c r="D287" s="767">
        <v>26.0107421875</v>
      </c>
      <c r="E287" s="767">
        <v>15.8019914627075</v>
      </c>
      <c r="F287" s="767">
        <v>17.711067199706999</v>
      </c>
      <c r="G287" s="767">
        <v>20.6589241027832</v>
      </c>
      <c r="H287" s="767">
        <v>22.298402786254901</v>
      </c>
      <c r="I287" s="767">
        <v>23.5152263641357</v>
      </c>
      <c r="J287" s="767">
        <v>24.813198089599599</v>
      </c>
      <c r="K287" s="767">
        <v>26.134485244751001</v>
      </c>
      <c r="L287" s="767">
        <v>27.0586547851563</v>
      </c>
      <c r="M287" s="767">
        <v>27.9900207519531</v>
      </c>
      <c r="N287" s="767">
        <v>28.799554824829102</v>
      </c>
      <c r="O287" s="767">
        <v>29.408401489257798</v>
      </c>
      <c r="P287" s="767">
        <v>29.935087203979499</v>
      </c>
      <c r="Q287" s="767">
        <v>30.054672241210898</v>
      </c>
      <c r="R287" s="767">
        <v>30.314332962036101</v>
      </c>
      <c r="S287" s="767">
        <v>30.492042541503899</v>
      </c>
      <c r="T287" s="767">
        <v>30.525100708007798</v>
      </c>
      <c r="U287" s="767">
        <v>30.442491531372099</v>
      </c>
      <c r="V287" s="767">
        <v>30.723676681518601</v>
      </c>
      <c r="W287" s="767">
        <v>30.701581954956101</v>
      </c>
      <c r="X287" s="767">
        <v>31.107343673706101</v>
      </c>
      <c r="Y287" s="767">
        <v>31.957983016967798</v>
      </c>
      <c r="Z287" s="767">
        <v>31.580909729003899</v>
      </c>
      <c r="AA287" s="283">
        <v>1.67883205413818</v>
      </c>
      <c r="AB287" s="283">
        <v>1.6938681602478001</v>
      </c>
      <c r="AC287" s="283">
        <v>1.7024568319320701</v>
      </c>
      <c r="AD287" s="283">
        <v>1.71655297279358</v>
      </c>
    </row>
    <row r="288" spans="1:70">
      <c r="A288" s="765" t="s">
        <v>624</v>
      </c>
      <c r="B288" s="767">
        <v>15.2446508407593</v>
      </c>
      <c r="C288" s="767">
        <v>16.0964660644531</v>
      </c>
      <c r="D288" s="767">
        <v>22.1856594085693</v>
      </c>
      <c r="E288" s="767">
        <v>10.540905952453601</v>
      </c>
      <c r="F288" s="767">
        <v>10.4131317138672</v>
      </c>
      <c r="G288" s="767">
        <v>12.992267608642599</v>
      </c>
      <c r="H288" s="767">
        <v>14.8510446548462</v>
      </c>
      <c r="I288" s="767">
        <v>16.4927158355713</v>
      </c>
      <c r="J288" s="767">
        <v>17.888269424438501</v>
      </c>
      <c r="K288" s="767">
        <v>19.120731353759801</v>
      </c>
      <c r="L288" s="767">
        <v>20.025011062622099</v>
      </c>
      <c r="M288" s="767">
        <v>20.925888061523398</v>
      </c>
      <c r="N288" s="767">
        <v>21.650459289550799</v>
      </c>
      <c r="O288" s="767">
        <v>22.054113388061499</v>
      </c>
      <c r="P288" s="767">
        <v>22.358533859252901</v>
      </c>
      <c r="Q288" s="767">
        <v>22.535087585449201</v>
      </c>
      <c r="R288" s="767">
        <v>22.624557495117202</v>
      </c>
      <c r="S288" s="767">
        <v>22.875423431396499</v>
      </c>
      <c r="T288" s="767">
        <v>23.088819503784201</v>
      </c>
      <c r="U288" s="767">
        <v>22.878332138061499</v>
      </c>
      <c r="V288" s="767">
        <v>23.229129791259801</v>
      </c>
      <c r="W288" s="767">
        <v>23.440977096557599</v>
      </c>
      <c r="X288" s="767">
        <v>23.911849975585898</v>
      </c>
      <c r="Y288" s="767">
        <v>24.3618278503418</v>
      </c>
      <c r="Z288" s="767">
        <v>24.669164657592798</v>
      </c>
      <c r="AA288" s="283">
        <v>1.2833950519561801</v>
      </c>
      <c r="AB288" s="283">
        <v>1.3286876678466799</v>
      </c>
      <c r="AC288" s="283">
        <v>1.33012855052948</v>
      </c>
      <c r="AD288" s="283">
        <v>1.33445107936859</v>
      </c>
    </row>
    <row r="289" spans="1:30">
      <c r="A289" s="765" t="s">
        <v>608</v>
      </c>
      <c r="B289" s="767">
        <v>19.171348571777301</v>
      </c>
      <c r="C289" s="767">
        <v>19.9431552886963</v>
      </c>
      <c r="D289" s="767">
        <v>25.721439361572301</v>
      </c>
      <c r="E289" s="767">
        <v>15.1513471603394</v>
      </c>
      <c r="F289" s="767">
        <v>13.5963325500488</v>
      </c>
      <c r="G289" s="767">
        <v>16.098552703857401</v>
      </c>
      <c r="H289" s="767">
        <v>18.014595031738299</v>
      </c>
      <c r="I289" s="767">
        <v>20.0945529937744</v>
      </c>
      <c r="J289" s="767">
        <v>21.487236022949201</v>
      </c>
      <c r="K289" s="767">
        <v>22.551927566528299</v>
      </c>
      <c r="L289" s="767">
        <v>23.4185886383057</v>
      </c>
      <c r="M289" s="767">
        <v>24.295482635498001</v>
      </c>
      <c r="N289" s="767">
        <v>25.028078079223601</v>
      </c>
      <c r="O289" s="767">
        <v>25.4735622406006</v>
      </c>
      <c r="P289" s="767">
        <v>25.7968635559082</v>
      </c>
      <c r="Q289" s="767">
        <v>25.744600296020501</v>
      </c>
      <c r="R289" s="767">
        <v>26.0401725769043</v>
      </c>
      <c r="S289" s="767">
        <v>26.245742797851602</v>
      </c>
      <c r="T289" s="767">
        <v>26.316581726074201</v>
      </c>
      <c r="U289" s="767">
        <v>26.282798767089801</v>
      </c>
      <c r="V289" s="767">
        <v>26.623888015747099</v>
      </c>
      <c r="W289" s="767">
        <v>26.532428741455099</v>
      </c>
      <c r="X289" s="767">
        <v>26.9911499023438</v>
      </c>
      <c r="Y289" s="767">
        <v>27.692060470581101</v>
      </c>
      <c r="Z289" s="767">
        <v>27.7130451202393</v>
      </c>
      <c r="AA289" s="283">
        <v>23.429731369018601</v>
      </c>
      <c r="AB289" s="283">
        <v>23.480413436889599</v>
      </c>
      <c r="AC289" s="283">
        <v>23.589033126831101</v>
      </c>
      <c r="AD289" s="283">
        <v>23.596023559570298</v>
      </c>
    </row>
    <row r="290" spans="1:30">
      <c r="A290" s="765" t="s">
        <v>609</v>
      </c>
      <c r="B290" s="767">
        <v>8.4246683120727504</v>
      </c>
      <c r="C290" s="767">
        <v>9.3672227859497106</v>
      </c>
      <c r="D290" s="767">
        <v>14.1781015396118</v>
      </c>
      <c r="E290" s="767">
        <v>6.5043296813964799</v>
      </c>
      <c r="F290" s="767">
        <v>6.9149212837219203</v>
      </c>
      <c r="G290" s="767">
        <v>9.2013835906982404</v>
      </c>
      <c r="H290" s="767">
        <v>10.8588418960571</v>
      </c>
      <c r="I290" s="767">
        <v>12.3554439544678</v>
      </c>
      <c r="J290" s="767">
        <v>13.5696716308594</v>
      </c>
      <c r="K290" s="767">
        <v>14.9571332931519</v>
      </c>
      <c r="L290" s="767">
        <v>15.7562828063965</v>
      </c>
      <c r="M290" s="767">
        <v>16.419845581054702</v>
      </c>
      <c r="N290" s="767">
        <v>17.090215682983398</v>
      </c>
      <c r="O290" s="767">
        <v>17.3671054840088</v>
      </c>
      <c r="P290" s="767">
        <v>17.589653015136701</v>
      </c>
      <c r="Q290" s="767">
        <v>17.8480415344238</v>
      </c>
      <c r="R290" s="767">
        <v>17.911899566650401</v>
      </c>
      <c r="S290" s="767">
        <v>18.041828155517599</v>
      </c>
      <c r="T290" s="767">
        <v>18.112939834594702</v>
      </c>
      <c r="U290" s="767">
        <v>17.862413406372099</v>
      </c>
      <c r="V290" s="767">
        <v>18.047613143920898</v>
      </c>
      <c r="W290" s="767">
        <v>18.333000183105501</v>
      </c>
      <c r="X290" s="767">
        <v>18.6528930664063</v>
      </c>
      <c r="Y290" s="767">
        <v>18.8375339508057</v>
      </c>
      <c r="Z290" s="767">
        <v>19.187860488891602</v>
      </c>
      <c r="AA290" s="283"/>
      <c r="AB290" s="283"/>
      <c r="AC290" s="283"/>
      <c r="AD290" s="283"/>
    </row>
    <row r="291" spans="1:30">
      <c r="A291" s="765" t="s">
        <v>508</v>
      </c>
      <c r="B291" s="767">
        <v>9.5015735626220703</v>
      </c>
      <c r="C291" s="767">
        <v>9.0060253143310494</v>
      </c>
      <c r="D291" s="767">
        <v>10.1816816329956</v>
      </c>
      <c r="E291" s="767">
        <v>6.76324558258057</v>
      </c>
      <c r="F291" s="767">
        <v>7.4289712905883798</v>
      </c>
      <c r="G291" s="767">
        <v>7.7374553680419904</v>
      </c>
      <c r="H291" s="767">
        <v>7.7907910346984899</v>
      </c>
      <c r="I291" s="767">
        <v>7.79954290390015</v>
      </c>
      <c r="J291" s="767">
        <v>7.91036033630371</v>
      </c>
      <c r="K291" s="767">
        <v>8.0721502304077095</v>
      </c>
      <c r="L291" s="767">
        <v>8.2674913406372106</v>
      </c>
      <c r="M291" s="767">
        <v>8.4630060195922905</v>
      </c>
      <c r="N291" s="767">
        <v>8.6615943908691406</v>
      </c>
      <c r="O291" s="767">
        <v>8.9140930175781303</v>
      </c>
      <c r="P291" s="767">
        <v>9.2212562561035192</v>
      </c>
      <c r="Q291" s="767">
        <v>9.4307956695556605</v>
      </c>
      <c r="R291" s="767">
        <v>9.4883728027343803</v>
      </c>
      <c r="S291" s="767">
        <v>9.2674760818481392</v>
      </c>
      <c r="T291" s="767">
        <v>9.2395153045654297</v>
      </c>
      <c r="U291" s="767">
        <v>9.1623344421386701</v>
      </c>
      <c r="V291" s="767">
        <v>9.3142642974853498</v>
      </c>
      <c r="W291" s="767">
        <v>9.5711297988891602</v>
      </c>
      <c r="X291" s="767">
        <v>9.9057645797729492</v>
      </c>
      <c r="Y291" s="767">
        <v>10.151716232299799</v>
      </c>
      <c r="Z291" s="767">
        <v>10.4206848144531</v>
      </c>
      <c r="AA291" s="283"/>
      <c r="AB291" s="283"/>
      <c r="AC291" s="283"/>
      <c r="AD291" s="283"/>
    </row>
    <row r="292" spans="1:30">
      <c r="A292" s="765" t="s">
        <v>612</v>
      </c>
      <c r="B292" s="767">
        <v>3.6353600025177002</v>
      </c>
      <c r="C292" s="767">
        <v>3.6099998950958301</v>
      </c>
      <c r="D292" s="767">
        <v>4.0558156967163104</v>
      </c>
      <c r="E292" s="767">
        <v>4.0487108230590803</v>
      </c>
      <c r="F292" s="767">
        <v>3.9977276325225799</v>
      </c>
      <c r="G292" s="767">
        <v>4.1121706962585396</v>
      </c>
      <c r="H292" s="767">
        <v>4.1809573173522896</v>
      </c>
      <c r="I292" s="767">
        <v>4.2343683242797896</v>
      </c>
      <c r="J292" s="767">
        <v>4.27162742614746</v>
      </c>
      <c r="K292" s="767">
        <v>4.2985162734985396</v>
      </c>
      <c r="L292" s="767">
        <v>4.3192996978759801</v>
      </c>
      <c r="M292" s="767">
        <v>4.3337044715881303</v>
      </c>
      <c r="N292" s="767">
        <v>4.3530845642089799</v>
      </c>
      <c r="O292" s="767">
        <v>4.3696141242981001</v>
      </c>
      <c r="P292" s="767">
        <v>4.3899216651916504</v>
      </c>
      <c r="Q292" s="767">
        <v>4.4470157623290998</v>
      </c>
      <c r="R292" s="767">
        <v>4.5093812942504901</v>
      </c>
      <c r="S292" s="767">
        <v>4.5352845191955602</v>
      </c>
      <c r="T292" s="767">
        <v>4.5618190765380904</v>
      </c>
      <c r="U292" s="767">
        <v>4.5643453598022496</v>
      </c>
      <c r="V292" s="767">
        <v>4.5493078231811497</v>
      </c>
      <c r="W292" s="767">
        <v>4.5490665435790998</v>
      </c>
      <c r="X292" s="767">
        <v>4.5331215858459499</v>
      </c>
      <c r="Y292" s="767">
        <v>4.4955492019653303</v>
      </c>
      <c r="Z292" s="767">
        <v>4.4319190979003897</v>
      </c>
      <c r="AA292" s="283">
        <v>253.732666015625</v>
      </c>
      <c r="AB292" s="283">
        <v>257.28918457031301</v>
      </c>
      <c r="AC292" s="283">
        <v>259.96432495117199</v>
      </c>
      <c r="AD292" s="283">
        <v>262.21316528320301</v>
      </c>
    </row>
    <row r="293" spans="1:30">
      <c r="A293" s="765" t="s">
        <v>625</v>
      </c>
      <c r="B293" s="767">
        <v>1.7776364088058501</v>
      </c>
      <c r="C293" s="767">
        <v>1.81885313987732</v>
      </c>
      <c r="D293" s="767">
        <v>1.9676311016082799</v>
      </c>
      <c r="E293" s="767">
        <v>2.0067975521087602</v>
      </c>
      <c r="F293" s="767">
        <v>1.88941025733948</v>
      </c>
      <c r="G293" s="767">
        <v>1.9042230844497701</v>
      </c>
      <c r="H293" s="767">
        <v>1.89033174514771</v>
      </c>
      <c r="I293" s="767">
        <v>1.9154095649719201</v>
      </c>
      <c r="J293" s="767">
        <v>1.93832087516785</v>
      </c>
      <c r="K293" s="767">
        <v>1.94072294235229</v>
      </c>
      <c r="L293" s="767">
        <v>1.9500694274902299</v>
      </c>
      <c r="M293" s="767">
        <v>1.9586881399154701</v>
      </c>
      <c r="N293" s="767">
        <v>1.9732190370559699</v>
      </c>
      <c r="O293" s="767">
        <v>1.9783339500427199</v>
      </c>
      <c r="P293" s="767">
        <v>1.98810267448425</v>
      </c>
      <c r="Q293" s="767">
        <v>1.9938982725143399</v>
      </c>
      <c r="R293" s="767">
        <v>2.0064799785614</v>
      </c>
      <c r="S293" s="767">
        <v>2.0119984149932901</v>
      </c>
      <c r="T293" s="767">
        <v>2.0163278579711901</v>
      </c>
      <c r="U293" s="767">
        <v>2.0205180644989</v>
      </c>
      <c r="V293" s="767">
        <v>2.0271856784820601</v>
      </c>
      <c r="W293" s="767">
        <v>2.0382561683654798</v>
      </c>
      <c r="X293" s="767">
        <v>2.0508835315704301</v>
      </c>
      <c r="Y293" s="767">
        <v>2.0641281604766801</v>
      </c>
      <c r="Z293" s="767">
        <v>2.0750961303710902</v>
      </c>
      <c r="AA293" s="283">
        <v>208.50216674804699</v>
      </c>
      <c r="AB293" s="283">
        <v>213.246017456055</v>
      </c>
      <c r="AC293" s="283">
        <v>217.97378540039099</v>
      </c>
      <c r="AD293" s="283">
        <v>222.08200073242199</v>
      </c>
    </row>
    <row r="294" spans="1:30">
      <c r="A294" s="765" t="s">
        <v>614</v>
      </c>
      <c r="B294" s="767">
        <v>0</v>
      </c>
      <c r="C294" s="767">
        <v>0</v>
      </c>
      <c r="D294" s="767">
        <v>0</v>
      </c>
      <c r="E294" s="767">
        <v>0</v>
      </c>
      <c r="F294" s="767">
        <v>0</v>
      </c>
      <c r="G294" s="767">
        <v>1.5133428573608401</v>
      </c>
      <c r="H294" s="767">
        <v>1.3742095232009901</v>
      </c>
      <c r="I294" s="767">
        <v>1.19064140319824</v>
      </c>
      <c r="J294" s="767">
        <v>1.3664953708648699</v>
      </c>
      <c r="K294" s="767">
        <v>1.33487153053284</v>
      </c>
      <c r="L294" s="767">
        <v>1.31654036045074</v>
      </c>
      <c r="M294" s="767">
        <v>1.30223417282104</v>
      </c>
      <c r="N294" s="767">
        <v>1.30838906764984</v>
      </c>
      <c r="O294" s="767">
        <v>1.32146644592285</v>
      </c>
      <c r="P294" s="767">
        <v>1.3489345312118499</v>
      </c>
      <c r="Q294" s="767">
        <v>1.3524934053421001</v>
      </c>
      <c r="R294" s="767">
        <v>1.3570195436477701</v>
      </c>
      <c r="S294" s="767">
        <v>1.3626403808593801</v>
      </c>
      <c r="T294" s="767">
        <v>1.37119424343109</v>
      </c>
      <c r="U294" s="767">
        <v>1.3635557889938399</v>
      </c>
      <c r="V294" s="767">
        <v>1.3662919998168901</v>
      </c>
      <c r="W294" s="767">
        <v>1.37254309654236</v>
      </c>
      <c r="X294" s="767">
        <v>1.37609398365021</v>
      </c>
      <c r="Y294" s="767">
        <v>1.3784751892089799</v>
      </c>
      <c r="Z294" s="767">
        <v>1.3805129528045701</v>
      </c>
      <c r="AA294" s="283">
        <v>212.89649963378901</v>
      </c>
      <c r="AB294" s="283">
        <v>216.30204772949199</v>
      </c>
      <c r="AC294" s="283">
        <v>219.267822265625</v>
      </c>
      <c r="AD294" s="283">
        <v>222.079177856445</v>
      </c>
    </row>
    <row r="295" spans="1:30">
      <c r="A295" s="765" t="s">
        <v>477</v>
      </c>
      <c r="B295" s="767">
        <v>26.672916412353501</v>
      </c>
      <c r="C295" s="767">
        <v>26.680915832519499</v>
      </c>
      <c r="D295" s="767">
        <v>27.799331665039102</v>
      </c>
      <c r="E295" s="767">
        <v>26.6892414093018</v>
      </c>
      <c r="F295" s="767">
        <v>24.2756156921387</v>
      </c>
      <c r="G295" s="767">
        <v>25.0947151184082</v>
      </c>
      <c r="H295" s="767">
        <v>25.0493679046631</v>
      </c>
      <c r="I295" s="767">
        <v>25.093559265136701</v>
      </c>
      <c r="J295" s="767">
        <v>25.339256286621101</v>
      </c>
      <c r="K295" s="767">
        <v>25.454051971435501</v>
      </c>
      <c r="L295" s="767">
        <v>25.7708930969238</v>
      </c>
      <c r="M295" s="767">
        <v>26.1124782562256</v>
      </c>
      <c r="N295" s="767">
        <v>26.474697113037099</v>
      </c>
      <c r="O295" s="767">
        <v>26.7419338226318</v>
      </c>
      <c r="P295" s="767">
        <v>27.1641750335693</v>
      </c>
      <c r="Q295" s="767">
        <v>27.529588699340799</v>
      </c>
      <c r="R295" s="767">
        <v>27.7828693389893</v>
      </c>
      <c r="S295" s="767">
        <v>27.754991531372099</v>
      </c>
      <c r="T295" s="767">
        <v>27.792310714721701</v>
      </c>
      <c r="U295" s="767">
        <v>27.7856330871582</v>
      </c>
      <c r="V295" s="767">
        <v>27.867961883544901</v>
      </c>
      <c r="W295" s="767">
        <v>28.2280673980713</v>
      </c>
      <c r="X295" s="767">
        <v>28.6754856109619</v>
      </c>
      <c r="Y295" s="767">
        <v>29.0858860015869</v>
      </c>
      <c r="Z295" s="767">
        <v>29.4564533233643</v>
      </c>
      <c r="AA295" s="283">
        <v>588.97521972656295</v>
      </c>
      <c r="AB295" s="283">
        <v>607.12139892578102</v>
      </c>
      <c r="AC295" s="283">
        <v>615.45501708984398</v>
      </c>
      <c r="AD295" s="283">
        <v>632.78991699218795</v>
      </c>
    </row>
    <row r="296" spans="1:30">
      <c r="AA296" s="283">
        <v>1264.10656738281</v>
      </c>
      <c r="AB296" s="283">
        <v>1293.95861816406</v>
      </c>
      <c r="AC296" s="283">
        <v>1312.66088867188</v>
      </c>
      <c r="AD296" s="283">
        <v>1339.16430664063</v>
      </c>
    </row>
    <row r="297" spans="1:30">
      <c r="A297" s="765" t="s">
        <v>511</v>
      </c>
      <c r="AA297" s="283">
        <v>0.38684526085853599</v>
      </c>
      <c r="AB297" s="283">
        <v>0.443235874176025</v>
      </c>
      <c r="AC297" s="283">
        <v>0.46923574805259699</v>
      </c>
      <c r="AD297" s="283">
        <v>0.51463860273361195</v>
      </c>
    </row>
    <row r="298" spans="1:30">
      <c r="A298" s="765" t="s">
        <v>723</v>
      </c>
      <c r="AA298" s="283">
        <v>1264.49340820313</v>
      </c>
      <c r="AB298" s="283">
        <v>1294.40185546875</v>
      </c>
      <c r="AC298" s="283">
        <v>1313.13012695313</v>
      </c>
      <c r="AD298" s="283">
        <v>1339.67895507813</v>
      </c>
    </row>
    <row r="299" spans="1:30">
      <c r="A299" s="765" t="s">
        <v>471</v>
      </c>
      <c r="B299" s="767">
        <v>231.10064697265599</v>
      </c>
      <c r="C299" s="767">
        <v>238.40081787109401</v>
      </c>
      <c r="D299" s="767">
        <v>250.00378417968801</v>
      </c>
      <c r="E299" s="767">
        <v>223.81915283203099</v>
      </c>
      <c r="F299" s="767">
        <v>215.29118347168</v>
      </c>
      <c r="G299" s="767">
        <v>224.09677124023401</v>
      </c>
      <c r="H299" s="767">
        <v>227.34310913085901</v>
      </c>
      <c r="I299" s="767">
        <v>227.85260009765599</v>
      </c>
      <c r="J299" s="767">
        <v>231.24415588378901</v>
      </c>
      <c r="K299" s="767">
        <v>234.18721008300801</v>
      </c>
      <c r="L299" s="767">
        <v>238.75100708007801</v>
      </c>
      <c r="M299" s="767">
        <v>243.18489074707</v>
      </c>
      <c r="N299" s="767">
        <v>248.169021606445</v>
      </c>
      <c r="O299" s="767">
        <v>252.72660827636699</v>
      </c>
      <c r="P299" s="767">
        <v>258.44952392578102</v>
      </c>
      <c r="Q299" s="767">
        <v>262.50808715820301</v>
      </c>
      <c r="R299" s="767">
        <v>265.94851684570301</v>
      </c>
      <c r="S299" s="767">
        <v>267.30322265625</v>
      </c>
      <c r="T299" s="767">
        <v>270.58847045898398</v>
      </c>
      <c r="U299" s="767">
        <v>272.04168701171898</v>
      </c>
      <c r="V299" s="767">
        <v>276.25186157226602</v>
      </c>
      <c r="W299" s="767">
        <v>282.20260620117199</v>
      </c>
      <c r="X299" s="767">
        <v>288.93267822265602</v>
      </c>
      <c r="Y299" s="767">
        <v>293.60751342773398</v>
      </c>
      <c r="Z299" s="767">
        <v>298.90402221679699</v>
      </c>
      <c r="AA299" s="283"/>
      <c r="AB299" s="283"/>
      <c r="AC299" s="283"/>
      <c r="AD299" s="283"/>
    </row>
    <row r="300" spans="1:30">
      <c r="A300" s="765" t="s">
        <v>478</v>
      </c>
      <c r="B300" s="767">
        <v>170.28274536132801</v>
      </c>
      <c r="C300" s="767">
        <v>172.89260864257801</v>
      </c>
      <c r="D300" s="767">
        <v>183.352294921875</v>
      </c>
      <c r="E300" s="767">
        <v>163.89425659179699</v>
      </c>
      <c r="F300" s="767">
        <v>157.14476013183599</v>
      </c>
      <c r="G300" s="767">
        <v>164.69047546386699</v>
      </c>
      <c r="H300" s="767">
        <v>166.42567443847699</v>
      </c>
      <c r="I300" s="767">
        <v>169.00093078613301</v>
      </c>
      <c r="J300" s="767">
        <v>173.04789733886699</v>
      </c>
      <c r="K300" s="767">
        <v>176.93461608886699</v>
      </c>
      <c r="L300" s="767">
        <v>182.04042053222699</v>
      </c>
      <c r="M300" s="767">
        <v>187.24485778808599</v>
      </c>
      <c r="N300" s="767">
        <v>192.69107055664099</v>
      </c>
      <c r="O300" s="767">
        <v>197.508544921875</v>
      </c>
      <c r="P300" s="767">
        <v>203.26272583007801</v>
      </c>
      <c r="Q300" s="767">
        <v>208.31881713867199</v>
      </c>
      <c r="R300" s="767">
        <v>212.33370971679699</v>
      </c>
      <c r="S300" s="767">
        <v>214.22947692871099</v>
      </c>
      <c r="T300" s="767">
        <v>217.23475646972699</v>
      </c>
      <c r="U300" s="767">
        <v>219.65505981445301</v>
      </c>
      <c r="V300" s="767">
        <v>223.61666870117199</v>
      </c>
      <c r="W300" s="767">
        <v>229.31947326660199</v>
      </c>
      <c r="X300" s="767">
        <v>235.82908630371099</v>
      </c>
      <c r="Y300" s="767">
        <v>241.79779052734401</v>
      </c>
      <c r="Z300" s="767">
        <v>247.76422119140599</v>
      </c>
      <c r="AA300" s="283"/>
      <c r="AB300" s="283"/>
      <c r="AC300" s="283"/>
      <c r="AD300" s="283"/>
    </row>
    <row r="301" spans="1:30">
      <c r="A301" s="765" t="s">
        <v>513</v>
      </c>
      <c r="B301" s="767">
        <v>216.08058166503901</v>
      </c>
      <c r="C301" s="767">
        <v>226.88609313964801</v>
      </c>
      <c r="D301" s="767">
        <v>248.66896057128901</v>
      </c>
      <c r="E301" s="767">
        <v>181.39601135253901</v>
      </c>
      <c r="F301" s="767">
        <v>151.70443725585901</v>
      </c>
      <c r="G301" s="767">
        <v>172.23597717285199</v>
      </c>
      <c r="H301" s="767">
        <v>186.63681030273401</v>
      </c>
      <c r="I301" s="767">
        <v>200.19924926757801</v>
      </c>
      <c r="J301" s="767">
        <v>207.03741455078099</v>
      </c>
      <c r="K301" s="767">
        <v>213.45352172851599</v>
      </c>
      <c r="L301" s="767">
        <v>218.62767028808599</v>
      </c>
      <c r="M301" s="767">
        <v>224.29528808593801</v>
      </c>
      <c r="N301" s="767">
        <v>229.96401977539099</v>
      </c>
      <c r="O301" s="767">
        <v>233.76069641113301</v>
      </c>
      <c r="P301" s="767">
        <v>239.065841674805</v>
      </c>
      <c r="Q301" s="767">
        <v>241.45851135253901</v>
      </c>
      <c r="R301" s="767">
        <v>242.383544921875</v>
      </c>
      <c r="S301" s="767">
        <v>242.41815185546901</v>
      </c>
      <c r="T301" s="767">
        <v>242.89247131347699</v>
      </c>
      <c r="U301" s="767">
        <v>240.916915893555</v>
      </c>
      <c r="V301" s="767">
        <v>241.41357421875</v>
      </c>
      <c r="W301" s="767">
        <v>242.50785827636699</v>
      </c>
      <c r="X301" s="767">
        <v>244.85752868652301</v>
      </c>
      <c r="Y301" s="767">
        <v>245.86729431152301</v>
      </c>
      <c r="Z301" s="767">
        <v>245.87216186523401</v>
      </c>
      <c r="AA301" s="283"/>
      <c r="AB301" s="283"/>
      <c r="AC301" s="283"/>
      <c r="AD301" s="283"/>
    </row>
    <row r="302" spans="1:30">
      <c r="A302" s="765" t="s">
        <v>485</v>
      </c>
      <c r="B302" s="767">
        <v>564.62982177734398</v>
      </c>
      <c r="C302" s="767">
        <v>596.84759521484398</v>
      </c>
      <c r="D302" s="767">
        <v>693.65460205078102</v>
      </c>
      <c r="E302" s="767">
        <v>393.76574707031301</v>
      </c>
      <c r="F302" s="767">
        <v>430.90808105468801</v>
      </c>
      <c r="G302" s="767">
        <v>516.84307861328102</v>
      </c>
      <c r="H302" s="767">
        <v>568.141357421875</v>
      </c>
      <c r="I302" s="767">
        <v>610.89111328125</v>
      </c>
      <c r="J302" s="767">
        <v>646.41064453125</v>
      </c>
      <c r="K302" s="767">
        <v>676.39013671875</v>
      </c>
      <c r="L302" s="767">
        <v>696.72686767578102</v>
      </c>
      <c r="M302" s="767">
        <v>719.33160400390602</v>
      </c>
      <c r="N302" s="767">
        <v>737.13671875</v>
      </c>
      <c r="O302" s="767">
        <v>750.27301025390602</v>
      </c>
      <c r="P302" s="767">
        <v>759.33123779296898</v>
      </c>
      <c r="Q302" s="767">
        <v>760.33734130859398</v>
      </c>
      <c r="R302" s="767">
        <v>761.04602050781295</v>
      </c>
      <c r="S302" s="767">
        <v>771.55059814453102</v>
      </c>
      <c r="T302" s="767">
        <v>780.57421875</v>
      </c>
      <c r="U302" s="767">
        <v>783.147216796875</v>
      </c>
      <c r="V302" s="767">
        <v>796.70227050781295</v>
      </c>
      <c r="W302" s="767">
        <v>794.56842041015602</v>
      </c>
      <c r="X302" s="767">
        <v>811.39251708984398</v>
      </c>
      <c r="Y302" s="767">
        <v>832.07995605468795</v>
      </c>
      <c r="Z302" s="767">
        <v>835.36431884765602</v>
      </c>
      <c r="AA302" s="283"/>
      <c r="AB302" s="283"/>
      <c r="AC302" s="283"/>
      <c r="AD302" s="283"/>
    </row>
    <row r="303" spans="1:30">
      <c r="A303" s="765" t="s">
        <v>514</v>
      </c>
      <c r="B303" s="767">
        <v>1182.09375</v>
      </c>
      <c r="C303" s="767">
        <v>1235.02709960938</v>
      </c>
      <c r="D303" s="767">
        <v>1375.6796875</v>
      </c>
      <c r="E303" s="767">
        <v>962.87518310546898</v>
      </c>
      <c r="F303" s="767">
        <v>955.04846191406295</v>
      </c>
      <c r="G303" s="767">
        <v>1077.86633300781</v>
      </c>
      <c r="H303" s="767">
        <v>1148.54699707031</v>
      </c>
      <c r="I303" s="767">
        <v>1207.94384765625</v>
      </c>
      <c r="J303" s="767">
        <v>1257.74011230469</v>
      </c>
      <c r="K303" s="767">
        <v>1300.96545410156</v>
      </c>
      <c r="L303" s="767">
        <v>1336.14599609375</v>
      </c>
      <c r="M303" s="767">
        <v>1374.056640625</v>
      </c>
      <c r="N303" s="767">
        <v>1407.96081542969</v>
      </c>
      <c r="O303" s="767">
        <v>1434.26879882813</v>
      </c>
      <c r="P303" s="767">
        <v>1460.109375</v>
      </c>
      <c r="Q303" s="767">
        <v>1472.62280273438</v>
      </c>
      <c r="R303" s="767">
        <v>1481.71179199219</v>
      </c>
      <c r="S303" s="767">
        <v>1495.50146484375</v>
      </c>
      <c r="T303" s="767">
        <v>1511.28991699219</v>
      </c>
      <c r="U303" s="767">
        <v>1515.76086425781</v>
      </c>
      <c r="V303" s="767">
        <v>1537.984375</v>
      </c>
      <c r="W303" s="767">
        <v>1548.59838867188</v>
      </c>
      <c r="X303" s="767">
        <v>1581.01184082031</v>
      </c>
      <c r="Y303" s="767">
        <v>1613.3525390625</v>
      </c>
      <c r="Z303" s="767">
        <v>1627.90478515625</v>
      </c>
      <c r="AA303" s="283"/>
      <c r="AB303" s="283"/>
      <c r="AC303" s="283"/>
      <c r="AD303" s="283"/>
    </row>
    <row r="304" spans="1:30">
      <c r="A304" s="765" t="s">
        <v>627</v>
      </c>
      <c r="B304" s="767">
        <v>3.2131362706422799E-2</v>
      </c>
      <c r="C304" s="767">
        <v>4.0145620703697198E-2</v>
      </c>
      <c r="D304" s="767">
        <v>3.7687420845031697E-2</v>
      </c>
      <c r="E304" s="767">
        <v>2.54867300391197E-2</v>
      </c>
      <c r="F304" s="767">
        <v>5.4010055959224701E-2</v>
      </c>
      <c r="G304" s="767">
        <v>6.77362531423569E-2</v>
      </c>
      <c r="H304" s="767">
        <v>8.3178348839283003E-2</v>
      </c>
      <c r="I304" s="767">
        <v>9.4869345426559407E-2</v>
      </c>
      <c r="J304" s="767">
        <v>0.113030456006527</v>
      </c>
      <c r="K304" s="767">
        <v>1.97330021858215</v>
      </c>
      <c r="L304" s="767">
        <v>4.8567194938659703</v>
      </c>
      <c r="M304" s="767">
        <v>6.7303171157836896</v>
      </c>
      <c r="N304" s="767">
        <v>10.514961242675801</v>
      </c>
      <c r="O304" s="767">
        <v>15.7356252670288</v>
      </c>
      <c r="P304" s="767">
        <v>22.100711822509801</v>
      </c>
      <c r="Q304" s="767">
        <v>25.9892463684082</v>
      </c>
      <c r="R304" s="767">
        <v>35.539012908935497</v>
      </c>
      <c r="S304" s="767">
        <v>35.597633361816399</v>
      </c>
      <c r="T304" s="767">
        <v>34.1677055358887</v>
      </c>
      <c r="U304" s="767">
        <v>35.613494873046903</v>
      </c>
      <c r="V304" s="767">
        <v>37.140151977539098</v>
      </c>
      <c r="W304" s="767">
        <v>45.276290893554702</v>
      </c>
      <c r="X304" s="767">
        <v>47.974498748779297</v>
      </c>
      <c r="Y304" s="767">
        <v>53.190200805664098</v>
      </c>
      <c r="Z304" s="767">
        <v>54.179977416992202</v>
      </c>
      <c r="AA304" s="283"/>
      <c r="AB304" s="283"/>
      <c r="AC304" s="283"/>
      <c r="AD304" s="283"/>
    </row>
    <row r="305" spans="1:30">
      <c r="A305" s="765" t="s">
        <v>516</v>
      </c>
      <c r="B305" s="767">
        <v>1182.12585449219</v>
      </c>
      <c r="C305" s="767">
        <v>1235.06726074219</v>
      </c>
      <c r="D305" s="767">
        <v>1375.71740722656</v>
      </c>
      <c r="E305" s="767">
        <v>962.90069580078102</v>
      </c>
      <c r="F305" s="767">
        <v>955.10247802734398</v>
      </c>
      <c r="G305" s="767">
        <v>1077.93408203125</v>
      </c>
      <c r="H305" s="767">
        <v>1148.63012695313</v>
      </c>
      <c r="I305" s="767">
        <v>1208.03869628906</v>
      </c>
      <c r="J305" s="767">
        <v>1257.85314941406</v>
      </c>
      <c r="K305" s="767">
        <v>1302.93872070313</v>
      </c>
      <c r="L305" s="767">
        <v>1341.00268554688</v>
      </c>
      <c r="M305" s="767">
        <v>1380.78698730469</v>
      </c>
      <c r="N305" s="767">
        <v>1418.47583007813</v>
      </c>
      <c r="O305" s="767">
        <v>1450.00439453125</v>
      </c>
      <c r="P305" s="767">
        <v>1482.21008300781</v>
      </c>
      <c r="Q305" s="767">
        <v>1498.61206054688</v>
      </c>
      <c r="R305" s="767">
        <v>1517.25085449219</v>
      </c>
      <c r="S305" s="767">
        <v>1531.09912109375</v>
      </c>
      <c r="T305" s="767">
        <v>1545.45764160156</v>
      </c>
      <c r="U305" s="767">
        <v>1551.37438964844</v>
      </c>
      <c r="V305" s="767">
        <v>1575.12451171875</v>
      </c>
      <c r="W305" s="767">
        <v>1593.87463378906</v>
      </c>
      <c r="X305" s="767">
        <v>1628.986328125</v>
      </c>
      <c r="Y305" s="767">
        <v>1666.54272460938</v>
      </c>
      <c r="Z305" s="767">
        <v>1682.08471679688</v>
      </c>
      <c r="AA305" s="283"/>
      <c r="AB305" s="283"/>
      <c r="AC305" s="283"/>
      <c r="AD305" s="283"/>
    </row>
    <row r="306" spans="1:30">
      <c r="AA306" s="283"/>
      <c r="AB306" s="283"/>
      <c r="AC306" s="283"/>
      <c r="AD306" s="283"/>
    </row>
    <row r="307" spans="1:30">
      <c r="AA307" s="283"/>
      <c r="AB307" s="283"/>
      <c r="AC307" s="283"/>
      <c r="AD307" s="283"/>
    </row>
    <row r="308" spans="1:30">
      <c r="A308" s="765" t="s">
        <v>724</v>
      </c>
      <c r="AA308" s="283"/>
      <c r="AB308" s="283"/>
      <c r="AC308" s="283"/>
      <c r="AD308" s="283"/>
    </row>
    <row r="309" spans="1:30">
      <c r="A309" s="765" t="s">
        <v>471</v>
      </c>
      <c r="AA309" s="283"/>
      <c r="AB309" s="283"/>
      <c r="AC309" s="283"/>
      <c r="AD309" s="283"/>
    </row>
    <row r="310" spans="1:30">
      <c r="A310" s="765" t="s">
        <v>607</v>
      </c>
      <c r="B310" s="767">
        <v>23.2563285827637</v>
      </c>
      <c r="C310" s="767">
        <v>24.973464965820298</v>
      </c>
      <c r="D310" s="767">
        <v>29.096658706665</v>
      </c>
      <c r="E310" s="767">
        <v>22.194786071777301</v>
      </c>
      <c r="F310" s="767">
        <v>21.477947235107401</v>
      </c>
      <c r="G310" s="767">
        <v>24.1509113311768</v>
      </c>
      <c r="H310" s="767">
        <v>26.557428359985401</v>
      </c>
      <c r="I310" s="767">
        <v>28.936630249023398</v>
      </c>
      <c r="J310" s="767">
        <v>31.2247924804688</v>
      </c>
      <c r="K310" s="767">
        <v>33.758499145507798</v>
      </c>
      <c r="L310" s="767">
        <v>35.743316650390597</v>
      </c>
      <c r="M310" s="767">
        <v>37.599853515625</v>
      </c>
      <c r="N310" s="767">
        <v>39.552177429199197</v>
      </c>
      <c r="O310" s="767">
        <v>40.9905815124512</v>
      </c>
      <c r="P310" s="767">
        <v>42.334590911865199</v>
      </c>
      <c r="Q310" s="767">
        <v>43.7123832702637</v>
      </c>
      <c r="R310" s="767">
        <v>44.985881805419901</v>
      </c>
      <c r="S310" s="767">
        <v>46.523696899414098</v>
      </c>
      <c r="T310" s="767">
        <v>47.765018463134801</v>
      </c>
      <c r="U310" s="767">
        <v>48.143123626708999</v>
      </c>
      <c r="V310" s="767">
        <v>49.548942565917997</v>
      </c>
      <c r="W310" s="767">
        <v>50.986961364746101</v>
      </c>
      <c r="X310" s="767">
        <v>52.580905914306598</v>
      </c>
      <c r="Y310" s="767">
        <v>53.965934753417997</v>
      </c>
      <c r="Z310" s="767">
        <v>55.648300170898402</v>
      </c>
      <c r="AA310" s="283"/>
      <c r="AB310" s="283"/>
      <c r="AC310" s="283"/>
      <c r="AD310" s="283"/>
    </row>
    <row r="311" spans="1:30">
      <c r="A311" s="765" t="s">
        <v>608</v>
      </c>
      <c r="B311" s="767">
        <v>17.979913711547901</v>
      </c>
      <c r="C311" s="767">
        <v>19.664405822753899</v>
      </c>
      <c r="D311" s="767">
        <v>24.466548919677699</v>
      </c>
      <c r="E311" s="767">
        <v>16.188474655151399</v>
      </c>
      <c r="F311" s="767">
        <v>13.8549404144287</v>
      </c>
      <c r="G311" s="767">
        <v>16.4927158355713</v>
      </c>
      <c r="H311" s="767">
        <v>18.5955104827881</v>
      </c>
      <c r="I311" s="767">
        <v>20.348911285400401</v>
      </c>
      <c r="J311" s="767">
        <v>22.1809597015381</v>
      </c>
      <c r="K311" s="767">
        <v>24.3712253570557</v>
      </c>
      <c r="L311" s="767">
        <v>25.9372863769531</v>
      </c>
      <c r="M311" s="767">
        <v>27.5034885406494</v>
      </c>
      <c r="N311" s="767">
        <v>29.0146675109863</v>
      </c>
      <c r="O311" s="767">
        <v>30.168525695800799</v>
      </c>
      <c r="P311" s="767">
        <v>31.2883205413818</v>
      </c>
      <c r="Q311" s="767">
        <v>32.275276184082003</v>
      </c>
      <c r="R311" s="767">
        <v>33.246475219726598</v>
      </c>
      <c r="S311" s="767">
        <v>34.4459838867188</v>
      </c>
      <c r="T311" s="767">
        <v>35.640113830566399</v>
      </c>
      <c r="U311" s="767">
        <v>35.882171630859403</v>
      </c>
      <c r="V311" s="767">
        <v>37.065284729003899</v>
      </c>
      <c r="W311" s="767">
        <v>38.310382843017599</v>
      </c>
      <c r="X311" s="767">
        <v>39.641868591308601</v>
      </c>
      <c r="Y311" s="767">
        <v>40.905982971191399</v>
      </c>
      <c r="Z311" s="767">
        <v>42.365245819091797</v>
      </c>
      <c r="AA311" s="283"/>
      <c r="AB311" s="283"/>
      <c r="AC311" s="283"/>
      <c r="AD311" s="283"/>
    </row>
    <row r="312" spans="1:30">
      <c r="A312" s="765" t="s">
        <v>508</v>
      </c>
      <c r="B312" s="767">
        <v>13.3406887054443</v>
      </c>
      <c r="C312" s="767">
        <v>12.691158294677701</v>
      </c>
      <c r="D312" s="767">
        <v>13.2631158828735</v>
      </c>
      <c r="E312" s="767">
        <v>11.061133384704601</v>
      </c>
      <c r="F312" s="767">
        <v>11.614992141723601</v>
      </c>
      <c r="G312" s="767">
        <v>12.061012268066399</v>
      </c>
      <c r="H312" s="767">
        <v>12.1186227798462</v>
      </c>
      <c r="I312" s="767">
        <v>12.236530303955099</v>
      </c>
      <c r="J312" s="767">
        <v>12.476335525512701</v>
      </c>
      <c r="K312" s="767">
        <v>12.8177757263184</v>
      </c>
      <c r="L312" s="767">
        <v>13.333586692810099</v>
      </c>
      <c r="M312" s="767">
        <v>13.900782585144</v>
      </c>
      <c r="N312" s="767">
        <v>14.492022514343301</v>
      </c>
      <c r="O312" s="767">
        <v>15.1641521453857</v>
      </c>
      <c r="P312" s="767">
        <v>15.945101737976101</v>
      </c>
      <c r="Q312" s="767">
        <v>16.661958694458001</v>
      </c>
      <c r="R312" s="767">
        <v>17.186347961425799</v>
      </c>
      <c r="S312" s="767">
        <v>17.308622360229499</v>
      </c>
      <c r="T312" s="767">
        <v>17.6488857269287</v>
      </c>
      <c r="U312" s="767">
        <v>17.9868679046631</v>
      </c>
      <c r="V312" s="767">
        <v>18.635103225708001</v>
      </c>
      <c r="W312" s="767">
        <v>19.4500408172607</v>
      </c>
      <c r="X312" s="767">
        <v>20.3657627105713</v>
      </c>
      <c r="Y312" s="767">
        <v>21.1996364593506</v>
      </c>
      <c r="Z312" s="767">
        <v>22.095756530761701</v>
      </c>
      <c r="AA312" s="283"/>
      <c r="AB312" s="283"/>
      <c r="AC312" s="283"/>
      <c r="AD312" s="283"/>
    </row>
    <row r="313" spans="1:30">
      <c r="A313" s="765" t="s">
        <v>477</v>
      </c>
      <c r="B313" s="767">
        <v>30.388185501098601</v>
      </c>
      <c r="C313" s="767">
        <v>31.181957244873001</v>
      </c>
      <c r="D313" s="767">
        <v>32.471218109130902</v>
      </c>
      <c r="E313" s="767">
        <v>31.722009658813501</v>
      </c>
      <c r="F313" s="767">
        <v>29.6958332061768</v>
      </c>
      <c r="G313" s="767">
        <v>31.365653991699201</v>
      </c>
      <c r="H313" s="767">
        <v>32.001548767089801</v>
      </c>
      <c r="I313" s="767">
        <v>32.924289703369098</v>
      </c>
      <c r="J313" s="767">
        <v>34.030689239502003</v>
      </c>
      <c r="K313" s="767">
        <v>34.890899658203097</v>
      </c>
      <c r="L313" s="767">
        <v>35.995761871337898</v>
      </c>
      <c r="M313" s="767">
        <v>37.227577209472699</v>
      </c>
      <c r="N313" s="767">
        <v>38.5026245117188</v>
      </c>
      <c r="O313" s="767">
        <v>39.672031402587898</v>
      </c>
      <c r="P313" s="767">
        <v>41.180412292480497</v>
      </c>
      <c r="Q313" s="767">
        <v>42.698352813720703</v>
      </c>
      <c r="R313" s="767">
        <v>44.053905487060497</v>
      </c>
      <c r="S313" s="767">
        <v>45.011627197265597</v>
      </c>
      <c r="T313" s="767">
        <v>46.023651123046903</v>
      </c>
      <c r="U313" s="767">
        <v>46.971866607666001</v>
      </c>
      <c r="V313" s="767">
        <v>48.032154083252003</v>
      </c>
      <c r="W313" s="767">
        <v>49.565544128417997</v>
      </c>
      <c r="X313" s="767">
        <v>51.240451812744098</v>
      </c>
      <c r="Y313" s="767">
        <v>52.949665069580099</v>
      </c>
      <c r="Z313" s="767">
        <v>54.583251953125</v>
      </c>
      <c r="AA313" s="283"/>
      <c r="AB313" s="283"/>
      <c r="AC313" s="283"/>
      <c r="AD313" s="283"/>
    </row>
    <row r="314" spans="1:30">
      <c r="AA314" s="283"/>
      <c r="AB314" s="283"/>
      <c r="AC314" s="283"/>
      <c r="AD314" s="283"/>
    </row>
    <row r="315" spans="1:30">
      <c r="A315" s="765" t="s">
        <v>478</v>
      </c>
      <c r="AA315" s="283"/>
      <c r="AB315" s="283"/>
      <c r="AC315" s="283"/>
      <c r="AD315" s="283"/>
    </row>
    <row r="316" spans="1:30">
      <c r="A316" s="765" t="s">
        <v>607</v>
      </c>
      <c r="B316" s="767">
        <v>20.6414604187012</v>
      </c>
      <c r="C316" s="767">
        <v>23.041419982910199</v>
      </c>
      <c r="D316" s="767">
        <v>24.0578727722168</v>
      </c>
      <c r="E316" s="767">
        <v>21.6475944519043</v>
      </c>
      <c r="F316" s="767">
        <v>18.202018737793001</v>
      </c>
      <c r="G316" s="767">
        <v>20.8180141448975</v>
      </c>
      <c r="H316" s="767">
        <v>23.171899795532202</v>
      </c>
      <c r="I316" s="767">
        <v>25.4778232574463</v>
      </c>
      <c r="J316" s="767">
        <v>27.6801948547363</v>
      </c>
      <c r="K316" s="767">
        <v>30.122516632080099</v>
      </c>
      <c r="L316" s="767">
        <v>32.012001037597699</v>
      </c>
      <c r="M316" s="767">
        <v>33.770454406738303</v>
      </c>
      <c r="N316" s="767">
        <v>35.6212158203125</v>
      </c>
      <c r="O316" s="767">
        <v>36.9546508789063</v>
      </c>
      <c r="P316" s="767">
        <v>38.187240600585902</v>
      </c>
      <c r="Q316" s="767">
        <v>39.449775695800803</v>
      </c>
      <c r="R316" s="767">
        <v>40.605808258056598</v>
      </c>
      <c r="S316" s="767">
        <v>42.0293998718262</v>
      </c>
      <c r="T316" s="767">
        <v>43.160079956054702</v>
      </c>
      <c r="U316" s="767">
        <v>43.432140350341797</v>
      </c>
      <c r="V316" s="767">
        <v>44.7312202453613</v>
      </c>
      <c r="W316" s="767">
        <v>46.061283111572301</v>
      </c>
      <c r="X316" s="767">
        <v>47.542713165283203</v>
      </c>
      <c r="Y316" s="767">
        <v>48.814918518066399</v>
      </c>
      <c r="Z316" s="767">
        <v>50.382663726806598</v>
      </c>
      <c r="AA316" s="283"/>
      <c r="AB316" s="283"/>
      <c r="AC316" s="283"/>
      <c r="AD316" s="283"/>
    </row>
    <row r="317" spans="1:30">
      <c r="A317" s="765" t="s">
        <v>608</v>
      </c>
      <c r="B317" s="767">
        <v>14.625953674316399</v>
      </c>
      <c r="C317" s="767">
        <v>16.054100036621101</v>
      </c>
      <c r="D317" s="767">
        <v>21.4175109863281</v>
      </c>
      <c r="E317" s="767">
        <v>14.1806936264038</v>
      </c>
      <c r="F317" s="767">
        <v>11.1656141281128</v>
      </c>
      <c r="G317" s="767">
        <v>13.940697669982899</v>
      </c>
      <c r="H317" s="767">
        <v>16.055301666259801</v>
      </c>
      <c r="I317" s="767">
        <v>18.2004089355469</v>
      </c>
      <c r="J317" s="767">
        <v>20.072311401367202</v>
      </c>
      <c r="K317" s="767">
        <v>21.922914505004901</v>
      </c>
      <c r="L317" s="767">
        <v>23.436100006103501</v>
      </c>
      <c r="M317" s="767">
        <v>24.993484497070298</v>
      </c>
      <c r="N317" s="767">
        <v>26.4673175811768</v>
      </c>
      <c r="O317" s="767">
        <v>27.614213943481399</v>
      </c>
      <c r="P317" s="767">
        <v>28.7058811187744</v>
      </c>
      <c r="Q317" s="767">
        <v>29.4854850769043</v>
      </c>
      <c r="R317" s="767">
        <v>30.5256862640381</v>
      </c>
      <c r="S317" s="767">
        <v>31.597146987915</v>
      </c>
      <c r="T317" s="767">
        <v>32.548923492431598</v>
      </c>
      <c r="U317" s="767">
        <v>32.997859954833999</v>
      </c>
      <c r="V317" s="767">
        <v>34.165657043457003</v>
      </c>
      <c r="W317" s="767">
        <v>35.000114440917997</v>
      </c>
      <c r="X317" s="767">
        <v>36.3691596984863</v>
      </c>
      <c r="Y317" s="767">
        <v>37.943679809570298</v>
      </c>
      <c r="Z317" s="767">
        <v>39.006439208984403</v>
      </c>
      <c r="AA317" s="283"/>
      <c r="AB317" s="283"/>
      <c r="AC317" s="283"/>
      <c r="AD317" s="283"/>
    </row>
    <row r="318" spans="1:30">
      <c r="A318" s="765" t="s">
        <v>721</v>
      </c>
      <c r="B318" s="767">
        <v>8.64862155914307</v>
      </c>
      <c r="C318" s="767">
        <v>10.3074436187744</v>
      </c>
      <c r="D318" s="767">
        <v>13.7067270278931</v>
      </c>
      <c r="E318" s="767">
        <v>6.9139137268066397</v>
      </c>
      <c r="F318" s="767">
        <v>6.0204734802246103</v>
      </c>
      <c r="G318" s="767">
        <v>9.0269355773925799</v>
      </c>
      <c r="H318" s="767">
        <v>10.767860412597701</v>
      </c>
      <c r="I318" s="767">
        <v>12.611166954040501</v>
      </c>
      <c r="J318" s="767">
        <v>14.3083610534668</v>
      </c>
      <c r="K318" s="767">
        <v>16.269037246704102</v>
      </c>
      <c r="L318" s="767">
        <v>17.569841384887699</v>
      </c>
      <c r="M318" s="767">
        <v>18.511304855346701</v>
      </c>
      <c r="N318" s="767">
        <v>19.7891235351563</v>
      </c>
      <c r="O318" s="767">
        <v>20.573390960693398</v>
      </c>
      <c r="P318" s="767">
        <v>21.404872894287099</v>
      </c>
      <c r="Q318" s="767">
        <v>22.193275451660199</v>
      </c>
      <c r="R318" s="767">
        <v>22.9593410491943</v>
      </c>
      <c r="S318" s="767">
        <v>23.7928276062012</v>
      </c>
      <c r="T318" s="767">
        <v>24.398706436157202</v>
      </c>
      <c r="U318" s="767">
        <v>24.292516708373999</v>
      </c>
      <c r="V318" s="767">
        <v>25.0136394500732</v>
      </c>
      <c r="W318" s="767">
        <v>25.751762390136701</v>
      </c>
      <c r="X318" s="767">
        <v>26.606601715087901</v>
      </c>
      <c r="Y318" s="767">
        <v>27.4516487121582</v>
      </c>
      <c r="Z318" s="767">
        <v>28.286119461059599</v>
      </c>
      <c r="AA318" s="283"/>
      <c r="AB318" s="283"/>
      <c r="AC318" s="283"/>
      <c r="AD318" s="283"/>
    </row>
    <row r="319" spans="1:30">
      <c r="A319" s="765" t="s">
        <v>508</v>
      </c>
      <c r="B319" s="767">
        <v>11.5840444564819</v>
      </c>
      <c r="C319" s="767">
        <v>10.9898433685303</v>
      </c>
      <c r="D319" s="767">
        <v>11.588038444519</v>
      </c>
      <c r="E319" s="767">
        <v>9.1930990219116193</v>
      </c>
      <c r="F319" s="767">
        <v>9.8226709365844709</v>
      </c>
      <c r="G319" s="767">
        <v>10.233100891113301</v>
      </c>
      <c r="H319" s="767">
        <v>10.334647178649901</v>
      </c>
      <c r="I319" s="767">
        <v>10.4663095474243</v>
      </c>
      <c r="J319" s="767">
        <v>10.734943389892599</v>
      </c>
      <c r="K319" s="767">
        <v>11.106437683105501</v>
      </c>
      <c r="L319" s="767">
        <v>11.600093841552701</v>
      </c>
      <c r="M319" s="767">
        <v>12.1229543685913</v>
      </c>
      <c r="N319" s="767">
        <v>12.6781578063965</v>
      </c>
      <c r="O319" s="767">
        <v>13.3144483566284</v>
      </c>
      <c r="P319" s="767">
        <v>14.069993019104</v>
      </c>
      <c r="Q319" s="767">
        <v>14.7329454421997</v>
      </c>
      <c r="R319" s="767">
        <v>15.223674774169901</v>
      </c>
      <c r="S319" s="767">
        <v>15.329276084899901</v>
      </c>
      <c r="T319" s="767">
        <v>15.6546773910522</v>
      </c>
      <c r="U319" s="767">
        <v>15.9318437576294</v>
      </c>
      <c r="V319" s="767">
        <v>16.5416469573975</v>
      </c>
      <c r="W319" s="767">
        <v>17.316057205200199</v>
      </c>
      <c r="X319" s="767">
        <v>18.194717407226602</v>
      </c>
      <c r="Y319" s="767">
        <v>18.967941284179702</v>
      </c>
      <c r="Z319" s="767">
        <v>19.811794281005898</v>
      </c>
      <c r="AA319" s="283"/>
      <c r="AB319" s="283"/>
      <c r="AC319" s="283"/>
      <c r="AD319" s="283"/>
    </row>
    <row r="320" spans="1:30">
      <c r="A320" s="765" t="s">
        <v>477</v>
      </c>
      <c r="B320" s="767">
        <v>27.631908416748001</v>
      </c>
      <c r="C320" s="767">
        <v>28.029735565185501</v>
      </c>
      <c r="D320" s="767">
        <v>29.6960258483887</v>
      </c>
      <c r="E320" s="767">
        <v>28.491619110107401</v>
      </c>
      <c r="F320" s="767">
        <v>25.7724418640137</v>
      </c>
      <c r="G320" s="767">
        <v>26.858903884887699</v>
      </c>
      <c r="H320" s="767">
        <v>27.045906066894499</v>
      </c>
      <c r="I320" s="767">
        <v>27.5620422363281</v>
      </c>
      <c r="J320" s="767">
        <v>28.370775222778299</v>
      </c>
      <c r="K320" s="767">
        <v>29.106733322143601</v>
      </c>
      <c r="L320" s="767">
        <v>30.1617736816406</v>
      </c>
      <c r="M320" s="767">
        <v>31.290737152099599</v>
      </c>
      <c r="N320" s="767">
        <v>32.536418914794901</v>
      </c>
      <c r="O320" s="767">
        <v>33.661582946777301</v>
      </c>
      <c r="P320" s="767">
        <v>35.072307586669901</v>
      </c>
      <c r="Q320" s="767">
        <v>36.4632377624512</v>
      </c>
      <c r="R320" s="767">
        <v>37.713531494140597</v>
      </c>
      <c r="S320" s="767">
        <v>38.535266876220703</v>
      </c>
      <c r="T320" s="767">
        <v>39.429233551025398</v>
      </c>
      <c r="U320" s="767">
        <v>40.172752380371101</v>
      </c>
      <c r="V320" s="767">
        <v>41.0662841796875</v>
      </c>
      <c r="W320" s="767">
        <v>42.386928558349602</v>
      </c>
      <c r="X320" s="767">
        <v>43.920989990234403</v>
      </c>
      <c r="Y320" s="767">
        <v>45.4139213562012</v>
      </c>
      <c r="Z320" s="767">
        <v>46.925571441650398</v>
      </c>
      <c r="AA320" s="283"/>
      <c r="AB320" s="283"/>
      <c r="AC320" s="283"/>
      <c r="AD320" s="283"/>
    </row>
    <row r="321" spans="1:30">
      <c r="AA321" s="283"/>
      <c r="AB321" s="283"/>
      <c r="AC321" s="283"/>
      <c r="AD321" s="283"/>
    </row>
    <row r="322" spans="1:30">
      <c r="A322" s="765" t="s">
        <v>610</v>
      </c>
      <c r="AA322" s="283"/>
      <c r="AB322" s="283"/>
      <c r="AC322" s="283"/>
      <c r="AD322" s="283"/>
    </row>
    <row r="323" spans="1:30">
      <c r="A323" s="765" t="s">
        <v>607</v>
      </c>
      <c r="B323" s="767">
        <v>20.489143371581999</v>
      </c>
      <c r="C323" s="767">
        <v>23.3795166015625</v>
      </c>
      <c r="D323" s="767">
        <v>27.232301712036101</v>
      </c>
      <c r="E323" s="767">
        <v>22.957033157348601</v>
      </c>
      <c r="F323" s="767">
        <v>17.265552520751999</v>
      </c>
      <c r="G323" s="767">
        <v>19.8652458190918</v>
      </c>
      <c r="H323" s="767">
        <v>22.207704544067401</v>
      </c>
      <c r="I323" s="767">
        <v>24.495702743530298</v>
      </c>
      <c r="J323" s="767">
        <v>26.6714878082275</v>
      </c>
      <c r="K323" s="767">
        <v>29.0830192565918</v>
      </c>
      <c r="L323" s="767">
        <v>30.951156616210898</v>
      </c>
      <c r="M323" s="767">
        <v>32.690711975097699</v>
      </c>
      <c r="N323" s="767">
        <v>34.514808654785199</v>
      </c>
      <c r="O323" s="767">
        <v>35.846107482910199</v>
      </c>
      <c r="P323" s="767">
        <v>37.040077209472699</v>
      </c>
      <c r="Q323" s="767">
        <v>38.301750183105497</v>
      </c>
      <c r="R323" s="767">
        <v>39.421558380127003</v>
      </c>
      <c r="S323" s="767">
        <v>40.814861297607401</v>
      </c>
      <c r="T323" s="767">
        <v>41.884078979492202</v>
      </c>
      <c r="U323" s="767">
        <v>42.155609130859403</v>
      </c>
      <c r="V323" s="767">
        <v>43.402267456054702</v>
      </c>
      <c r="W323" s="767">
        <v>44.705905914306598</v>
      </c>
      <c r="X323" s="767">
        <v>46.153343200683601</v>
      </c>
      <c r="Y323" s="767">
        <v>47.236614227294901</v>
      </c>
      <c r="Z323" s="767">
        <v>48.820529937744098</v>
      </c>
      <c r="AA323" s="283"/>
      <c r="AB323" s="283"/>
      <c r="AC323" s="283"/>
      <c r="AD323" s="283"/>
    </row>
    <row r="324" spans="1:30">
      <c r="A324" s="765" t="s">
        <v>608</v>
      </c>
      <c r="B324" s="767">
        <v>15.3226671218872</v>
      </c>
      <c r="C324" s="767">
        <v>16.8219394683838</v>
      </c>
      <c r="D324" s="767">
        <v>22.4200763702393</v>
      </c>
      <c r="E324" s="767">
        <v>14.749831199646</v>
      </c>
      <c r="F324" s="767">
        <v>11.025536537170399</v>
      </c>
      <c r="G324" s="767">
        <v>14.0721025466919</v>
      </c>
      <c r="H324" s="767">
        <v>16.2283020019531</v>
      </c>
      <c r="I324" s="767">
        <v>18.6841716766357</v>
      </c>
      <c r="J324" s="767">
        <v>20.619239807128899</v>
      </c>
      <c r="K324" s="767">
        <v>22.302150726318398</v>
      </c>
      <c r="L324" s="767">
        <v>23.831027984619102</v>
      </c>
      <c r="M324" s="767">
        <v>25.434989929199201</v>
      </c>
      <c r="N324" s="767">
        <v>26.940843582153299</v>
      </c>
      <c r="O324" s="767">
        <v>28.1489963531494</v>
      </c>
      <c r="P324" s="767">
        <v>29.2844352722168</v>
      </c>
      <c r="Q324" s="767">
        <v>29.987220764160199</v>
      </c>
      <c r="R324" s="767">
        <v>31.1475830078125</v>
      </c>
      <c r="S324" s="767">
        <v>32.191192626953097</v>
      </c>
      <c r="T324" s="767">
        <v>33.043167114257798</v>
      </c>
      <c r="U324" s="767">
        <v>33.6753120422363</v>
      </c>
      <c r="V324" s="767">
        <v>34.892765045166001</v>
      </c>
      <c r="W324" s="767">
        <v>35.508182525634801</v>
      </c>
      <c r="X324" s="767">
        <v>36.966400146484403</v>
      </c>
      <c r="Y324" s="767">
        <v>38.821296691894503</v>
      </c>
      <c r="Z324" s="767">
        <v>39.679729461669901</v>
      </c>
      <c r="AA324" s="283"/>
      <c r="AB324" s="283"/>
      <c r="AC324" s="283"/>
      <c r="AD324" s="283"/>
    </row>
    <row r="325" spans="1:30">
      <c r="A325" s="765" t="s">
        <v>609</v>
      </c>
      <c r="B325" s="767">
        <v>8.9709205627441406</v>
      </c>
      <c r="C325" s="767">
        <v>10.5954837799072</v>
      </c>
      <c r="D325" s="767">
        <v>14.049506187439</v>
      </c>
      <c r="E325" s="767">
        <v>7.1343002319335902</v>
      </c>
      <c r="F325" s="767">
        <v>10.215766906738301</v>
      </c>
      <c r="G325" s="767">
        <v>12.8617763519287</v>
      </c>
      <c r="H325" s="767">
        <v>14.814771652221699</v>
      </c>
      <c r="I325" s="767">
        <v>16.696189880371101</v>
      </c>
      <c r="J325" s="767">
        <v>18.396284103393601</v>
      </c>
      <c r="K325" s="767">
        <v>20.378862380981399</v>
      </c>
      <c r="L325" s="767">
        <v>21.7460041046143</v>
      </c>
      <c r="M325" s="767">
        <v>22.969861984252901</v>
      </c>
      <c r="N325" s="767">
        <v>24.3396511077881</v>
      </c>
      <c r="O325" s="767">
        <v>25.3345756530762</v>
      </c>
      <c r="P325" s="767">
        <v>26.3205471038818</v>
      </c>
      <c r="Q325" s="767">
        <v>27.310920715331999</v>
      </c>
      <c r="R325" s="767">
        <v>28.174968719482401</v>
      </c>
      <c r="S325" s="767">
        <v>29.129919052123999</v>
      </c>
      <c r="T325" s="767">
        <v>29.910713195800799</v>
      </c>
      <c r="U325" s="767">
        <v>30.004579544067401</v>
      </c>
      <c r="V325" s="767">
        <v>30.867444992065401</v>
      </c>
      <c r="W325" s="767">
        <v>31.741449356079102</v>
      </c>
      <c r="X325" s="767">
        <v>32.901214599609403</v>
      </c>
      <c r="Y325" s="767">
        <v>33.791465759277301</v>
      </c>
      <c r="Z325" s="767">
        <v>34.9404487609863</v>
      </c>
      <c r="AA325" s="283"/>
      <c r="AB325" s="283"/>
      <c r="AC325" s="283"/>
      <c r="AD325" s="283"/>
    </row>
    <row r="326" spans="1:30">
      <c r="A326" s="765" t="s">
        <v>611</v>
      </c>
      <c r="B326" s="767">
        <v>7.7454247474670401</v>
      </c>
      <c r="C326" s="767">
        <v>7.5152516365051296</v>
      </c>
      <c r="D326" s="767">
        <v>8.9947338104247994</v>
      </c>
      <c r="E326" s="767">
        <v>5.0039734840393102</v>
      </c>
      <c r="F326" s="767">
        <v>5.7063522338867196</v>
      </c>
      <c r="G326" s="767">
        <v>6.1171517372131303</v>
      </c>
      <c r="H326" s="767">
        <v>6.2487673759460396</v>
      </c>
      <c r="I326" s="767">
        <v>6.4428400993347203</v>
      </c>
      <c r="J326" s="767">
        <v>6.7520828247070304</v>
      </c>
      <c r="K326" s="767">
        <v>7.1508984565734899</v>
      </c>
      <c r="L326" s="767">
        <v>7.5258989334106401</v>
      </c>
      <c r="M326" s="767">
        <v>7.9240221977233896</v>
      </c>
      <c r="N326" s="767">
        <v>8.3488731384277308</v>
      </c>
      <c r="O326" s="767">
        <v>8.8619937896728498</v>
      </c>
      <c r="P326" s="767">
        <v>9.4837093353271502</v>
      </c>
      <c r="Q326" s="767">
        <v>9.9987487792968803</v>
      </c>
      <c r="R326" s="767">
        <v>10.352954864501999</v>
      </c>
      <c r="S326" s="767">
        <v>10.3336448669434</v>
      </c>
      <c r="T326" s="767">
        <v>10.549848556518601</v>
      </c>
      <c r="U326" s="767">
        <v>10.6489877700806</v>
      </c>
      <c r="V326" s="767">
        <v>11.076291084289601</v>
      </c>
      <c r="W326" s="767">
        <v>11.6912574768066</v>
      </c>
      <c r="X326" s="767">
        <v>12.4464559555054</v>
      </c>
      <c r="Y326" s="767">
        <v>13.0579080581665</v>
      </c>
      <c r="Z326" s="767">
        <v>13.758059501647899</v>
      </c>
      <c r="AA326" s="283"/>
      <c r="AB326" s="283"/>
      <c r="AC326" s="283"/>
      <c r="AD326" s="283"/>
    </row>
    <row r="327" spans="1:30">
      <c r="A327" s="765" t="s">
        <v>612</v>
      </c>
      <c r="B327" s="767">
        <v>3.53999996185303</v>
      </c>
      <c r="C327" s="767">
        <v>3.6099998950958301</v>
      </c>
      <c r="D327" s="767">
        <v>4.1449666023254403</v>
      </c>
      <c r="E327" s="767">
        <v>4.1784791946411097</v>
      </c>
      <c r="F327" s="767">
        <v>4.1485314369201696</v>
      </c>
      <c r="G327" s="767">
        <v>4.3175525665283203</v>
      </c>
      <c r="H327" s="767">
        <v>4.44484186172485</v>
      </c>
      <c r="I327" s="767">
        <v>4.5821456909179696</v>
      </c>
      <c r="J327" s="767">
        <v>4.7206311225891104</v>
      </c>
      <c r="K327" s="767">
        <v>4.8563599586486799</v>
      </c>
      <c r="L327" s="767">
        <v>4.9913563728332502</v>
      </c>
      <c r="M327" s="767">
        <v>5.1233406066894496</v>
      </c>
      <c r="N327" s="767">
        <v>5.2680139541626003</v>
      </c>
      <c r="O327" s="767">
        <v>5.4137320518493697</v>
      </c>
      <c r="P327" s="767">
        <v>5.5743689537048304</v>
      </c>
      <c r="Q327" s="767">
        <v>5.7906579971313503</v>
      </c>
      <c r="R327" s="767">
        <v>6.0209679603576696</v>
      </c>
      <c r="S327" s="767">
        <v>6.20045709609985</v>
      </c>
      <c r="T327" s="767">
        <v>6.3775997161865199</v>
      </c>
      <c r="U327" s="767">
        <v>6.5161404609680202</v>
      </c>
      <c r="V327" s="767">
        <v>6.6299972534179696</v>
      </c>
      <c r="W327" s="767">
        <v>6.7667918205261204</v>
      </c>
      <c r="X327" s="767">
        <v>6.88553714752197</v>
      </c>
      <c r="Y327" s="767">
        <v>6.9704546928405797</v>
      </c>
      <c r="Z327" s="767">
        <v>7.0137753486633301</v>
      </c>
    </row>
    <row r="328" spans="1:30">
      <c r="A328" s="765" t="s">
        <v>613</v>
      </c>
      <c r="B328" s="767">
        <v>2.3399634361267099</v>
      </c>
      <c r="C328" s="767">
        <v>2.4299483299255402</v>
      </c>
      <c r="D328" s="767">
        <v>2.5979068279266402</v>
      </c>
      <c r="E328" s="767">
        <v>2.52754878997803</v>
      </c>
      <c r="F328" s="767">
        <v>2.4808654785156299</v>
      </c>
      <c r="G328" s="767">
        <v>2.6002757549285902</v>
      </c>
      <c r="H328" s="767">
        <v>2.6509947776794398</v>
      </c>
      <c r="I328" s="767">
        <v>2.73208808898926</v>
      </c>
      <c r="J328" s="767">
        <v>2.8122007846832302</v>
      </c>
      <c r="K328" s="767">
        <v>2.8687095642089799</v>
      </c>
      <c r="L328" s="767">
        <v>2.94158983230591</v>
      </c>
      <c r="M328" s="767">
        <v>3.0178208351135298</v>
      </c>
      <c r="N328" s="767">
        <v>3.1028199195861799</v>
      </c>
      <c r="O328" s="767">
        <v>3.17316722869873</v>
      </c>
      <c r="P328" s="767">
        <v>3.2616541385650599</v>
      </c>
      <c r="Q328" s="767">
        <v>3.3479356765747101</v>
      </c>
      <c r="R328" s="767">
        <v>3.4371068477630602</v>
      </c>
      <c r="S328" s="767">
        <v>3.5193088054657</v>
      </c>
      <c r="T328" s="767">
        <v>3.6053638458252002</v>
      </c>
      <c r="U328" s="767">
        <v>3.6816923618316699</v>
      </c>
      <c r="V328" s="767">
        <v>3.7800858020782502</v>
      </c>
      <c r="W328" s="767">
        <v>3.88063645362854</v>
      </c>
      <c r="X328" s="767">
        <v>3.98858737945557</v>
      </c>
      <c r="Y328" s="767">
        <v>4.1003923416137704</v>
      </c>
      <c r="Z328" s="767">
        <v>4.2166938781738299</v>
      </c>
    </row>
    <row r="329" spans="1:30">
      <c r="A329" s="765" t="s">
        <v>614</v>
      </c>
      <c r="B329" s="767">
        <v>0</v>
      </c>
      <c r="C329" s="767">
        <v>0</v>
      </c>
      <c r="D329" s="767">
        <v>0</v>
      </c>
      <c r="E329" s="767">
        <v>0</v>
      </c>
      <c r="F329" s="767">
        <v>0</v>
      </c>
      <c r="G329" s="767">
        <v>1.5889266729354901</v>
      </c>
      <c r="H329" s="767">
        <v>1.46094393730164</v>
      </c>
      <c r="I329" s="767">
        <v>1.28843116760254</v>
      </c>
      <c r="J329" s="767">
        <v>1.5101318359375</v>
      </c>
      <c r="K329" s="767">
        <v>1.50810551643372</v>
      </c>
      <c r="L329" s="767">
        <v>1.5213859081268299</v>
      </c>
      <c r="M329" s="767">
        <v>1.53951179981232</v>
      </c>
      <c r="N329" s="767">
        <v>1.58338570594788</v>
      </c>
      <c r="O329" s="767">
        <v>1.63723039627075</v>
      </c>
      <c r="P329" s="767">
        <v>1.71289122104645</v>
      </c>
      <c r="Q329" s="767">
        <v>1.76114201545715</v>
      </c>
      <c r="R329" s="767">
        <v>1.8119050264358501</v>
      </c>
      <c r="S329" s="767">
        <v>1.8629466295242301</v>
      </c>
      <c r="T329" s="767">
        <v>1.9169825315475499</v>
      </c>
      <c r="U329" s="767">
        <v>1.9466364383697501</v>
      </c>
      <c r="V329" s="767">
        <v>1.9911848306655899</v>
      </c>
      <c r="W329" s="767">
        <v>2.0416746139526398</v>
      </c>
      <c r="X329" s="767">
        <v>2.09020328521729</v>
      </c>
      <c r="Y329" s="767">
        <v>2.1373581886291499</v>
      </c>
      <c r="Z329" s="767">
        <v>2.1847438812255899</v>
      </c>
    </row>
    <row r="330" spans="1:30">
      <c r="A330" s="765" t="s">
        <v>477</v>
      </c>
      <c r="B330" s="767">
        <v>17.918214797973601</v>
      </c>
      <c r="C330" s="767">
        <v>18.6226921081543</v>
      </c>
      <c r="D330" s="767">
        <v>20.7813816070557</v>
      </c>
      <c r="E330" s="767">
        <v>19.773582458496101</v>
      </c>
      <c r="F330" s="767">
        <v>17.462970733642599</v>
      </c>
      <c r="G330" s="767">
        <v>18.126573562622099</v>
      </c>
      <c r="H330" s="767">
        <v>18.238889694213899</v>
      </c>
      <c r="I330" s="767">
        <v>18.4867153167725</v>
      </c>
      <c r="J330" s="767">
        <v>19.006654739379901</v>
      </c>
      <c r="K330" s="767">
        <v>19.565620422363299</v>
      </c>
      <c r="L330" s="767">
        <v>20.355871200561499</v>
      </c>
      <c r="M330" s="767">
        <v>21.173530578613299</v>
      </c>
      <c r="N330" s="767">
        <v>22.037576675415</v>
      </c>
      <c r="O330" s="767">
        <v>22.867145538330099</v>
      </c>
      <c r="P330" s="767">
        <v>23.876249313354499</v>
      </c>
      <c r="Q330" s="767">
        <v>24.851699829101602</v>
      </c>
      <c r="R330" s="767">
        <v>25.777753829956101</v>
      </c>
      <c r="S330" s="767">
        <v>26.392097473144499</v>
      </c>
      <c r="T330" s="767">
        <v>27.017583847045898</v>
      </c>
      <c r="U330" s="767">
        <v>27.588447570800799</v>
      </c>
      <c r="V330" s="767">
        <v>28.206142425537099</v>
      </c>
      <c r="W330" s="767">
        <v>29.1773777008057</v>
      </c>
      <c r="X330" s="767">
        <v>30.336851119995099</v>
      </c>
      <c r="Y330" s="767">
        <v>31.4674072265625</v>
      </c>
      <c r="Z330" s="767">
        <v>32.538986206054702</v>
      </c>
    </row>
    <row r="332" spans="1:30">
      <c r="A332" s="765" t="s">
        <v>485</v>
      </c>
    </row>
    <row r="333" spans="1:30">
      <c r="A333" s="765" t="s">
        <v>615</v>
      </c>
      <c r="B333" s="767">
        <v>21.711509704589801</v>
      </c>
      <c r="C333" s="767">
        <v>25.0072345733643</v>
      </c>
      <c r="D333" s="767">
        <v>29.391622543335</v>
      </c>
      <c r="E333" s="767">
        <v>22.380046844482401</v>
      </c>
      <c r="F333" s="767">
        <v>21.3089294433594</v>
      </c>
      <c r="G333" s="767">
        <v>23.935417175293001</v>
      </c>
      <c r="H333" s="767">
        <v>26.369024276733398</v>
      </c>
      <c r="I333" s="767">
        <v>28.752412796020501</v>
      </c>
      <c r="J333" s="767">
        <v>31.0282287597656</v>
      </c>
      <c r="K333" s="767">
        <v>33.547065734863303</v>
      </c>
      <c r="L333" s="767">
        <v>35.514869689941399</v>
      </c>
      <c r="M333" s="767">
        <v>37.352748870849602</v>
      </c>
      <c r="N333" s="767">
        <v>39.287044525146499</v>
      </c>
      <c r="O333" s="767">
        <v>40.7039604187012</v>
      </c>
      <c r="P333" s="767">
        <v>42.024444580078097</v>
      </c>
      <c r="Q333" s="767">
        <v>43.379894256591797</v>
      </c>
      <c r="R333" s="767">
        <v>44.630382537841797</v>
      </c>
      <c r="S333" s="767">
        <v>46.145259857177699</v>
      </c>
      <c r="T333" s="767">
        <v>47.363857269287102</v>
      </c>
      <c r="U333" s="767">
        <v>47.7197074890137</v>
      </c>
      <c r="V333" s="767">
        <v>49.102500915527301</v>
      </c>
      <c r="W333" s="767">
        <v>50.517303466796903</v>
      </c>
      <c r="X333" s="767">
        <v>52.086456298828097</v>
      </c>
      <c r="Y333" s="767">
        <v>53.442653656005902</v>
      </c>
      <c r="Z333" s="767">
        <v>55.104091644287102</v>
      </c>
    </row>
    <row r="334" spans="1:30">
      <c r="A334" s="765" t="s">
        <v>616</v>
      </c>
      <c r="B334" s="767">
        <v>24.84494972229</v>
      </c>
      <c r="C334" s="767">
        <v>26.818180084228501</v>
      </c>
      <c r="D334" s="767">
        <v>34.822681427002003</v>
      </c>
      <c r="E334" s="767">
        <v>21.049989700317401</v>
      </c>
      <c r="F334" s="767">
        <v>19.580844879150401</v>
      </c>
      <c r="G334" s="767">
        <v>23.622909545898398</v>
      </c>
      <c r="H334" s="767">
        <v>25.881950378418001</v>
      </c>
      <c r="I334" s="767">
        <v>28.009447097778299</v>
      </c>
      <c r="J334" s="767">
        <v>30.2537937164307</v>
      </c>
      <c r="K334" s="767">
        <v>28.866632461547901</v>
      </c>
      <c r="L334" s="767">
        <v>30.4276523590088</v>
      </c>
      <c r="M334" s="767">
        <v>31.969417572021499</v>
      </c>
      <c r="N334" s="767">
        <v>32.765193939208999</v>
      </c>
      <c r="O334" s="767">
        <v>35.757926940917997</v>
      </c>
      <c r="P334" s="767">
        <v>37.577915191650398</v>
      </c>
      <c r="Q334" s="767">
        <v>38.662086486816399</v>
      </c>
      <c r="R334" s="767">
        <v>39.8419189453125</v>
      </c>
      <c r="S334" s="767">
        <v>41.092353820800803</v>
      </c>
      <c r="T334" s="767">
        <v>42.114028930664098</v>
      </c>
      <c r="U334" s="767">
        <v>42.893341064453097</v>
      </c>
      <c r="V334" s="767">
        <v>44.2104301452637</v>
      </c>
      <c r="W334" s="767">
        <v>44.896373748779297</v>
      </c>
      <c r="X334" s="767">
        <v>46.4299926757813</v>
      </c>
      <c r="Y334" s="767">
        <v>48.419319152832003</v>
      </c>
      <c r="Z334" s="767">
        <v>48.957271575927699</v>
      </c>
    </row>
    <row r="335" spans="1:30">
      <c r="A335" s="765" t="s">
        <v>617</v>
      </c>
      <c r="B335" s="767">
        <v>21.213121414184599</v>
      </c>
      <c r="C335" s="767">
        <v>22.982162475585898</v>
      </c>
      <c r="D335" s="767">
        <v>26.749811172485401</v>
      </c>
      <c r="E335" s="767">
        <v>16.175968170166001</v>
      </c>
      <c r="F335" s="767">
        <v>18.381326675415</v>
      </c>
      <c r="G335" s="767">
        <v>21.693702697753899</v>
      </c>
      <c r="H335" s="767">
        <v>23.709007263183601</v>
      </c>
      <c r="I335" s="767">
        <v>25.449525833129901</v>
      </c>
      <c r="J335" s="767">
        <v>27.424634933471701</v>
      </c>
      <c r="K335" s="767">
        <v>29.529468536376999</v>
      </c>
      <c r="L335" s="767">
        <v>31.27219581604</v>
      </c>
      <c r="M335" s="767">
        <v>33.093906402587898</v>
      </c>
      <c r="N335" s="767">
        <v>34.856166839599602</v>
      </c>
      <c r="O335" s="767">
        <v>36.438858032226598</v>
      </c>
      <c r="P335" s="767">
        <v>38.015861511230497</v>
      </c>
      <c r="Q335" s="767">
        <v>39.139541625976598</v>
      </c>
      <c r="R335" s="767">
        <v>40.478176116943402</v>
      </c>
      <c r="S335" s="767">
        <v>41.691452026367202</v>
      </c>
      <c r="T335" s="767">
        <v>42.679801940917997</v>
      </c>
      <c r="U335" s="767">
        <v>43.464977264404297</v>
      </c>
      <c r="V335" s="767">
        <v>44.780059814453097</v>
      </c>
      <c r="W335" s="767">
        <v>45.673988342285199</v>
      </c>
      <c r="X335" s="767">
        <v>47.254981994628899</v>
      </c>
      <c r="Y335" s="767">
        <v>49.557445526122997</v>
      </c>
      <c r="Z335" s="767">
        <v>49.9830131530762</v>
      </c>
    </row>
    <row r="336" spans="1:30">
      <c r="A336" s="765" t="s">
        <v>618</v>
      </c>
      <c r="B336" s="767">
        <v>14.844763755798301</v>
      </c>
      <c r="C336" s="767">
        <v>16.0964660644531</v>
      </c>
      <c r="D336" s="767">
        <v>22.673322677612301</v>
      </c>
      <c r="E336" s="767">
        <v>10.878761291503899</v>
      </c>
      <c r="F336" s="767">
        <v>10.805939674377401</v>
      </c>
      <c r="G336" s="767">
        <v>13.641165733337401</v>
      </c>
      <c r="H336" s="767">
        <v>15.7883806228638</v>
      </c>
      <c r="I336" s="767">
        <v>17.847295761108398</v>
      </c>
      <c r="J336" s="767">
        <v>19.768560409545898</v>
      </c>
      <c r="K336" s="767">
        <v>21.6021404266357</v>
      </c>
      <c r="L336" s="767">
        <v>23.1407794952393</v>
      </c>
      <c r="M336" s="767">
        <v>24.738756179809599</v>
      </c>
      <c r="N336" s="767">
        <v>26.200944900512699</v>
      </c>
      <c r="O336" s="767">
        <v>27.323936462402301</v>
      </c>
      <c r="P336" s="767">
        <v>28.3911018371582</v>
      </c>
      <c r="Q336" s="767">
        <v>29.343944549560501</v>
      </c>
      <c r="R336" s="767">
        <v>30.208518981933601</v>
      </c>
      <c r="S336" s="767">
        <v>31.274351119995099</v>
      </c>
      <c r="T336" s="767">
        <v>32.279064178466797</v>
      </c>
      <c r="U336" s="767">
        <v>32.661514282226598</v>
      </c>
      <c r="V336" s="767">
        <v>33.853298187255902</v>
      </c>
      <c r="W336" s="767">
        <v>34.868740081787102</v>
      </c>
      <c r="X336" s="767">
        <v>36.320652008056598</v>
      </c>
      <c r="Y336" s="767">
        <v>37.773586273193402</v>
      </c>
      <c r="Z336" s="767">
        <v>39.040420532226598</v>
      </c>
    </row>
    <row r="337" spans="1:70">
      <c r="A337" s="765" t="s">
        <v>722</v>
      </c>
      <c r="B337" s="767">
        <v>19.740650177001999</v>
      </c>
      <c r="C337" s="767">
        <v>20.921422958373999</v>
      </c>
      <c r="D337" s="767">
        <v>27.660943984985401</v>
      </c>
      <c r="E337" s="767">
        <v>15.872093200683601</v>
      </c>
      <c r="F337" s="767">
        <v>15.1842641830444</v>
      </c>
      <c r="G337" s="767">
        <v>17.936090469360401</v>
      </c>
      <c r="H337" s="767">
        <v>20.100133895873999</v>
      </c>
      <c r="I337" s="767">
        <v>22.737785339355501</v>
      </c>
      <c r="J337" s="767">
        <v>24.745433807373001</v>
      </c>
      <c r="K337" s="767">
        <v>26.438911437988299</v>
      </c>
      <c r="L337" s="767">
        <v>28.0228977203369</v>
      </c>
      <c r="M337" s="767">
        <v>29.7338352203369</v>
      </c>
      <c r="N337" s="767">
        <v>31.2589511871338</v>
      </c>
      <c r="O337" s="767">
        <v>32.543869018554702</v>
      </c>
      <c r="P337" s="767">
        <v>33.764415740966797</v>
      </c>
      <c r="Q337" s="767">
        <v>34.490653991699197</v>
      </c>
      <c r="R337" s="767">
        <v>35.692588806152301</v>
      </c>
      <c r="S337" s="767">
        <v>36.884777069091797</v>
      </c>
      <c r="T337" s="767">
        <v>37.7488403320313</v>
      </c>
      <c r="U337" s="767">
        <v>38.541912078857401</v>
      </c>
      <c r="V337" s="767">
        <v>39.811958312988303</v>
      </c>
      <c r="W337" s="767">
        <v>40.433952331542997</v>
      </c>
      <c r="X337" s="767">
        <v>41.980552673339801</v>
      </c>
      <c r="Y337" s="767">
        <v>44.0175971984863</v>
      </c>
      <c r="Z337" s="767">
        <v>44.845256805419901</v>
      </c>
    </row>
    <row r="338" spans="1:70">
      <c r="A338" s="765" t="s">
        <v>609</v>
      </c>
      <c r="B338" s="767">
        <v>7.9912142753601101</v>
      </c>
      <c r="C338" s="767">
        <v>9.4357099533081108</v>
      </c>
      <c r="D338" s="767">
        <v>14.5987691879272</v>
      </c>
      <c r="E338" s="767">
        <v>6.5974926948547399</v>
      </c>
      <c r="F338" s="767">
        <v>6.8336348533630398</v>
      </c>
      <c r="G338" s="767">
        <v>9.1002550125122106</v>
      </c>
      <c r="H338" s="767">
        <v>10.9850196838379</v>
      </c>
      <c r="I338" s="767">
        <v>12.7856092453003</v>
      </c>
      <c r="J338" s="767">
        <v>14.3925485610962</v>
      </c>
      <c r="K338" s="767">
        <v>16.284711837768601</v>
      </c>
      <c r="L338" s="767">
        <v>17.587419509887699</v>
      </c>
      <c r="M338" s="767">
        <v>18.815961837768601</v>
      </c>
      <c r="N338" s="767">
        <v>20.079933166503899</v>
      </c>
      <c r="O338" s="767">
        <v>21.0047607421875</v>
      </c>
      <c r="P338" s="767">
        <v>21.793167114257798</v>
      </c>
      <c r="Q338" s="767">
        <v>22.696048736572301</v>
      </c>
      <c r="R338" s="767">
        <v>23.3086338043213</v>
      </c>
      <c r="S338" s="767">
        <v>24.011238098144499</v>
      </c>
      <c r="T338" s="767">
        <v>24.648492813110401</v>
      </c>
      <c r="U338" s="767">
        <v>24.8559169769287</v>
      </c>
      <c r="V338" s="767">
        <v>25.6537380218506</v>
      </c>
      <c r="W338" s="767">
        <v>26.666080474853501</v>
      </c>
      <c r="X338" s="767">
        <v>27.731492996215799</v>
      </c>
      <c r="Y338" s="767">
        <v>28.609724044799801</v>
      </c>
      <c r="Z338" s="767">
        <v>29.807550430297901</v>
      </c>
    </row>
    <row r="339" spans="1:70">
      <c r="A339" s="765" t="s">
        <v>620</v>
      </c>
      <c r="B339" s="767">
        <v>15.1338348388672</v>
      </c>
      <c r="C339" s="767">
        <v>15.4958410263062</v>
      </c>
      <c r="D339" s="767">
        <v>17.260919570922901</v>
      </c>
      <c r="E339" s="767">
        <v>13.197589874267599</v>
      </c>
      <c r="F339" s="767">
        <v>14.011960029602101</v>
      </c>
      <c r="G339" s="767">
        <v>14.5198259353638</v>
      </c>
      <c r="H339" s="767">
        <v>14.7125358581543</v>
      </c>
      <c r="I339" s="767">
        <v>14.9809007644653</v>
      </c>
      <c r="J339" s="767">
        <v>15.3987216949463</v>
      </c>
      <c r="K339" s="767">
        <v>15.929105758666999</v>
      </c>
      <c r="L339" s="767">
        <v>16.444049835205099</v>
      </c>
      <c r="M339" s="767">
        <v>16.986526489257798</v>
      </c>
      <c r="N339" s="767">
        <v>17.562019348144499</v>
      </c>
      <c r="O339" s="767">
        <v>18.214298248291001</v>
      </c>
      <c r="P339" s="767">
        <v>18.978889465331999</v>
      </c>
      <c r="Q339" s="767">
        <v>19.653842926025401</v>
      </c>
      <c r="R339" s="767">
        <v>20.151586532592798</v>
      </c>
      <c r="S339" s="767">
        <v>20.264110565185501</v>
      </c>
      <c r="T339" s="767">
        <v>20.6345119476318</v>
      </c>
      <c r="U339" s="767">
        <v>20.930568695068398</v>
      </c>
      <c r="V339" s="767">
        <v>21.5493049621582</v>
      </c>
      <c r="W339" s="767">
        <v>22.330928802490199</v>
      </c>
      <c r="X339" s="767">
        <v>23.217420578002901</v>
      </c>
      <c r="Y339" s="767">
        <v>23.984209060668899</v>
      </c>
      <c r="Z339" s="767">
        <v>24.842088699340799</v>
      </c>
    </row>
    <row r="340" spans="1:70">
      <c r="A340" s="765" t="s">
        <v>477</v>
      </c>
      <c r="B340" s="767">
        <v>29.552911758422901</v>
      </c>
      <c r="C340" s="767">
        <v>30.777971267700199</v>
      </c>
      <c r="D340" s="767">
        <v>34.475650787353501</v>
      </c>
      <c r="E340" s="767">
        <v>32.511272430419901</v>
      </c>
      <c r="F340" s="767">
        <v>28.3578701019287</v>
      </c>
      <c r="G340" s="767">
        <v>29.9883632659912</v>
      </c>
      <c r="H340" s="767">
        <v>30.793474197387699</v>
      </c>
      <c r="I340" s="767">
        <v>31.290824890136701</v>
      </c>
      <c r="J340" s="767">
        <v>31.788017272949201</v>
      </c>
      <c r="K340" s="767">
        <v>32.228786468505902</v>
      </c>
      <c r="L340" s="767">
        <v>33.101249694824197</v>
      </c>
      <c r="M340" s="767">
        <v>33.873565673828097</v>
      </c>
      <c r="N340" s="767">
        <v>34.876777648925803</v>
      </c>
      <c r="O340" s="767">
        <v>35.790927886962898</v>
      </c>
      <c r="P340" s="767">
        <v>37.005527496337898</v>
      </c>
      <c r="Q340" s="767">
        <v>38.374465942382798</v>
      </c>
      <c r="R340" s="767">
        <v>39.741268157958999</v>
      </c>
      <c r="S340" s="767">
        <v>40.743644714355497</v>
      </c>
      <c r="T340" s="767">
        <v>41.832027435302699</v>
      </c>
      <c r="U340" s="767">
        <v>42.8788452148438</v>
      </c>
      <c r="V340" s="767">
        <v>44.165149688720703</v>
      </c>
      <c r="W340" s="767">
        <v>45.822151184082003</v>
      </c>
      <c r="X340" s="767">
        <v>47.770866394042997</v>
      </c>
      <c r="Y340" s="767">
        <v>49.4786567687988</v>
      </c>
      <c r="Z340" s="767">
        <v>51.408214569091797</v>
      </c>
    </row>
    <row r="341" spans="1:70">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c r="A342" s="765" t="s">
        <v>621</v>
      </c>
    </row>
    <row r="343" spans="1:70">
      <c r="A343" s="765" t="s">
        <v>608</v>
      </c>
      <c r="B343" s="767">
        <v>13.411901473999</v>
      </c>
      <c r="C343" s="767">
        <v>14.7725219726563</v>
      </c>
      <c r="D343" s="767">
        <v>19.598173141479499</v>
      </c>
      <c r="E343" s="767">
        <v>12.9002075195313</v>
      </c>
      <c r="F343" s="767">
        <v>10.160784721374499</v>
      </c>
      <c r="G343" s="767">
        <v>12.683879852294901</v>
      </c>
      <c r="H343" s="767">
        <v>14.742367744445801</v>
      </c>
      <c r="I343" s="767">
        <v>16.466316223144499</v>
      </c>
      <c r="J343" s="767">
        <v>18.200975418090799</v>
      </c>
      <c r="K343" s="767">
        <v>20.294946670532202</v>
      </c>
      <c r="L343" s="767">
        <v>21.762416839599599</v>
      </c>
      <c r="M343" s="767">
        <v>23.219928741455099</v>
      </c>
      <c r="N343" s="767">
        <v>24.625257492065401</v>
      </c>
      <c r="O343" s="767">
        <v>25.658937454223601</v>
      </c>
      <c r="P343" s="767">
        <v>26.641567230224599</v>
      </c>
      <c r="Q343" s="767">
        <v>27.554689407348601</v>
      </c>
      <c r="R343" s="767">
        <v>28.433355331420898</v>
      </c>
      <c r="S343" s="767">
        <v>29.525194168090799</v>
      </c>
      <c r="T343" s="767">
        <v>30.595668792724599</v>
      </c>
      <c r="U343" s="767">
        <v>30.812200546264599</v>
      </c>
      <c r="V343" s="767">
        <v>31.8765468597412</v>
      </c>
      <c r="W343" s="767">
        <v>33.023826599121101</v>
      </c>
      <c r="X343" s="767">
        <v>34.249851226806598</v>
      </c>
      <c r="Y343" s="767">
        <v>35.370849609375</v>
      </c>
      <c r="Z343" s="767">
        <v>36.733474731445298</v>
      </c>
    </row>
    <row r="344" spans="1:70">
      <c r="A344" s="765" t="s">
        <v>609</v>
      </c>
      <c r="B344" s="767">
        <v>8.1584053039550799</v>
      </c>
      <c r="C344" s="767">
        <v>8.5664386749267596</v>
      </c>
      <c r="D344" s="767">
        <v>14.623919486999499</v>
      </c>
      <c r="E344" s="767">
        <v>6.72200632095337</v>
      </c>
      <c r="F344" s="767">
        <v>6.9281921386718803</v>
      </c>
      <c r="G344" s="767">
        <v>9.7774429321289098</v>
      </c>
      <c r="H344" s="767">
        <v>11.688641548156699</v>
      </c>
      <c r="I344" s="767">
        <v>13.5591955184937</v>
      </c>
      <c r="J344" s="767">
        <v>15.198254585266101</v>
      </c>
      <c r="K344" s="767">
        <v>17.122402191162099</v>
      </c>
      <c r="L344" s="767">
        <v>18.4469089508057</v>
      </c>
      <c r="M344" s="767">
        <v>19.645553588867202</v>
      </c>
      <c r="N344" s="767">
        <v>20.905046463012699</v>
      </c>
      <c r="O344" s="767">
        <v>21.461814880371101</v>
      </c>
      <c r="P344" s="767">
        <v>22.275539398193398</v>
      </c>
      <c r="Q344" s="767">
        <v>23.178005218505898</v>
      </c>
      <c r="R344" s="767">
        <v>23.921798706054702</v>
      </c>
      <c r="S344" s="767">
        <v>24.712652206420898</v>
      </c>
      <c r="T344" s="767">
        <v>25.390251159668001</v>
      </c>
      <c r="U344" s="767">
        <v>25.605690002441399</v>
      </c>
      <c r="V344" s="767">
        <v>26.419223785400401</v>
      </c>
      <c r="W344" s="767">
        <v>27.371679306030298</v>
      </c>
      <c r="X344" s="767">
        <v>28.437421798706101</v>
      </c>
      <c r="Y344" s="767">
        <v>29.318086624145501</v>
      </c>
      <c r="Z344" s="767">
        <v>30.4597358703613</v>
      </c>
    </row>
    <row r="345" spans="1:70">
      <c r="A345" s="765" t="s">
        <v>508</v>
      </c>
      <c r="B345" s="767">
        <v>6.8695855140686</v>
      </c>
      <c r="C345" s="767">
        <v>7.0191597938537598</v>
      </c>
      <c r="D345" s="767">
        <v>9.0666198730468803</v>
      </c>
      <c r="E345" s="767">
        <v>4.70163822174072</v>
      </c>
      <c r="F345" s="767">
        <v>5.3228030204772896</v>
      </c>
      <c r="G345" s="767">
        <v>5.7259230613708496</v>
      </c>
      <c r="H345" s="767">
        <v>5.8670849800109899</v>
      </c>
      <c r="I345" s="767">
        <v>5.9947657585143999</v>
      </c>
      <c r="J345" s="767">
        <v>6.2809138298034703</v>
      </c>
      <c r="K345" s="767">
        <v>6.6566915512084996</v>
      </c>
      <c r="L345" s="767">
        <v>7.0282440185546902</v>
      </c>
      <c r="M345" s="767">
        <v>7.4117355346679696</v>
      </c>
      <c r="N345" s="767">
        <v>7.8389544486999503</v>
      </c>
      <c r="O345" s="767">
        <v>8.3448457717895508</v>
      </c>
      <c r="P345" s="767">
        <v>8.9240303039550799</v>
      </c>
      <c r="Q345" s="767">
        <v>9.4456386566162092</v>
      </c>
      <c r="R345" s="767">
        <v>9.7849264144897496</v>
      </c>
      <c r="S345" s="767">
        <v>9.7760477066040004</v>
      </c>
      <c r="T345" s="767">
        <v>10.055270195007299</v>
      </c>
      <c r="U345" s="767">
        <v>10.193024635314901</v>
      </c>
      <c r="V345" s="767">
        <v>10.610521316528301</v>
      </c>
      <c r="W345" s="767">
        <v>11.20911693573</v>
      </c>
      <c r="X345" s="767">
        <v>11.9389839172363</v>
      </c>
      <c r="Y345" s="767">
        <v>12.519255638122599</v>
      </c>
      <c r="Z345" s="767">
        <v>13.197782516479499</v>
      </c>
    </row>
    <row r="346" spans="1:70">
      <c r="A346" s="765" t="s">
        <v>622</v>
      </c>
      <c r="B346" s="767">
        <v>1.6900001764297501</v>
      </c>
      <c r="C346" s="767">
        <v>1.7800002098083501</v>
      </c>
      <c r="D346" s="767">
        <v>1.97352075576782</v>
      </c>
      <c r="E346" s="767">
        <v>2.0458421707153298</v>
      </c>
      <c r="F346" s="767">
        <v>1.9325078725814799</v>
      </c>
      <c r="G346" s="767">
        <v>1.9669165611267101</v>
      </c>
      <c r="H346" s="767">
        <v>1.97483730316162</v>
      </c>
      <c r="I346" s="767">
        <v>2.0363006591796902</v>
      </c>
      <c r="J346" s="767">
        <v>2.1044862270355198</v>
      </c>
      <c r="K346" s="767">
        <v>2.15470170974731</v>
      </c>
      <c r="L346" s="767">
        <v>2.2153303623199498</v>
      </c>
      <c r="M346" s="767">
        <v>2.2768745422363299</v>
      </c>
      <c r="N346" s="767">
        <v>2.3487181663513201</v>
      </c>
      <c r="O346" s="767">
        <v>2.4114518165588401</v>
      </c>
      <c r="P346" s="767">
        <v>2.4841165542602499</v>
      </c>
      <c r="Q346" s="767">
        <v>2.5551335811614999</v>
      </c>
      <c r="R346" s="767">
        <v>2.63751268386841</v>
      </c>
      <c r="S346" s="767">
        <v>2.7085535526275599</v>
      </c>
      <c r="T346" s="767">
        <v>2.7758009433746298</v>
      </c>
      <c r="U346" s="767">
        <v>2.84079241752625</v>
      </c>
      <c r="V346" s="767">
        <v>2.9094073772430402</v>
      </c>
      <c r="W346" s="767">
        <v>2.9860992431640598</v>
      </c>
      <c r="X346" s="767">
        <v>3.0685904026031499</v>
      </c>
      <c r="Y346" s="767">
        <v>3.1531631946563698</v>
      </c>
      <c r="Z346" s="767">
        <v>3.23557353019714</v>
      </c>
    </row>
    <row r="348" spans="1:70">
      <c r="A348" s="765" t="s">
        <v>623</v>
      </c>
    </row>
    <row r="349" spans="1:70">
      <c r="A349" s="765" t="s">
        <v>607</v>
      </c>
      <c r="B349" s="767">
        <v>15.246436119079601</v>
      </c>
      <c r="C349" s="767">
        <v>18.5313529968262</v>
      </c>
      <c r="D349" s="767">
        <v>20.134397506713899</v>
      </c>
      <c r="E349" s="767">
        <v>16.9350070953369</v>
      </c>
      <c r="F349" s="767">
        <v>16.912326812744102</v>
      </c>
      <c r="G349" s="767">
        <v>19.346534729003899</v>
      </c>
      <c r="H349" s="767">
        <v>21.4945392608643</v>
      </c>
      <c r="I349" s="767">
        <v>23.604782104492202</v>
      </c>
      <c r="J349" s="767">
        <v>25.696203231811499</v>
      </c>
      <c r="K349" s="767">
        <v>28.031579971313501</v>
      </c>
      <c r="L349" s="767">
        <v>29.828712463378899</v>
      </c>
      <c r="M349" s="767">
        <v>31.479301452636701</v>
      </c>
      <c r="N349" s="767">
        <v>33.231895446777301</v>
      </c>
      <c r="O349" s="767">
        <v>34.5145874023438</v>
      </c>
      <c r="P349" s="767">
        <v>35.698520660400398</v>
      </c>
      <c r="Q349" s="767">
        <v>36.883983612060497</v>
      </c>
      <c r="R349" s="767">
        <v>37.996242523193402</v>
      </c>
      <c r="S349" s="767">
        <v>39.337680816650398</v>
      </c>
      <c r="T349" s="767">
        <v>40.431327819824197</v>
      </c>
      <c r="U349" s="767">
        <v>40.7233276367188</v>
      </c>
      <c r="V349" s="767">
        <v>41.9925727844238</v>
      </c>
      <c r="W349" s="767">
        <v>43.322719573974602</v>
      </c>
      <c r="X349" s="767">
        <v>44.788909912109403</v>
      </c>
      <c r="Y349" s="767">
        <v>45.941520690917997</v>
      </c>
      <c r="Z349" s="767">
        <v>47.553462982177699</v>
      </c>
    </row>
    <row r="350" spans="1:70">
      <c r="A350" s="765" t="s">
        <v>616</v>
      </c>
      <c r="B350" s="767">
        <v>24.84494972229</v>
      </c>
      <c r="C350" s="767">
        <v>26.818180084228501</v>
      </c>
      <c r="D350" s="767">
        <v>34.822681427002003</v>
      </c>
      <c r="E350" s="767">
        <v>21.049989700317401</v>
      </c>
      <c r="F350" s="767">
        <v>19.580844879150401</v>
      </c>
      <c r="G350" s="767">
        <v>23.622909545898398</v>
      </c>
      <c r="H350" s="767">
        <v>25.881950378418001</v>
      </c>
      <c r="I350" s="767">
        <v>28.009447097778299</v>
      </c>
      <c r="J350" s="767">
        <v>30.2537937164307</v>
      </c>
      <c r="K350" s="767">
        <v>28.866632461547901</v>
      </c>
      <c r="L350" s="767">
        <v>30.4276523590088</v>
      </c>
      <c r="M350" s="767">
        <v>31.969417572021499</v>
      </c>
      <c r="N350" s="767">
        <v>32.765193939208999</v>
      </c>
      <c r="O350" s="767">
        <v>35.757926940917997</v>
      </c>
      <c r="P350" s="767">
        <v>37.577915191650398</v>
      </c>
      <c r="Q350" s="767">
        <v>38.662086486816399</v>
      </c>
      <c r="R350" s="767">
        <v>39.8419189453125</v>
      </c>
      <c r="S350" s="767">
        <v>41.092353820800803</v>
      </c>
      <c r="T350" s="767">
        <v>42.114028930664098</v>
      </c>
      <c r="U350" s="767">
        <v>42.893341064453097</v>
      </c>
      <c r="V350" s="767">
        <v>44.2104301452637</v>
      </c>
      <c r="W350" s="767">
        <v>44.896373748779297</v>
      </c>
      <c r="X350" s="767">
        <v>46.4299926757813</v>
      </c>
      <c r="Y350" s="767">
        <v>48.419319152832003</v>
      </c>
      <c r="Z350" s="767">
        <v>48.957271575927699</v>
      </c>
    </row>
    <row r="351" spans="1:70">
      <c r="A351" s="765" t="s">
        <v>617</v>
      </c>
      <c r="B351" s="767">
        <v>21.081119537353501</v>
      </c>
      <c r="C351" s="767">
        <v>22.8191947937012</v>
      </c>
      <c r="D351" s="767">
        <v>26.582485198974599</v>
      </c>
      <c r="E351" s="767">
        <v>16.308473587036101</v>
      </c>
      <c r="F351" s="767">
        <v>18.3791694641113</v>
      </c>
      <c r="G351" s="767">
        <v>21.690732955932599</v>
      </c>
      <c r="H351" s="767">
        <v>23.705785751342798</v>
      </c>
      <c r="I351" s="767">
        <v>25.446578979492202</v>
      </c>
      <c r="J351" s="767">
        <v>27.421388626098601</v>
      </c>
      <c r="K351" s="767">
        <v>29.526109695434599</v>
      </c>
      <c r="L351" s="767">
        <v>31.268815994262699</v>
      </c>
      <c r="M351" s="767">
        <v>33.090030670166001</v>
      </c>
      <c r="N351" s="767">
        <v>34.852634429931598</v>
      </c>
      <c r="O351" s="767">
        <v>36.4355278015137</v>
      </c>
      <c r="P351" s="767">
        <v>38.011890411377003</v>
      </c>
      <c r="Q351" s="767">
        <v>39.135532379150398</v>
      </c>
      <c r="R351" s="767">
        <v>40.475978851318402</v>
      </c>
      <c r="S351" s="767">
        <v>41.687484741210902</v>
      </c>
      <c r="T351" s="767">
        <v>42.675270080566399</v>
      </c>
      <c r="U351" s="767">
        <v>43.460239410400398</v>
      </c>
      <c r="V351" s="767">
        <v>44.775581359863303</v>
      </c>
      <c r="W351" s="767">
        <v>45.668975830078097</v>
      </c>
      <c r="X351" s="767">
        <v>47.250167846679702</v>
      </c>
      <c r="Y351" s="767">
        <v>49.551605224609403</v>
      </c>
      <c r="Z351" s="767">
        <v>49.978668212890597</v>
      </c>
    </row>
    <row r="352" spans="1:70">
      <c r="A352" s="765" t="s">
        <v>624</v>
      </c>
      <c r="B352" s="767">
        <v>14.844763755798301</v>
      </c>
      <c r="C352" s="767">
        <v>16.0964660644531</v>
      </c>
      <c r="D352" s="767">
        <v>22.673322677612301</v>
      </c>
      <c r="E352" s="767">
        <v>10.878761291503899</v>
      </c>
      <c r="F352" s="767">
        <v>10.805939674377401</v>
      </c>
      <c r="G352" s="767">
        <v>13.641165733337401</v>
      </c>
      <c r="H352" s="767">
        <v>15.7883806228638</v>
      </c>
      <c r="I352" s="767">
        <v>17.847295761108398</v>
      </c>
      <c r="J352" s="767">
        <v>19.768560409545898</v>
      </c>
      <c r="K352" s="767">
        <v>21.6021404266357</v>
      </c>
      <c r="L352" s="767">
        <v>23.1407794952393</v>
      </c>
      <c r="M352" s="767">
        <v>24.738756179809599</v>
      </c>
      <c r="N352" s="767">
        <v>26.200944900512699</v>
      </c>
      <c r="O352" s="767">
        <v>27.323936462402301</v>
      </c>
      <c r="P352" s="767">
        <v>28.3911018371582</v>
      </c>
      <c r="Q352" s="767">
        <v>29.343944549560501</v>
      </c>
      <c r="R352" s="767">
        <v>30.208518981933601</v>
      </c>
      <c r="S352" s="767">
        <v>31.274351119995099</v>
      </c>
      <c r="T352" s="767">
        <v>32.279064178466797</v>
      </c>
      <c r="U352" s="767">
        <v>32.661514282226598</v>
      </c>
      <c r="V352" s="767">
        <v>33.853298187255902</v>
      </c>
      <c r="W352" s="767">
        <v>34.868740081787102</v>
      </c>
      <c r="X352" s="767">
        <v>36.320652008056598</v>
      </c>
      <c r="Y352" s="767">
        <v>37.773586273193402</v>
      </c>
      <c r="Z352" s="767">
        <v>39.040420532226598</v>
      </c>
    </row>
    <row r="353" spans="1:70">
      <c r="A353" s="765" t="s">
        <v>608</v>
      </c>
      <c r="B353" s="767">
        <v>18.668458938598601</v>
      </c>
      <c r="C353" s="767">
        <v>19.9431552886963</v>
      </c>
      <c r="D353" s="767">
        <v>26.286823272705099</v>
      </c>
      <c r="E353" s="767">
        <v>15.636975288391101</v>
      </c>
      <c r="F353" s="767">
        <v>14.1092176437378</v>
      </c>
      <c r="G353" s="767">
        <v>16.902593612670898</v>
      </c>
      <c r="H353" s="767">
        <v>19.1516017913818</v>
      </c>
      <c r="I353" s="767">
        <v>21.744958877563501</v>
      </c>
      <c r="J353" s="767">
        <v>23.745824813842798</v>
      </c>
      <c r="K353" s="767">
        <v>25.478622436523398</v>
      </c>
      <c r="L353" s="767">
        <v>27.0623779296875</v>
      </c>
      <c r="M353" s="767">
        <v>28.722316741943398</v>
      </c>
      <c r="N353" s="767">
        <v>30.288469314575199</v>
      </c>
      <c r="O353" s="767">
        <v>31.560461044311499</v>
      </c>
      <c r="P353" s="767">
        <v>32.757129669189503</v>
      </c>
      <c r="Q353" s="767">
        <v>33.523193359375</v>
      </c>
      <c r="R353" s="767">
        <v>34.769081115722699</v>
      </c>
      <c r="S353" s="767">
        <v>35.882114410400398</v>
      </c>
      <c r="T353" s="767">
        <v>36.791599273681598</v>
      </c>
      <c r="U353" s="767">
        <v>37.5217895507813</v>
      </c>
      <c r="V353" s="767">
        <v>38.800697326660199</v>
      </c>
      <c r="W353" s="767">
        <v>39.467311859130902</v>
      </c>
      <c r="X353" s="767">
        <v>40.997920989990199</v>
      </c>
      <c r="Y353" s="767">
        <v>42.937191009521499</v>
      </c>
      <c r="Z353" s="767">
        <v>43.857540130615199</v>
      </c>
    </row>
    <row r="354" spans="1:70">
      <c r="A354" s="765" t="s">
        <v>609</v>
      </c>
      <c r="B354" s="767">
        <v>8.2036781311035192</v>
      </c>
      <c r="C354" s="767">
        <v>9.3672227859497106</v>
      </c>
      <c r="D354" s="767">
        <v>14.4897508621216</v>
      </c>
      <c r="E354" s="767">
        <v>6.7128052711486799</v>
      </c>
      <c r="F354" s="767">
        <v>7.1757683753967303</v>
      </c>
      <c r="G354" s="767">
        <v>9.6609458923339808</v>
      </c>
      <c r="H354" s="767">
        <v>11.544206619262701</v>
      </c>
      <c r="I354" s="767">
        <v>13.370221138000501</v>
      </c>
      <c r="J354" s="767">
        <v>14.996021270751999</v>
      </c>
      <c r="K354" s="767">
        <v>16.898206710815401</v>
      </c>
      <c r="L354" s="767">
        <v>18.207862854003899</v>
      </c>
      <c r="M354" s="767">
        <v>19.411674499511701</v>
      </c>
      <c r="N354" s="767">
        <v>20.6822299957275</v>
      </c>
      <c r="O354" s="767">
        <v>21.516969680786101</v>
      </c>
      <c r="P354" s="767">
        <v>22.335527420043899</v>
      </c>
      <c r="Q354" s="767">
        <v>23.2407321929932</v>
      </c>
      <c r="R354" s="767">
        <v>23.916133880615199</v>
      </c>
      <c r="S354" s="767">
        <v>24.6660556793213</v>
      </c>
      <c r="T354" s="767">
        <v>25.322589874267599</v>
      </c>
      <c r="U354" s="767">
        <v>25.500698089599599</v>
      </c>
      <c r="V354" s="767">
        <v>26.3019409179688</v>
      </c>
      <c r="W354" s="767">
        <v>27.270561218261701</v>
      </c>
      <c r="X354" s="767">
        <v>28.332614898681602</v>
      </c>
      <c r="Y354" s="767">
        <v>29.2080383300781</v>
      </c>
      <c r="Z354" s="767">
        <v>30.365930557251001</v>
      </c>
    </row>
    <row r="355" spans="1:70">
      <c r="A355" s="765" t="s">
        <v>508</v>
      </c>
      <c r="B355" s="767">
        <v>9.2523355484008807</v>
      </c>
      <c r="C355" s="767">
        <v>9.0060253143310494</v>
      </c>
      <c r="D355" s="767">
        <v>10.405486106872599</v>
      </c>
      <c r="E355" s="767">
        <v>6.98002004623413</v>
      </c>
      <c r="F355" s="767">
        <v>7.7092094421386701</v>
      </c>
      <c r="G355" s="767">
        <v>8.12390232086182</v>
      </c>
      <c r="H355" s="767">
        <v>8.2825136184692401</v>
      </c>
      <c r="I355" s="767">
        <v>8.4401350021362305</v>
      </c>
      <c r="J355" s="767">
        <v>8.7418422698974592</v>
      </c>
      <c r="K355" s="767">
        <v>9.1197204589843803</v>
      </c>
      <c r="L355" s="767">
        <v>9.5538625717163104</v>
      </c>
      <c r="M355" s="767">
        <v>10.0050344467163</v>
      </c>
      <c r="N355" s="767">
        <v>10.4820852279663</v>
      </c>
      <c r="O355" s="767">
        <v>11.0441122055054</v>
      </c>
      <c r="P355" s="767">
        <v>11.7092485427856</v>
      </c>
      <c r="Q355" s="767">
        <v>12.280260086059601</v>
      </c>
      <c r="R355" s="767">
        <v>12.668963432311999</v>
      </c>
      <c r="S355" s="767">
        <v>12.670117378234901</v>
      </c>
      <c r="T355" s="767">
        <v>12.917200088501</v>
      </c>
      <c r="U355" s="767">
        <v>13.0803108215332</v>
      </c>
      <c r="V355" s="767">
        <v>13.574273109436</v>
      </c>
      <c r="W355" s="767">
        <v>14.23717212677</v>
      </c>
      <c r="X355" s="767">
        <v>15.0462560653687</v>
      </c>
      <c r="Y355" s="767">
        <v>15.740474700927701</v>
      </c>
      <c r="Z355" s="767">
        <v>16.4913539886475</v>
      </c>
    </row>
    <row r="356" spans="1:70" ht="14" thickBot="1">
      <c r="A356" s="765" t="s">
        <v>612</v>
      </c>
      <c r="B356" s="767">
        <v>3.53999996185303</v>
      </c>
      <c r="C356" s="767">
        <v>3.6099998950958301</v>
      </c>
      <c r="D356" s="767">
        <v>4.1449666023254403</v>
      </c>
      <c r="E356" s="767">
        <v>4.1784791946411097</v>
      </c>
      <c r="F356" s="767">
        <v>4.1485314369201696</v>
      </c>
      <c r="G356" s="767">
        <v>4.3175525665283203</v>
      </c>
      <c r="H356" s="767">
        <v>4.44484186172485</v>
      </c>
      <c r="I356" s="767">
        <v>4.5821456909179696</v>
      </c>
      <c r="J356" s="767">
        <v>4.7206311225891104</v>
      </c>
      <c r="K356" s="767">
        <v>4.8563599586486799</v>
      </c>
      <c r="L356" s="767">
        <v>4.9913563728332502</v>
      </c>
      <c r="M356" s="767">
        <v>5.1233406066894496</v>
      </c>
      <c r="N356" s="767">
        <v>5.2680139541626003</v>
      </c>
      <c r="O356" s="767">
        <v>5.4137320518493697</v>
      </c>
      <c r="P356" s="767">
        <v>5.5743689537048304</v>
      </c>
      <c r="Q356" s="767">
        <v>5.7906579971313503</v>
      </c>
      <c r="R356" s="767">
        <v>6.0209679603576696</v>
      </c>
      <c r="S356" s="767">
        <v>6.20045709609985</v>
      </c>
      <c r="T356" s="767">
        <v>6.3775997161865199</v>
      </c>
      <c r="U356" s="767">
        <v>6.5161404609680202</v>
      </c>
      <c r="V356" s="767">
        <v>6.6299972534179696</v>
      </c>
      <c r="W356" s="767">
        <v>6.7667918205261204</v>
      </c>
      <c r="X356" s="767">
        <v>6.88553714752197</v>
      </c>
      <c r="Y356" s="767">
        <v>6.9704546928405797</v>
      </c>
      <c r="Z356" s="767">
        <v>7.0137753486633301</v>
      </c>
    </row>
    <row r="357" spans="1:70" ht="14" thickBot="1">
      <c r="A357" s="765" t="s">
        <v>625</v>
      </c>
      <c r="B357" s="767">
        <v>1.73100674152374</v>
      </c>
      <c r="C357" s="767">
        <v>1.81885313987732</v>
      </c>
      <c r="D357" s="767">
        <v>2.01088166236877</v>
      </c>
      <c r="E357" s="767">
        <v>2.0711190700531001</v>
      </c>
      <c r="F357" s="767">
        <v>1.96068322658539</v>
      </c>
      <c r="G357" s="767">
        <v>1.99932932853699</v>
      </c>
      <c r="H357" s="767">
        <v>2.0096416473388699</v>
      </c>
      <c r="I357" s="767">
        <v>2.07272601127625</v>
      </c>
      <c r="J357" s="767">
        <v>2.1420636177063002</v>
      </c>
      <c r="K357" s="767">
        <v>2.1925818920135498</v>
      </c>
      <c r="L357" s="767">
        <v>2.2534883022308301</v>
      </c>
      <c r="M357" s="767">
        <v>2.3155770301818799</v>
      </c>
      <c r="N357" s="767">
        <v>2.38794946670532</v>
      </c>
      <c r="O357" s="767">
        <v>2.4510562419891402</v>
      </c>
      <c r="P357" s="767">
        <v>2.52451372146606</v>
      </c>
      <c r="Q357" s="767">
        <v>2.5963439941406299</v>
      </c>
      <c r="R357" s="767">
        <v>2.6790707111358598</v>
      </c>
      <c r="S357" s="767">
        <v>2.7507226467132599</v>
      </c>
      <c r="T357" s="767">
        <v>2.8189043998718302</v>
      </c>
      <c r="U357" s="767">
        <v>2.8845274448394802</v>
      </c>
      <c r="V357" s="767">
        <v>2.9543473720550502</v>
      </c>
      <c r="W357" s="767">
        <v>3.0319309234619101</v>
      </c>
      <c r="X357" s="767">
        <v>3.1151678562164302</v>
      </c>
      <c r="Y357" s="767">
        <v>3.20047926902771</v>
      </c>
      <c r="Z357" s="767">
        <v>3.2839629650115998</v>
      </c>
      <c r="AA357" s="261">
        <f>Z527+($AI$357-$Y$527)/10</f>
        <v>8.0623037763536161</v>
      </c>
      <c r="AB357" s="261">
        <f t="shared" ref="AB357:AH357" si="21">AA357+($AI$357-$Y$527)/10</f>
        <v>8.1146083992868938</v>
      </c>
      <c r="AC357" s="261">
        <f t="shared" si="21"/>
        <v>8.1669130222201716</v>
      </c>
      <c r="AD357" s="261">
        <f t="shared" si="21"/>
        <v>8.2192176451534493</v>
      </c>
      <c r="AE357" s="261">
        <f t="shared" si="21"/>
        <v>8.2715222680867271</v>
      </c>
      <c r="AF357" s="261">
        <f t="shared" si="21"/>
        <v>8.3238268910200048</v>
      </c>
      <c r="AG357" s="261">
        <f t="shared" si="21"/>
        <v>8.3761315139532826</v>
      </c>
      <c r="AH357" s="261">
        <f t="shared" si="21"/>
        <v>8.4284361368865603</v>
      </c>
      <c r="AI357" s="262">
        <f>T527*$E$742</f>
        <v>8.4807407598198452</v>
      </c>
      <c r="AJ357" s="261">
        <f>AI357+($AX$357-$AI$357)/15</f>
        <v>8.5767365137369804</v>
      </c>
      <c r="AK357" s="261">
        <f t="shared" ref="AK357:AW357" si="22">AJ357+($AX$357-$AI$357)/15</f>
        <v>8.6727322676541156</v>
      </c>
      <c r="AL357" s="261">
        <f t="shared" si="22"/>
        <v>8.7687280215712509</v>
      </c>
      <c r="AM357" s="261">
        <f t="shared" si="22"/>
        <v>8.8647237754883861</v>
      </c>
      <c r="AN357" s="261">
        <f t="shared" si="22"/>
        <v>8.9607195294055213</v>
      </c>
      <c r="AO357" s="261">
        <f t="shared" si="22"/>
        <v>9.0567152833226565</v>
      </c>
      <c r="AP357" s="261">
        <f t="shared" si="22"/>
        <v>9.1527110372397917</v>
      </c>
      <c r="AQ357" s="261">
        <f t="shared" si="22"/>
        <v>9.248706791156927</v>
      </c>
      <c r="AR357" s="261">
        <f t="shared" si="22"/>
        <v>9.3447025450740622</v>
      </c>
      <c r="AS357" s="261">
        <f t="shared" si="22"/>
        <v>9.4406982989911974</v>
      </c>
      <c r="AT357" s="261">
        <f t="shared" si="22"/>
        <v>9.5366940529083326</v>
      </c>
      <c r="AU357" s="261">
        <f t="shared" si="22"/>
        <v>9.6326898068254678</v>
      </c>
      <c r="AV357" s="261">
        <f t="shared" si="22"/>
        <v>9.728685560742603</v>
      </c>
      <c r="AW357" s="261">
        <f t="shared" si="22"/>
        <v>9.8246813146597383</v>
      </c>
      <c r="AX357" s="262">
        <f>AI357*$B$742</f>
        <v>9.9206770685768717</v>
      </c>
      <c r="AY357" s="261">
        <f>AX357+($BM$357-$AX$357)/15</f>
        <v>10.018909165246043</v>
      </c>
      <c r="AZ357" s="261">
        <f t="shared" ref="AZ357:BL357" si="23">AY357+($BM$357-$AX$357)/15</f>
        <v>10.117141261915215</v>
      </c>
      <c r="BA357" s="261">
        <f t="shared" si="23"/>
        <v>10.215373358584387</v>
      </c>
      <c r="BB357" s="261">
        <f t="shared" si="23"/>
        <v>10.313605455253558</v>
      </c>
      <c r="BC357" s="261">
        <f t="shared" si="23"/>
        <v>10.41183755192273</v>
      </c>
      <c r="BD357" s="261">
        <f t="shared" si="23"/>
        <v>10.510069648591902</v>
      </c>
      <c r="BE357" s="261">
        <f t="shared" si="23"/>
        <v>10.608301745261073</v>
      </c>
      <c r="BF357" s="261">
        <f t="shared" si="23"/>
        <v>10.706533841930245</v>
      </c>
      <c r="BG357" s="261">
        <f t="shared" si="23"/>
        <v>10.804765938599417</v>
      </c>
      <c r="BH357" s="261">
        <f t="shared" si="23"/>
        <v>10.902998035268588</v>
      </c>
      <c r="BI357" s="261">
        <f t="shared" si="23"/>
        <v>11.00123013193776</v>
      </c>
      <c r="BJ357" s="261">
        <f t="shared" si="23"/>
        <v>11.099462228606932</v>
      </c>
      <c r="BK357" s="261">
        <f t="shared" si="23"/>
        <v>11.197694325276103</v>
      </c>
      <c r="BL357" s="261">
        <f t="shared" si="23"/>
        <v>11.295926421945275</v>
      </c>
      <c r="BM357" s="262">
        <f>AX357*$C$742</f>
        <v>11.394158518614441</v>
      </c>
      <c r="BN357" s="261">
        <f>BM357+($BR$357-$BM$357)/5</f>
        <v>11.506980665059427</v>
      </c>
      <c r="BO357" s="261">
        <f>BN357+($BR$357-$BM$357)/5</f>
        <v>11.619802811504412</v>
      </c>
      <c r="BP357" s="261">
        <f>BO357+($BR$357-$BM$357)/5</f>
        <v>11.732624957949398</v>
      </c>
      <c r="BQ357" s="261">
        <f>BP357+($BR$357-$BM$357)/5</f>
        <v>11.845447104394383</v>
      </c>
      <c r="BR357" s="262">
        <f>BM357*$D$742</f>
        <v>11.95826925083937</v>
      </c>
    </row>
    <row r="358" spans="1:70" ht="14" thickBot="1">
      <c r="A358" s="765" t="s">
        <v>614</v>
      </c>
      <c r="B358" s="767">
        <v>0</v>
      </c>
      <c r="C358" s="767">
        <v>0</v>
      </c>
      <c r="D358" s="767">
        <v>0</v>
      </c>
      <c r="E358" s="767">
        <v>0</v>
      </c>
      <c r="F358" s="767">
        <v>0</v>
      </c>
      <c r="G358" s="767">
        <v>1.5889266729354901</v>
      </c>
      <c r="H358" s="767">
        <v>1.46094393730164</v>
      </c>
      <c r="I358" s="767">
        <v>1.28843116760254</v>
      </c>
      <c r="J358" s="767">
        <v>1.5101318359375</v>
      </c>
      <c r="K358" s="767">
        <v>1.50810551643372</v>
      </c>
      <c r="L358" s="767">
        <v>1.5213859081268299</v>
      </c>
      <c r="M358" s="767">
        <v>1.53951179981232</v>
      </c>
      <c r="N358" s="767">
        <v>1.58338570594788</v>
      </c>
      <c r="O358" s="767">
        <v>1.63723039627075</v>
      </c>
      <c r="P358" s="767">
        <v>1.71289122104645</v>
      </c>
      <c r="Q358" s="767">
        <v>1.76114201545715</v>
      </c>
      <c r="R358" s="767">
        <v>1.8119050264358501</v>
      </c>
      <c r="S358" s="767">
        <v>1.8629466295242301</v>
      </c>
      <c r="T358" s="767">
        <v>1.9169825315475499</v>
      </c>
      <c r="U358" s="767">
        <v>1.9466364383697501</v>
      </c>
      <c r="V358" s="767">
        <v>1.9911848306655899</v>
      </c>
      <c r="W358" s="767">
        <v>2.0416746139526398</v>
      </c>
      <c r="X358" s="767">
        <v>2.09020328521729</v>
      </c>
      <c r="Y358" s="767">
        <v>2.1373581886291499</v>
      </c>
      <c r="Z358" s="767">
        <v>2.1847438812255899</v>
      </c>
      <c r="AA358" s="263">
        <f>Z528+($AI$358-$Y$528)/10</f>
        <v>22.224617194901626</v>
      </c>
      <c r="AB358" s="263">
        <f t="shared" ref="AB358:AH358" si="24">AA358+($AI$358-$Y$528)/10</f>
        <v>22.135413455621489</v>
      </c>
      <c r="AC358" s="263">
        <f t="shared" si="24"/>
        <v>22.046209716341352</v>
      </c>
      <c r="AD358" s="263">
        <f t="shared" si="24"/>
        <v>21.957005977061215</v>
      </c>
      <c r="AE358" s="263">
        <f t="shared" si="24"/>
        <v>21.867802237781078</v>
      </c>
      <c r="AF358" s="263">
        <f t="shared" si="24"/>
        <v>21.778598498500941</v>
      </c>
      <c r="AG358" s="263">
        <f t="shared" si="24"/>
        <v>21.689394759220804</v>
      </c>
      <c r="AH358" s="263">
        <f t="shared" si="24"/>
        <v>21.600191019940667</v>
      </c>
      <c r="AI358" s="264">
        <f>T528*$E$745</f>
        <v>21.510987280660522</v>
      </c>
      <c r="AJ358" s="263">
        <f>AI358+($AX$358-$AI$358)/15</f>
        <v>21.502530865644818</v>
      </c>
      <c r="AK358" s="263">
        <f t="shared" ref="AK358:AW358" si="25">AJ358+($AX$358-$AI$358)/15</f>
        <v>21.494074450629114</v>
      </c>
      <c r="AL358" s="263">
        <f t="shared" si="25"/>
        <v>21.48561803561341</v>
      </c>
      <c r="AM358" s="263">
        <f t="shared" si="25"/>
        <v>21.477161620597705</v>
      </c>
      <c r="AN358" s="263">
        <f t="shared" si="25"/>
        <v>21.468705205582001</v>
      </c>
      <c r="AO358" s="263">
        <f t="shared" si="25"/>
        <v>21.460248790566297</v>
      </c>
      <c r="AP358" s="263">
        <f t="shared" si="25"/>
        <v>21.451792375550593</v>
      </c>
      <c r="AQ358" s="263">
        <f t="shared" si="25"/>
        <v>21.443335960534888</v>
      </c>
      <c r="AR358" s="263">
        <f t="shared" si="25"/>
        <v>21.434879545519184</v>
      </c>
      <c r="AS358" s="263">
        <f t="shared" si="25"/>
        <v>21.42642313050348</v>
      </c>
      <c r="AT358" s="263">
        <f t="shared" si="25"/>
        <v>21.417966715487776</v>
      </c>
      <c r="AU358" s="263">
        <f t="shared" si="25"/>
        <v>21.409510300472071</v>
      </c>
      <c r="AV358" s="263">
        <f t="shared" si="25"/>
        <v>21.401053885456367</v>
      </c>
      <c r="AW358" s="263">
        <f t="shared" si="25"/>
        <v>21.392597470440663</v>
      </c>
      <c r="AX358" s="264">
        <f>AI358*$B$745</f>
        <v>21.384141055424955</v>
      </c>
      <c r="AY358" s="263">
        <f>AX358+($BM$358-$AX$358)/15</f>
        <v>21.397725276976207</v>
      </c>
      <c r="AZ358" s="263">
        <f t="shared" ref="AZ358:BL358" si="26">AY358+($BM$358-$AX$358)/15</f>
        <v>21.411309498527459</v>
      </c>
      <c r="BA358" s="263">
        <f t="shared" si="26"/>
        <v>21.42489372007871</v>
      </c>
      <c r="BB358" s="263">
        <f t="shared" si="26"/>
        <v>21.438477941629962</v>
      </c>
      <c r="BC358" s="263">
        <f t="shared" si="26"/>
        <v>21.452062163181214</v>
      </c>
      <c r="BD358" s="263">
        <f t="shared" si="26"/>
        <v>21.465646384732466</v>
      </c>
      <c r="BE358" s="263">
        <f t="shared" si="26"/>
        <v>21.479230606283718</v>
      </c>
      <c r="BF358" s="263">
        <f t="shared" si="26"/>
        <v>21.49281482783497</v>
      </c>
      <c r="BG358" s="263">
        <f t="shared" si="26"/>
        <v>21.506399049386221</v>
      </c>
      <c r="BH358" s="263">
        <f t="shared" si="26"/>
        <v>21.519983270937473</v>
      </c>
      <c r="BI358" s="263">
        <f t="shared" si="26"/>
        <v>21.533567492488725</v>
      </c>
      <c r="BJ358" s="263">
        <f t="shared" si="26"/>
        <v>21.547151714039977</v>
      </c>
      <c r="BK358" s="263">
        <f t="shared" si="26"/>
        <v>21.560735935591229</v>
      </c>
      <c r="BL358" s="263">
        <f t="shared" si="26"/>
        <v>21.574320157142481</v>
      </c>
      <c r="BM358" s="264">
        <f>AX358*$C$745</f>
        <v>21.587904378693722</v>
      </c>
      <c r="BN358" s="263">
        <f>BM358+($BR$358-$BM$358)/5</f>
        <v>21.601618040381013</v>
      </c>
      <c r="BO358" s="263">
        <f>BN358+($BR$358-$BM$358)/5</f>
        <v>21.615331702068303</v>
      </c>
      <c r="BP358" s="263">
        <f>BO358+($BR$358-$BM$358)/5</f>
        <v>21.629045363755594</v>
      </c>
      <c r="BQ358" s="263">
        <f>BP358+($BR$358-$BM$358)/5</f>
        <v>21.642759025442885</v>
      </c>
      <c r="BR358" s="264">
        <f>BM358*$D$745</f>
        <v>21.656472687130176</v>
      </c>
    </row>
    <row r="359" spans="1:70">
      <c r="A359" s="765" t="s">
        <v>477</v>
      </c>
      <c r="B359" s="767">
        <v>25.973251342773398</v>
      </c>
      <c r="C359" s="767">
        <v>26.680915832519499</v>
      </c>
      <c r="D359" s="767">
        <v>28.4103908538818</v>
      </c>
      <c r="E359" s="767">
        <v>27.544679641723601</v>
      </c>
      <c r="F359" s="767">
        <v>25.191349029541001</v>
      </c>
      <c r="G359" s="767">
        <v>26.348068237304702</v>
      </c>
      <c r="H359" s="767">
        <v>26.6303806304932</v>
      </c>
      <c r="I359" s="767">
        <v>27.154542922973601</v>
      </c>
      <c r="J359" s="767">
        <v>28.002742767333999</v>
      </c>
      <c r="K359" s="767">
        <v>28.757371902465799</v>
      </c>
      <c r="L359" s="767">
        <v>29.780685424804702</v>
      </c>
      <c r="M359" s="767">
        <v>30.870384216308601</v>
      </c>
      <c r="N359" s="767">
        <v>32.039138793945298</v>
      </c>
      <c r="O359" s="767">
        <v>33.131908416747997</v>
      </c>
      <c r="P359" s="767">
        <v>34.493354797363303</v>
      </c>
      <c r="Q359" s="767">
        <v>35.847507476806598</v>
      </c>
      <c r="R359" s="767">
        <v>37.095943450927699</v>
      </c>
      <c r="S359" s="767">
        <v>37.945499420166001</v>
      </c>
      <c r="T359" s="767">
        <v>38.854724884033203</v>
      </c>
      <c r="U359" s="767">
        <v>39.667263031005902</v>
      </c>
      <c r="V359" s="767">
        <v>40.613765716552699</v>
      </c>
      <c r="W359" s="767">
        <v>41.989593505859403</v>
      </c>
      <c r="X359" s="767">
        <v>43.556324005127003</v>
      </c>
      <c r="Y359" s="767">
        <v>45.098350524902301</v>
      </c>
      <c r="Z359" s="767">
        <v>46.616588592529297</v>
      </c>
    </row>
    <row r="361" spans="1:70">
      <c r="A361" s="765" t="s">
        <v>511</v>
      </c>
    </row>
    <row r="362" spans="1:70">
      <c r="A362" s="765" t="s">
        <v>725</v>
      </c>
    </row>
    <row r="363" spans="1:70">
      <c r="A363" s="765" t="s">
        <v>471</v>
      </c>
      <c r="B363" s="767">
        <v>225.03859096661196</v>
      </c>
      <c r="C363" s="767">
        <v>238.40081787109398</v>
      </c>
      <c r="D363" s="767">
        <v>255.49913625772319</v>
      </c>
      <c r="E363" s="767">
        <v>230.9929746666815</v>
      </c>
      <c r="F363" s="767">
        <v>223.41247611699868</v>
      </c>
      <c r="G363" s="767">
        <v>235.2892736225177</v>
      </c>
      <c r="H363" s="767">
        <v>241.6920712265439</v>
      </c>
      <c r="I363" s="767">
        <v>246.56659612211084</v>
      </c>
      <c r="J363" s="767">
        <v>255.55094332875294</v>
      </c>
      <c r="K363" s="767">
        <v>264.57905396662414</v>
      </c>
      <c r="L363" s="767">
        <v>275.89920726734971</v>
      </c>
      <c r="M363" s="767">
        <v>287.49516661999758</v>
      </c>
      <c r="N363" s="767">
        <v>300.32909110683801</v>
      </c>
      <c r="O363" s="767">
        <v>313.11554742582229</v>
      </c>
      <c r="P363" s="767">
        <v>328.18192619930682</v>
      </c>
      <c r="Q363" s="767">
        <v>341.8235015289352</v>
      </c>
      <c r="R363" s="767">
        <v>355.09694320426638</v>
      </c>
      <c r="S363" s="767">
        <v>365.44612056098629</v>
      </c>
      <c r="T363" s="767">
        <v>378.29315112389759</v>
      </c>
      <c r="U363" s="767">
        <v>388.37155634393389</v>
      </c>
      <c r="V363" s="767">
        <v>402.59953615177363</v>
      </c>
      <c r="W363" s="767">
        <v>419.77981120164446</v>
      </c>
      <c r="X363" s="767">
        <v>438.87123825530841</v>
      </c>
      <c r="Y363" s="767">
        <v>455.24534715742953</v>
      </c>
      <c r="Z363" s="767">
        <v>473.03338245571979</v>
      </c>
    </row>
    <row r="364" spans="1:70">
      <c r="A364" s="765" t="s">
        <v>478</v>
      </c>
      <c r="B364" s="767">
        <v>165.81601818957134</v>
      </c>
      <c r="C364" s="767">
        <v>172.89260864257801</v>
      </c>
      <c r="D364" s="767">
        <v>187.38257557629601</v>
      </c>
      <c r="E364" s="767">
        <v>169.14737359110225</v>
      </c>
      <c r="F364" s="767">
        <v>163.07263216137929</v>
      </c>
      <c r="G364" s="767">
        <v>172.91593328178766</v>
      </c>
      <c r="H364" s="767">
        <v>176.9297785804325</v>
      </c>
      <c r="I364" s="767">
        <v>182.88131988639063</v>
      </c>
      <c r="J364" s="767">
        <v>191.23749630338142</v>
      </c>
      <c r="K364" s="767">
        <v>199.89645601118545</v>
      </c>
      <c r="L364" s="767">
        <v>210.36479941888081</v>
      </c>
      <c r="M364" s="767">
        <v>221.36240217535854</v>
      </c>
      <c r="N364" s="767">
        <v>233.19080564556924</v>
      </c>
      <c r="O364" s="767">
        <v>244.70314616363081</v>
      </c>
      <c r="P364" s="767">
        <v>258.1051490216438</v>
      </c>
      <c r="Q364" s="767">
        <v>271.26123343313407</v>
      </c>
      <c r="R364" s="767">
        <v>283.50995205362011</v>
      </c>
      <c r="S364" s="767">
        <v>292.88584879534454</v>
      </c>
      <c r="T364" s="767">
        <v>303.70259464185926</v>
      </c>
      <c r="U364" s="767">
        <v>313.58347456242666</v>
      </c>
      <c r="V364" s="767">
        <v>325.89089746765683</v>
      </c>
      <c r="W364" s="767">
        <v>341.11550736031069</v>
      </c>
      <c r="X364" s="767">
        <v>358.21009848865214</v>
      </c>
      <c r="Y364" s="767">
        <v>374.9131546581271</v>
      </c>
      <c r="Z364" s="767">
        <v>392.1016075075479</v>
      </c>
    </row>
    <row r="365" spans="1:70" ht="14" thickBot="1">
      <c r="A365" s="765" t="s">
        <v>513</v>
      </c>
      <c r="B365" s="767">
        <v>210.41252056252281</v>
      </c>
      <c r="C365" s="767">
        <v>226.88609313964801</v>
      </c>
      <c r="D365" s="767">
        <v>254.13497179068762</v>
      </c>
      <c r="E365" s="767">
        <v>187.2100922767749</v>
      </c>
      <c r="F365" s="767">
        <v>157.4270874391178</v>
      </c>
      <c r="G365" s="767">
        <v>180.83829470805441</v>
      </c>
      <c r="H365" s="767">
        <v>198.41655822177904</v>
      </c>
      <c r="I365" s="767">
        <v>216.64201952030527</v>
      </c>
      <c r="J365" s="767">
        <v>228.79975664936245</v>
      </c>
      <c r="K365" s="767">
        <v>241.15463361452254</v>
      </c>
      <c r="L365" s="767">
        <v>252.64480203410886</v>
      </c>
      <c r="M365" s="767">
        <v>265.1637238738445</v>
      </c>
      <c r="N365" s="767">
        <v>278.29776899368039</v>
      </c>
      <c r="O365" s="767">
        <v>289.61773721654419</v>
      </c>
      <c r="P365" s="767">
        <v>303.56832242347855</v>
      </c>
      <c r="Q365" s="767">
        <v>314.41390898844122</v>
      </c>
      <c r="R365" s="767">
        <v>323.63277263436424</v>
      </c>
      <c r="S365" s="767">
        <v>331.42426143912343</v>
      </c>
      <c r="T365" s="767">
        <v>339.57307272400601</v>
      </c>
      <c r="U365" s="767">
        <v>343.93727888891527</v>
      </c>
      <c r="V365" s="767">
        <v>351.82746805051073</v>
      </c>
      <c r="W365" s="767">
        <v>360.73339056833169</v>
      </c>
      <c r="X365" s="767">
        <v>371.92375563686846</v>
      </c>
      <c r="Y365" s="767">
        <v>381.22301587849751</v>
      </c>
      <c r="Z365" s="767">
        <v>389.10731115707301</v>
      </c>
    </row>
    <row r="366" spans="1:70" ht="14" thickBot="1">
      <c r="A366" s="765" t="s">
        <v>485</v>
      </c>
      <c r="B366" s="767">
        <v>549.81888270324475</v>
      </c>
      <c r="C366" s="767">
        <v>596.84759521484398</v>
      </c>
      <c r="D366" s="767">
        <v>708.90187629235277</v>
      </c>
      <c r="E366" s="767">
        <v>406.38667462869051</v>
      </c>
      <c r="F366" s="767">
        <v>447.16295305198071</v>
      </c>
      <c r="G366" s="767">
        <v>542.65678113398656</v>
      </c>
      <c r="H366" s="767">
        <v>604.00010341071868</v>
      </c>
      <c r="I366" s="767">
        <v>661.06483901631009</v>
      </c>
      <c r="J366" s="767">
        <v>714.35686387994281</v>
      </c>
      <c r="K366" s="767">
        <v>764.16924059162022</v>
      </c>
      <c r="L366" s="767">
        <v>805.13331786340132</v>
      </c>
      <c r="M366" s="767">
        <v>850.39970498506295</v>
      </c>
      <c r="N366" s="767">
        <v>892.06783074940802</v>
      </c>
      <c r="O366" s="767">
        <v>929.55049698437085</v>
      </c>
      <c r="P366" s="767">
        <v>964.20679928883487</v>
      </c>
      <c r="Q366" s="767">
        <v>990.06920191633094</v>
      </c>
      <c r="R366" s="767">
        <v>1016.1557534719609</v>
      </c>
      <c r="S366" s="767">
        <v>1054.8326731961108</v>
      </c>
      <c r="T366" s="767">
        <v>1091.2729592511287</v>
      </c>
      <c r="U366" s="767">
        <v>1118.0349113947391</v>
      </c>
      <c r="V366" s="767">
        <v>1161.085260138974</v>
      </c>
      <c r="W366" s="767">
        <v>1181.9301954596156</v>
      </c>
      <c r="X366" s="767">
        <v>1232.4560893451367</v>
      </c>
      <c r="Y366" s="767">
        <v>1290.1595195386233</v>
      </c>
      <c r="Z366" s="767">
        <v>1322.0136898683704</v>
      </c>
      <c r="AA366" s="261">
        <f>Z536+($AI$366-$Y$536)/10</f>
        <v>5.5334229650972304</v>
      </c>
      <c r="AB366" s="261">
        <f t="shared" ref="AB366:AH366" si="27">AA366+($AI$366-$Y$536)/10</f>
        <v>5.5639341150042458</v>
      </c>
      <c r="AC366" s="261">
        <f t="shared" si="27"/>
        <v>5.5944452649112613</v>
      </c>
      <c r="AD366" s="261">
        <f t="shared" si="27"/>
        <v>5.6249564148182767</v>
      </c>
      <c r="AE366" s="261">
        <f t="shared" si="27"/>
        <v>5.6554675647252921</v>
      </c>
      <c r="AF366" s="261">
        <f t="shared" si="27"/>
        <v>5.6859787146323075</v>
      </c>
      <c r="AG366" s="261">
        <f t="shared" si="27"/>
        <v>5.716489864539323</v>
      </c>
      <c r="AH366" s="261">
        <f t="shared" si="27"/>
        <v>5.7470010144463384</v>
      </c>
      <c r="AI366" s="262">
        <f>T536*$E$742</f>
        <v>5.7775121643533494</v>
      </c>
      <c r="AJ366" s="261">
        <f>AI366+($AX$366-$AI$366)/15</f>
        <v>5.8429093568498098</v>
      </c>
      <c r="AK366" s="261">
        <f t="shared" ref="AK366:AW366" si="28">AJ366+($AX$366-$AI$366)/15</f>
        <v>5.9083065493462703</v>
      </c>
      <c r="AL366" s="261">
        <f t="shared" si="28"/>
        <v>5.9737037418427308</v>
      </c>
      <c r="AM366" s="261">
        <f t="shared" si="28"/>
        <v>6.0391009343391913</v>
      </c>
      <c r="AN366" s="261">
        <f t="shared" si="28"/>
        <v>6.1044981268356517</v>
      </c>
      <c r="AO366" s="261">
        <f t="shared" si="28"/>
        <v>6.1698953193321122</v>
      </c>
      <c r="AP366" s="261">
        <f t="shared" si="28"/>
        <v>6.2352925118285727</v>
      </c>
      <c r="AQ366" s="261">
        <f t="shared" si="28"/>
        <v>6.3006897043250332</v>
      </c>
      <c r="AR366" s="261">
        <f t="shared" si="28"/>
        <v>6.3660868968214936</v>
      </c>
      <c r="AS366" s="261">
        <f t="shared" si="28"/>
        <v>6.4314840893179541</v>
      </c>
      <c r="AT366" s="261">
        <f t="shared" si="28"/>
        <v>6.4968812818144146</v>
      </c>
      <c r="AU366" s="261">
        <f t="shared" si="28"/>
        <v>6.5622784743108751</v>
      </c>
      <c r="AV366" s="261">
        <f t="shared" si="28"/>
        <v>6.6276756668073356</v>
      </c>
      <c r="AW366" s="261">
        <f t="shared" si="28"/>
        <v>6.693072859303796</v>
      </c>
      <c r="AX366" s="262">
        <f>AI366*$B$742</f>
        <v>6.7584700518002592</v>
      </c>
      <c r="AY366" s="261">
        <f>AX366+($BM$366-$AX$366)/15</f>
        <v>6.8253907547799981</v>
      </c>
      <c r="AZ366" s="261">
        <f t="shared" ref="AZ366:BL366" si="29">AY366+($BM$366-$AX$366)/15</f>
        <v>6.8923114577597371</v>
      </c>
      <c r="BA366" s="261">
        <f t="shared" si="29"/>
        <v>6.959232160739476</v>
      </c>
      <c r="BB366" s="261">
        <f t="shared" si="29"/>
        <v>7.026152863719215</v>
      </c>
      <c r="BC366" s="261">
        <f t="shared" si="29"/>
        <v>7.0930735666989539</v>
      </c>
      <c r="BD366" s="261">
        <f t="shared" si="29"/>
        <v>7.1599942696786929</v>
      </c>
      <c r="BE366" s="261">
        <f t="shared" si="29"/>
        <v>7.2269149726584319</v>
      </c>
      <c r="BF366" s="261">
        <f t="shared" si="29"/>
        <v>7.2938356756381708</v>
      </c>
      <c r="BG366" s="261">
        <f t="shared" si="29"/>
        <v>7.3607563786179098</v>
      </c>
      <c r="BH366" s="261">
        <f t="shared" si="29"/>
        <v>7.4276770815976487</v>
      </c>
      <c r="BI366" s="261">
        <f t="shared" si="29"/>
        <v>7.4945977845773877</v>
      </c>
      <c r="BJ366" s="261">
        <f t="shared" si="29"/>
        <v>7.5615184875571266</v>
      </c>
      <c r="BK366" s="261">
        <f t="shared" si="29"/>
        <v>7.6284391905368656</v>
      </c>
      <c r="BL366" s="261">
        <f t="shared" si="29"/>
        <v>7.6953598935166045</v>
      </c>
      <c r="BM366" s="262">
        <f>AX366*$C$742</f>
        <v>7.7622805964963462</v>
      </c>
      <c r="BN366" s="261">
        <f>BM366+($BR$366-$BM$366)/5</f>
        <v>7.8391407838260445</v>
      </c>
      <c r="BO366" s="261">
        <f>BN366+($BR$366-$BM$366)/5</f>
        <v>7.9160009711557429</v>
      </c>
      <c r="BP366" s="261">
        <f>BO366+($BR$366-$BM$366)/5</f>
        <v>7.9928611584854412</v>
      </c>
      <c r="BQ366" s="261">
        <f>BP366+($BR$366-$BM$366)/5</f>
        <v>8.0697213458151396</v>
      </c>
      <c r="BR366" s="262">
        <f>BM366*$D$742</f>
        <v>8.1465815331448379</v>
      </c>
    </row>
    <row r="367" spans="1:70">
      <c r="A367" s="765" t="s">
        <v>514</v>
      </c>
      <c r="B367" s="767">
        <v>1151.0859678463546</v>
      </c>
      <c r="C367" s="767">
        <v>1235.02709960938</v>
      </c>
      <c r="D367" s="767">
        <v>1405.9186066996403</v>
      </c>
      <c r="E367" s="767">
        <v>993.73713091111074</v>
      </c>
      <c r="F367" s="767">
        <v>991.07514876947641</v>
      </c>
      <c r="G367" s="767">
        <v>1131.7003147881212</v>
      </c>
      <c r="H367" s="767">
        <v>1221.038560105055</v>
      </c>
      <c r="I367" s="767">
        <v>1307.1547250090439</v>
      </c>
      <c r="J367" s="767">
        <v>1389.9450601614428</v>
      </c>
      <c r="K367" s="767">
        <v>1469.7993497059265</v>
      </c>
      <c r="L367" s="767">
        <v>1544.0421618496678</v>
      </c>
      <c r="M367" s="767">
        <v>1624.4209976542634</v>
      </c>
      <c r="N367" s="767">
        <v>1703.8854780296228</v>
      </c>
      <c r="O367" s="767">
        <v>1776.9868521708881</v>
      </c>
      <c r="P367" s="767">
        <v>1854.0622550605767</v>
      </c>
      <c r="Q367" s="767">
        <v>1917.5679054742993</v>
      </c>
      <c r="R367" s="767">
        <v>1978.3954213642144</v>
      </c>
      <c r="S367" s="767">
        <v>2044.5889248527621</v>
      </c>
      <c r="T367" s="767">
        <v>2112.8417777408945</v>
      </c>
      <c r="U367" s="767">
        <v>2163.9271994062915</v>
      </c>
      <c r="V367" s="767">
        <v>2241.4031618089139</v>
      </c>
      <c r="W367" s="767">
        <v>2303.558949985179</v>
      </c>
      <c r="X367" s="767">
        <v>2401.4612280803153</v>
      </c>
      <c r="Y367" s="767">
        <v>2501.5410135735665</v>
      </c>
      <c r="Z367" s="767">
        <v>2576.2560875804752</v>
      </c>
    </row>
    <row r="368" spans="1:70" ht="14" thickBot="1">
      <c r="A368" s="765" t="s">
        <v>627</v>
      </c>
      <c r="B368" s="767">
        <v>3.1288517293273019E-2</v>
      </c>
      <c r="C368" s="767">
        <v>4.0145620703697205E-2</v>
      </c>
      <c r="D368" s="767">
        <v>3.8515830891447944E-2</v>
      </c>
      <c r="E368" s="767">
        <v>2.6303627333810531E-2</v>
      </c>
      <c r="F368" s="767">
        <v>5.6047443014104255E-2</v>
      </c>
      <c r="G368" s="767">
        <v>7.1119337023784479E-2</v>
      </c>
      <c r="H368" s="767">
        <v>8.8428224145552056E-2</v>
      </c>
      <c r="I368" s="767">
        <v>0.10266115711707489</v>
      </c>
      <c r="J368" s="767">
        <v>0.12491143634290662</v>
      </c>
      <c r="K368" s="767">
        <v>2.2293869286864165</v>
      </c>
      <c r="L368" s="767">
        <v>5.6123954184121017</v>
      </c>
      <c r="M368" s="767">
        <v>7.9566359351664051</v>
      </c>
      <c r="N368" s="767">
        <v>12.724991751969894</v>
      </c>
      <c r="O368" s="767">
        <v>19.495647700796784</v>
      </c>
      <c r="P368" s="767">
        <v>28.06371652814466</v>
      </c>
      <c r="Q368" s="767">
        <v>33.841758141316177</v>
      </c>
      <c r="R368" s="767">
        <v>47.452021910622882</v>
      </c>
      <c r="S368" s="767">
        <v>48.667640008057987</v>
      </c>
      <c r="T368" s="767">
        <v>47.767774332439714</v>
      </c>
      <c r="U368" s="767">
        <v>50.842459413568172</v>
      </c>
      <c r="V368" s="767">
        <v>54.12672288853372</v>
      </c>
      <c r="W368" s="767">
        <v>67.349033728123644</v>
      </c>
      <c r="X368" s="767">
        <v>72.870357898145016</v>
      </c>
      <c r="Y368" s="767">
        <v>82.472655922369356</v>
      </c>
      <c r="Z368" s="767">
        <v>85.74303480046683</v>
      </c>
    </row>
    <row r="369" spans="1:70" ht="14" thickBot="1">
      <c r="A369" s="765" t="s">
        <v>516</v>
      </c>
      <c r="B369" s="767">
        <v>1151.1172301979784</v>
      </c>
      <c r="C369" s="767">
        <v>1235.06726074219</v>
      </c>
      <c r="D369" s="767">
        <v>1405.957155546361</v>
      </c>
      <c r="E369" s="767">
        <v>993.76346133595302</v>
      </c>
      <c r="F369" s="767">
        <v>991.13120249830877</v>
      </c>
      <c r="G369" s="767">
        <v>1131.7714475332546</v>
      </c>
      <c r="H369" s="767">
        <v>1221.1269368042056</v>
      </c>
      <c r="I369" s="767">
        <v>1307.2573637523753</v>
      </c>
      <c r="J369" s="767">
        <v>1390.0699789505047</v>
      </c>
      <c r="K369" s="767">
        <v>1472.0286986549243</v>
      </c>
      <c r="L369" s="767">
        <v>1549.6545225531884</v>
      </c>
      <c r="M369" s="767">
        <v>1632.3776685401217</v>
      </c>
      <c r="N369" s="767">
        <v>1716.6105344121597</v>
      </c>
      <c r="O369" s="767">
        <v>1796.4824632434897</v>
      </c>
      <c r="P369" s="767">
        <v>1882.1259667447755</v>
      </c>
      <c r="Q369" s="767">
        <v>1951.4096785174786</v>
      </c>
      <c r="R369" s="767">
        <v>2025.8475094892897</v>
      </c>
      <c r="S369" s="767">
        <v>2093.2565961526161</v>
      </c>
      <c r="T369" s="767">
        <v>2160.609578738799</v>
      </c>
      <c r="U369" s="767">
        <v>2214.7697023873047</v>
      </c>
      <c r="V369" s="767">
        <v>2295.5298624598372</v>
      </c>
      <c r="W369" s="767">
        <v>2370.9079156203875</v>
      </c>
      <c r="X369" s="767">
        <v>2474.3315685955818</v>
      </c>
      <c r="Y369" s="767">
        <v>2584.0136458368329</v>
      </c>
      <c r="Z369" s="767">
        <v>2661.9990499371279</v>
      </c>
      <c r="AA369" s="263">
        <f>Z539+($AI$369-$Y$539)/10</f>
        <v>15.611683809514826</v>
      </c>
      <c r="AB369" s="263">
        <f t="shared" ref="AB369:AH369" si="30">AA369+($AI$369-$Y$539)/10</f>
        <v>15.541748469704389</v>
      </c>
      <c r="AC369" s="263">
        <f t="shared" si="30"/>
        <v>15.471813129893953</v>
      </c>
      <c r="AD369" s="263">
        <f t="shared" si="30"/>
        <v>15.401877790083516</v>
      </c>
      <c r="AE369" s="263">
        <f t="shared" si="30"/>
        <v>15.331942450273079</v>
      </c>
      <c r="AF369" s="263">
        <f t="shared" si="30"/>
        <v>15.262007110462642</v>
      </c>
      <c r="AG369" s="263">
        <f t="shared" si="30"/>
        <v>15.192071770652205</v>
      </c>
      <c r="AH369" s="263">
        <f t="shared" si="30"/>
        <v>15.122136430841769</v>
      </c>
      <c r="AI369" s="264">
        <f>T539*$E$745</f>
        <v>15.052201091031337</v>
      </c>
      <c r="AJ369" s="263">
        <f>AI369+($AX$369-$AI$369)/15</f>
        <v>15.046283758755285</v>
      </c>
      <c r="AK369" s="263">
        <f t="shared" ref="AK369:AW369" si="31">AJ369+($AX$369-$AI$369)/15</f>
        <v>15.040366426479233</v>
      </c>
      <c r="AL369" s="263">
        <f t="shared" si="31"/>
        <v>15.034449094203181</v>
      </c>
      <c r="AM369" s="263">
        <f t="shared" si="31"/>
        <v>15.028531761927129</v>
      </c>
      <c r="AN369" s="263">
        <f t="shared" si="31"/>
        <v>15.022614429651076</v>
      </c>
      <c r="AO369" s="263">
        <f t="shared" si="31"/>
        <v>15.016697097375024</v>
      </c>
      <c r="AP369" s="263">
        <f t="shared" si="31"/>
        <v>15.010779765098972</v>
      </c>
      <c r="AQ369" s="263">
        <f t="shared" si="31"/>
        <v>15.00486243282292</v>
      </c>
      <c r="AR369" s="263">
        <f t="shared" si="31"/>
        <v>14.998945100546868</v>
      </c>
      <c r="AS369" s="263">
        <f t="shared" si="31"/>
        <v>14.993027768270816</v>
      </c>
      <c r="AT369" s="263">
        <f t="shared" si="31"/>
        <v>14.987110435994763</v>
      </c>
      <c r="AU369" s="263">
        <f t="shared" si="31"/>
        <v>14.981193103718711</v>
      </c>
      <c r="AV369" s="263">
        <f t="shared" si="31"/>
        <v>14.975275771442659</v>
      </c>
      <c r="AW369" s="263">
        <f t="shared" si="31"/>
        <v>14.969358439166607</v>
      </c>
      <c r="AX369" s="264">
        <f>AI369*$B$745</f>
        <v>14.963441106890555</v>
      </c>
      <c r="AY369" s="263">
        <f>AX369+($BM$369-$AX$369)/15</f>
        <v>14.972946595029557</v>
      </c>
      <c r="AZ369" s="263">
        <f t="shared" ref="AZ369:BL369" si="32">AY369+($BM$369-$AX$369)/15</f>
        <v>14.982452083168559</v>
      </c>
      <c r="BA369" s="263">
        <f t="shared" si="32"/>
        <v>14.991957571307561</v>
      </c>
      <c r="BB369" s="263">
        <f t="shared" si="32"/>
        <v>15.001463059446563</v>
      </c>
      <c r="BC369" s="263">
        <f t="shared" si="32"/>
        <v>15.010968547585565</v>
      </c>
      <c r="BD369" s="263">
        <f t="shared" si="32"/>
        <v>15.020474035724567</v>
      </c>
      <c r="BE369" s="263">
        <f t="shared" si="32"/>
        <v>15.029979523863569</v>
      </c>
      <c r="BF369" s="263">
        <f t="shared" si="32"/>
        <v>15.03948501200257</v>
      </c>
      <c r="BG369" s="263">
        <f t="shared" si="32"/>
        <v>15.048990500141572</v>
      </c>
      <c r="BH369" s="263">
        <f t="shared" si="32"/>
        <v>15.058495988280574</v>
      </c>
      <c r="BI369" s="263">
        <f t="shared" si="32"/>
        <v>15.068001476419576</v>
      </c>
      <c r="BJ369" s="263">
        <f t="shared" si="32"/>
        <v>15.077506964558578</v>
      </c>
      <c r="BK369" s="263">
        <f t="shared" si="32"/>
        <v>15.08701245269758</v>
      </c>
      <c r="BL369" s="263">
        <f t="shared" si="32"/>
        <v>15.096517940836582</v>
      </c>
      <c r="BM369" s="264">
        <f>AX369*$C$745</f>
        <v>15.106023428975591</v>
      </c>
      <c r="BN369" s="263">
        <f>BM369+($BR$369-$BM$369)/5</f>
        <v>15.115619492174282</v>
      </c>
      <c r="BO369" s="263">
        <f>BN369+($BR$369-$BM$369)/5</f>
        <v>15.125215555372973</v>
      </c>
      <c r="BP369" s="263">
        <f>BO369+($BR$369-$BM$369)/5</f>
        <v>15.134811618571664</v>
      </c>
      <c r="BQ369" s="263">
        <f>BP369+($BR$369-$BM$369)/5</f>
        <v>15.144407681770355</v>
      </c>
      <c r="BR369" s="264">
        <f>BM369*$D$745</f>
        <v>15.154003744969049</v>
      </c>
    </row>
    <row r="373" spans="1:70" ht="14" thickBot="1">
      <c r="A373" s="765" t="s">
        <v>628</v>
      </c>
    </row>
    <row r="374" spans="1:70" ht="14" thickBot="1">
      <c r="A374" s="765" t="s">
        <v>629</v>
      </c>
      <c r="AA374" s="265">
        <f>Z544+($AI$374-$Y$544)/10</f>
        <v>11.584123362673006</v>
      </c>
      <c r="AB374" s="265">
        <f t="shared" ref="AB374:AH374" si="33">AA374+($AI$374-$Y$544)/10</f>
        <v>11.952852829654059</v>
      </c>
      <c r="AC374" s="265">
        <f t="shared" si="33"/>
        <v>12.321582296635112</v>
      </c>
      <c r="AD374" s="265">
        <f t="shared" si="33"/>
        <v>12.690311763616165</v>
      </c>
      <c r="AE374" s="265">
        <f t="shared" si="33"/>
        <v>13.059041230597218</v>
      </c>
      <c r="AF374" s="265">
        <f t="shared" si="33"/>
        <v>13.427770697578271</v>
      </c>
      <c r="AG374" s="265">
        <f t="shared" si="33"/>
        <v>13.796500164559324</v>
      </c>
      <c r="AH374" s="265">
        <f t="shared" si="33"/>
        <v>14.165229631540377</v>
      </c>
      <c r="AI374" s="266">
        <f>T544*$E$744</f>
        <v>14.533959098521429</v>
      </c>
      <c r="AJ374" s="265">
        <f>AI374+($AX$374-$AI$374)/15</f>
        <v>14.687791105011014</v>
      </c>
      <c r="AK374" s="265">
        <f t="shared" ref="AK374:AW374" si="34">AJ374+($AX$374-$AI$374)/15</f>
        <v>14.841623111500599</v>
      </c>
      <c r="AL374" s="265">
        <f t="shared" si="34"/>
        <v>14.995455117990184</v>
      </c>
      <c r="AM374" s="265">
        <f t="shared" si="34"/>
        <v>15.14928712447977</v>
      </c>
      <c r="AN374" s="265">
        <f t="shared" si="34"/>
        <v>15.303119130969355</v>
      </c>
      <c r="AO374" s="265">
        <f t="shared" si="34"/>
        <v>15.45695113745894</v>
      </c>
      <c r="AP374" s="265">
        <f t="shared" si="34"/>
        <v>15.610783143948526</v>
      </c>
      <c r="AQ374" s="265">
        <f t="shared" si="34"/>
        <v>15.764615150438111</v>
      </c>
      <c r="AR374" s="265">
        <f t="shared" si="34"/>
        <v>15.918447156927696</v>
      </c>
      <c r="AS374" s="265">
        <f t="shared" si="34"/>
        <v>16.072279163417281</v>
      </c>
      <c r="AT374" s="265">
        <f t="shared" si="34"/>
        <v>16.226111169906865</v>
      </c>
      <c r="AU374" s="265">
        <f t="shared" si="34"/>
        <v>16.379943176396448</v>
      </c>
      <c r="AV374" s="265">
        <f t="shared" si="34"/>
        <v>16.533775182886032</v>
      </c>
      <c r="AW374" s="265">
        <f t="shared" si="34"/>
        <v>16.687607189375615</v>
      </c>
      <c r="AX374" s="266">
        <f>AI374*$B$744</f>
        <v>16.841439195865195</v>
      </c>
      <c r="AY374" s="265">
        <f>AX374+($BM$374-$AX$374)/15</f>
        <v>16.937333989857837</v>
      </c>
      <c r="AZ374" s="265">
        <f t="shared" ref="AZ374:BL374" si="35">AY374+($BM$374-$AX$374)/15</f>
        <v>17.033228783850479</v>
      </c>
      <c r="BA374" s="265">
        <f t="shared" si="35"/>
        <v>17.129123577843121</v>
      </c>
      <c r="BB374" s="265">
        <f t="shared" si="35"/>
        <v>17.225018371835763</v>
      </c>
      <c r="BC374" s="265">
        <f t="shared" si="35"/>
        <v>17.320913165828404</v>
      </c>
      <c r="BD374" s="265">
        <f t="shared" si="35"/>
        <v>17.416807959821046</v>
      </c>
      <c r="BE374" s="265">
        <f t="shared" si="35"/>
        <v>17.512702753813688</v>
      </c>
      <c r="BF374" s="265">
        <f t="shared" si="35"/>
        <v>17.60859754780633</v>
      </c>
      <c r="BG374" s="265">
        <f t="shared" si="35"/>
        <v>17.704492341798971</v>
      </c>
      <c r="BH374" s="265">
        <f t="shared" si="35"/>
        <v>17.800387135791613</v>
      </c>
      <c r="BI374" s="265">
        <f t="shared" si="35"/>
        <v>17.896281929784255</v>
      </c>
      <c r="BJ374" s="265">
        <f t="shared" si="35"/>
        <v>17.992176723776897</v>
      </c>
      <c r="BK374" s="265">
        <f t="shared" si="35"/>
        <v>18.088071517769539</v>
      </c>
      <c r="BL374" s="265">
        <f t="shared" si="35"/>
        <v>18.18396631176218</v>
      </c>
      <c r="BM374" s="266">
        <f>AX374*$C$744</f>
        <v>18.27986110575484</v>
      </c>
      <c r="BN374" s="265">
        <f>BM374+($BR$374-$BM$374)/5</f>
        <v>18.383946243287554</v>
      </c>
      <c r="BO374" s="265">
        <f>BN374+($BR$374-$BM$374)/5</f>
        <v>18.488031380820267</v>
      </c>
      <c r="BP374" s="265">
        <f>BO374+($BR$374-$BM$374)/5</f>
        <v>18.592116518352981</v>
      </c>
      <c r="BQ374" s="265">
        <f>BP374+($BR$374-$BM$374)/5</f>
        <v>18.696201655885694</v>
      </c>
      <c r="BR374" s="266">
        <f>BM374*$D$744</f>
        <v>18.800286793418415</v>
      </c>
    </row>
    <row r="375" spans="1:70" ht="14" thickBot="1">
      <c r="A375" s="765" t="s">
        <v>630</v>
      </c>
    </row>
    <row r="376" spans="1:70" ht="14" thickBot="1">
      <c r="A376" s="765" t="s">
        <v>726</v>
      </c>
      <c r="AA376" s="265">
        <f>Z546+($AI$376-$Y$546)/10</f>
        <v>13.665763245709009</v>
      </c>
      <c r="AB376" s="265">
        <f t="shared" ref="AB376:AH376" si="36">AA376+($AI$376-$Y$546)/10</f>
        <v>14.091688195895063</v>
      </c>
      <c r="AC376" s="265">
        <f t="shared" si="36"/>
        <v>14.517613146081118</v>
      </c>
      <c r="AD376" s="265">
        <f t="shared" si="36"/>
        <v>14.943538096267172</v>
      </c>
      <c r="AE376" s="265">
        <f t="shared" si="36"/>
        <v>15.369463046453227</v>
      </c>
      <c r="AF376" s="265">
        <f t="shared" si="36"/>
        <v>15.795387996639281</v>
      </c>
      <c r="AG376" s="265">
        <f t="shared" si="36"/>
        <v>16.221312946825336</v>
      </c>
      <c r="AH376" s="265">
        <f t="shared" si="36"/>
        <v>16.64723789701139</v>
      </c>
      <c r="AI376" s="266">
        <f>T546*$E$744</f>
        <v>17.073162847197445</v>
      </c>
      <c r="AJ376" s="265">
        <f>AI376+($AX$376-$AI$376)/15</f>
        <v>17.253870586919582</v>
      </c>
      <c r="AK376" s="265">
        <f t="shared" ref="AK376:AW376" si="37">AJ376+($AX$376-$AI$376)/15</f>
        <v>17.43457832664172</v>
      </c>
      <c r="AL376" s="265">
        <f t="shared" si="37"/>
        <v>17.615286066363858</v>
      </c>
      <c r="AM376" s="265">
        <f t="shared" si="37"/>
        <v>17.795993806085995</v>
      </c>
      <c r="AN376" s="265">
        <f t="shared" si="37"/>
        <v>17.976701545808133</v>
      </c>
      <c r="AO376" s="265">
        <f t="shared" si="37"/>
        <v>18.157409285530271</v>
      </c>
      <c r="AP376" s="265">
        <f t="shared" si="37"/>
        <v>18.338117025252409</v>
      </c>
      <c r="AQ376" s="265">
        <f t="shared" si="37"/>
        <v>18.518824764974546</v>
      </c>
      <c r="AR376" s="265">
        <f t="shared" si="37"/>
        <v>18.699532504696684</v>
      </c>
      <c r="AS376" s="265">
        <f t="shared" si="37"/>
        <v>18.880240244418822</v>
      </c>
      <c r="AT376" s="265">
        <f t="shared" si="37"/>
        <v>19.060947984140959</v>
      </c>
      <c r="AU376" s="265">
        <f t="shared" si="37"/>
        <v>19.241655723863097</v>
      </c>
      <c r="AV376" s="265">
        <f t="shared" si="37"/>
        <v>19.422363463585235</v>
      </c>
      <c r="AW376" s="265">
        <f t="shared" si="37"/>
        <v>19.603071203307373</v>
      </c>
      <c r="AX376" s="266">
        <f>AI376*$B$744</f>
        <v>19.783778943029514</v>
      </c>
      <c r="AY376" s="265">
        <f>AX376+($BM$376-$AX$376)/15</f>
        <v>19.896427356509733</v>
      </c>
      <c r="AZ376" s="265">
        <f t="shared" ref="AZ376:BL376" si="38">AY376+($BM$376-$AX$376)/15</f>
        <v>20.009075769989952</v>
      </c>
      <c r="BA376" s="265">
        <f t="shared" si="38"/>
        <v>20.121724183470171</v>
      </c>
      <c r="BB376" s="265">
        <f t="shared" si="38"/>
        <v>20.23437259695039</v>
      </c>
      <c r="BC376" s="265">
        <f t="shared" si="38"/>
        <v>20.347021010430609</v>
      </c>
      <c r="BD376" s="265">
        <f t="shared" si="38"/>
        <v>20.459669423910828</v>
      </c>
      <c r="BE376" s="265">
        <f t="shared" si="38"/>
        <v>20.572317837391047</v>
      </c>
      <c r="BF376" s="265">
        <f t="shared" si="38"/>
        <v>20.684966250871266</v>
      </c>
      <c r="BG376" s="265">
        <f t="shared" si="38"/>
        <v>20.797614664351485</v>
      </c>
      <c r="BH376" s="265">
        <f t="shared" si="38"/>
        <v>20.910263077831704</v>
      </c>
      <c r="BI376" s="265">
        <f t="shared" si="38"/>
        <v>21.022911491311923</v>
      </c>
      <c r="BJ376" s="265">
        <f t="shared" si="38"/>
        <v>21.135559904792142</v>
      </c>
      <c r="BK376" s="265">
        <f t="shared" si="38"/>
        <v>21.248208318272361</v>
      </c>
      <c r="BL376" s="265">
        <f t="shared" si="38"/>
        <v>21.36085673175258</v>
      </c>
      <c r="BM376" s="266">
        <f>AX376*$C$744</f>
        <v>21.47350514523281</v>
      </c>
      <c r="BN376" s="265">
        <f>BM376+($BR$376-$BM$376)/5</f>
        <v>21.595774823509927</v>
      </c>
      <c r="BO376" s="265">
        <f>BN376+($BR$376-$BM$376)/5</f>
        <v>21.718044501787045</v>
      </c>
      <c r="BP376" s="265">
        <f>BO376+($BR$376-$BM$376)/5</f>
        <v>21.840314180064162</v>
      </c>
      <c r="BQ376" s="265">
        <f>BP376+($BR$376-$BM$376)/5</f>
        <v>21.962583858341279</v>
      </c>
      <c r="BR376" s="266">
        <f>BM376*$D$744</f>
        <v>22.084853536618393</v>
      </c>
    </row>
    <row r="377" spans="1:70">
      <c r="A377" s="765" t="s">
        <v>727</v>
      </c>
    </row>
    <row r="378" spans="1:70">
      <c r="A378" s="765" t="s">
        <v>647</v>
      </c>
    </row>
    <row r="379" spans="1:70" ht="14" thickBot="1">
      <c r="A379" s="765" t="s">
        <v>648</v>
      </c>
    </row>
    <row r="380" spans="1:70" ht="14" thickBot="1">
      <c r="A380" s="765" t="s">
        <v>649</v>
      </c>
      <c r="AA380" s="267">
        <f>Z550+($AI$380-$Y$550)/10</f>
        <v>17.944433063730909</v>
      </c>
      <c r="AB380" s="267">
        <f t="shared" ref="AB380:AH380" si="39">AA380+($AI$380-$Y$550)/10</f>
        <v>17.852387205459664</v>
      </c>
      <c r="AC380" s="267">
        <f t="shared" si="39"/>
        <v>17.760341347188419</v>
      </c>
      <c r="AD380" s="267">
        <f t="shared" si="39"/>
        <v>17.668295488917174</v>
      </c>
      <c r="AE380" s="267">
        <f t="shared" si="39"/>
        <v>17.576249630645929</v>
      </c>
      <c r="AF380" s="267">
        <f t="shared" si="39"/>
        <v>17.484203772374684</v>
      </c>
      <c r="AG380" s="267">
        <f t="shared" si="39"/>
        <v>17.392157914103439</v>
      </c>
      <c r="AH380" s="267">
        <f t="shared" si="39"/>
        <v>17.300112055832194</v>
      </c>
      <c r="AI380" s="268">
        <f>T550*$E$747</f>
        <v>17.208066197560942</v>
      </c>
      <c r="AJ380" s="267">
        <f>AI380+($AX$380-$AI$380)/15</f>
        <v>17.219509839491277</v>
      </c>
      <c r="AK380" s="267">
        <f t="shared" ref="AK380:AW380" si="40">AJ380+($AX$380-$AI$380)/15</f>
        <v>17.230953481421611</v>
      </c>
      <c r="AL380" s="267">
        <f t="shared" si="40"/>
        <v>17.242397123351946</v>
      </c>
      <c r="AM380" s="267">
        <f t="shared" si="40"/>
        <v>17.253840765282281</v>
      </c>
      <c r="AN380" s="267">
        <f t="shared" si="40"/>
        <v>17.265284407212615</v>
      </c>
      <c r="AO380" s="267">
        <f t="shared" si="40"/>
        <v>17.27672804914295</v>
      </c>
      <c r="AP380" s="267">
        <f t="shared" si="40"/>
        <v>17.288171691073284</v>
      </c>
      <c r="AQ380" s="267">
        <f t="shared" si="40"/>
        <v>17.299615333003619</v>
      </c>
      <c r="AR380" s="267">
        <f t="shared" si="40"/>
        <v>17.311058974933953</v>
      </c>
      <c r="AS380" s="267">
        <f t="shared" si="40"/>
        <v>17.322502616864288</v>
      </c>
      <c r="AT380" s="267">
        <f t="shared" si="40"/>
        <v>17.333946258794622</v>
      </c>
      <c r="AU380" s="267">
        <f t="shared" si="40"/>
        <v>17.345389900724957</v>
      </c>
      <c r="AV380" s="267">
        <f t="shared" si="40"/>
        <v>17.356833542655291</v>
      </c>
      <c r="AW380" s="267">
        <f t="shared" si="40"/>
        <v>17.368277184585626</v>
      </c>
      <c r="AX380" s="268">
        <f>AI380*$B$747</f>
        <v>17.379720826515971</v>
      </c>
      <c r="AY380" s="267">
        <f>AX380+($BM$380-$AX$380)/15</f>
        <v>17.385626979648983</v>
      </c>
      <c r="AZ380" s="267">
        <f t="shared" ref="AZ380:BL380" si="41">AY380+($BM$380-$AX$380)/15</f>
        <v>17.391533132781994</v>
      </c>
      <c r="BA380" s="267">
        <f t="shared" si="41"/>
        <v>17.397439285915006</v>
      </c>
      <c r="BB380" s="267">
        <f t="shared" si="41"/>
        <v>17.403345439048017</v>
      </c>
      <c r="BC380" s="267">
        <f t="shared" si="41"/>
        <v>17.409251592181029</v>
      </c>
      <c r="BD380" s="267">
        <f t="shared" si="41"/>
        <v>17.41515774531404</v>
      </c>
      <c r="BE380" s="267">
        <f t="shared" si="41"/>
        <v>17.421063898447052</v>
      </c>
      <c r="BF380" s="267">
        <f t="shared" si="41"/>
        <v>17.426970051580064</v>
      </c>
      <c r="BG380" s="267">
        <f t="shared" si="41"/>
        <v>17.432876204713075</v>
      </c>
      <c r="BH380" s="267">
        <f t="shared" si="41"/>
        <v>17.438782357846087</v>
      </c>
      <c r="BI380" s="267">
        <f t="shared" si="41"/>
        <v>17.444688510979098</v>
      </c>
      <c r="BJ380" s="267">
        <f t="shared" si="41"/>
        <v>17.45059466411211</v>
      </c>
      <c r="BK380" s="267">
        <f t="shared" si="41"/>
        <v>17.456500817245121</v>
      </c>
      <c r="BL380" s="267">
        <f t="shared" si="41"/>
        <v>17.462406970378133</v>
      </c>
      <c r="BM380" s="268">
        <f>AX380*$C$747</f>
        <v>17.468313123511169</v>
      </c>
      <c r="BN380" s="267">
        <f>BM380+($BR$380-$BM$380)/5</f>
        <v>17.474249382977746</v>
      </c>
      <c r="BO380" s="267">
        <f>BN380+($BR$380-$BM$380)/5</f>
        <v>17.480185642444322</v>
      </c>
      <c r="BP380" s="267">
        <f>BO380+($BR$380-$BM$380)/5</f>
        <v>17.486121901910899</v>
      </c>
      <c r="BQ380" s="267">
        <f>BP380+($BR$380-$BM$380)/5</f>
        <v>17.492058161377475</v>
      </c>
      <c r="BR380" s="268">
        <f>BM380*$D$747</f>
        <v>17.497994420844059</v>
      </c>
    </row>
    <row r="381" spans="1:70">
      <c r="A381" s="765" t="s">
        <v>650</v>
      </c>
    </row>
    <row r="382" spans="1:70">
      <c r="A382" s="765" t="s">
        <v>651</v>
      </c>
    </row>
    <row r="383" spans="1:70">
      <c r="A383" s="765" t="s">
        <v>652</v>
      </c>
    </row>
    <row r="384" spans="1:70">
      <c r="A384" s="765" t="s">
        <v>543</v>
      </c>
    </row>
    <row r="385" spans="1:70">
      <c r="A385" s="765" t="s">
        <v>728</v>
      </c>
    </row>
    <row r="386" spans="1:70">
      <c r="A386" s="765" t="s">
        <v>729</v>
      </c>
    </row>
    <row r="387" spans="1:70">
      <c r="A387" s="765" t="s">
        <v>730</v>
      </c>
    </row>
    <row r="388" spans="1:70">
      <c r="A388" s="765" t="s">
        <v>731</v>
      </c>
    </row>
    <row r="389" spans="1:70">
      <c r="A389" s="765" t="s">
        <v>732</v>
      </c>
    </row>
    <row r="390" spans="1:70">
      <c r="A390" s="765" t="s">
        <v>733</v>
      </c>
    </row>
    <row r="391" spans="1:70" ht="14" thickBot="1">
      <c r="A391" s="765" t="s">
        <v>734</v>
      </c>
    </row>
    <row r="392" spans="1:70" ht="14" thickBot="1">
      <c r="A392" s="765" t="s">
        <v>735</v>
      </c>
      <c r="AA392" s="261">
        <f>Z562+($AI$392-$Y$562)/10</f>
        <v>5.5024940130181221</v>
      </c>
      <c r="AB392" s="261">
        <f t="shared" ref="AB392:AH392" si="42">AA392+($AI$392-$Y$562)/10</f>
        <v>5.5327298577229831</v>
      </c>
      <c r="AC392" s="261">
        <f t="shared" si="42"/>
        <v>5.5629657024278441</v>
      </c>
      <c r="AD392" s="261">
        <f t="shared" si="42"/>
        <v>5.593201547132705</v>
      </c>
      <c r="AE392" s="261">
        <f t="shared" si="42"/>
        <v>5.623437391837566</v>
      </c>
      <c r="AF392" s="261">
        <f t="shared" si="42"/>
        <v>5.6536732365424269</v>
      </c>
      <c r="AG392" s="261">
        <f t="shared" si="42"/>
        <v>5.6839090812472879</v>
      </c>
      <c r="AH392" s="261">
        <f t="shared" si="42"/>
        <v>5.7141449259521488</v>
      </c>
      <c r="AI392" s="262">
        <f>T562*$E$742</f>
        <v>5.7443807706570116</v>
      </c>
      <c r="AJ392" s="261">
        <f>AI392+($AX$392-$AI$392)/15</f>
        <v>5.809402940121136</v>
      </c>
      <c r="AK392" s="261">
        <f t="shared" ref="AK392:AW392" si="43">AJ392+($AX$392-$AI$392)/15</f>
        <v>5.8744251095852604</v>
      </c>
      <c r="AL392" s="261">
        <f t="shared" si="43"/>
        <v>5.9394472790493849</v>
      </c>
      <c r="AM392" s="261">
        <f t="shared" si="43"/>
        <v>6.0044694485135093</v>
      </c>
      <c r="AN392" s="261">
        <f t="shared" si="43"/>
        <v>6.0694916179776337</v>
      </c>
      <c r="AO392" s="261">
        <f t="shared" si="43"/>
        <v>6.1345137874417581</v>
      </c>
      <c r="AP392" s="261">
        <f t="shared" si="43"/>
        <v>6.1995359569058825</v>
      </c>
      <c r="AQ392" s="261">
        <f t="shared" si="43"/>
        <v>6.264558126370007</v>
      </c>
      <c r="AR392" s="261">
        <f t="shared" si="43"/>
        <v>6.3295802958341314</v>
      </c>
      <c r="AS392" s="261">
        <f t="shared" si="43"/>
        <v>6.3946024652982558</v>
      </c>
      <c r="AT392" s="261">
        <f t="shared" si="43"/>
        <v>6.4596246347623802</v>
      </c>
      <c r="AU392" s="261">
        <f t="shared" si="43"/>
        <v>6.5246468042265047</v>
      </c>
      <c r="AV392" s="261">
        <f t="shared" si="43"/>
        <v>6.5896689736906291</v>
      </c>
      <c r="AW392" s="261">
        <f t="shared" si="43"/>
        <v>6.6546911431547535</v>
      </c>
      <c r="AX392" s="262">
        <f>AI392*$B$742</f>
        <v>6.7197133126188779</v>
      </c>
      <c r="AY392" s="261">
        <f>AX392+($BM$392-$AX$392)/15</f>
        <v>6.7862502559294402</v>
      </c>
      <c r="AZ392" s="261">
        <f t="shared" ref="AZ392:BL392" si="44">AY392+($BM$392-$AX$392)/15</f>
        <v>6.8527871992400025</v>
      </c>
      <c r="BA392" s="261">
        <f t="shared" si="44"/>
        <v>6.9193241425505647</v>
      </c>
      <c r="BB392" s="261">
        <f t="shared" si="44"/>
        <v>6.985861085861127</v>
      </c>
      <c r="BC392" s="261">
        <f t="shared" si="44"/>
        <v>7.0523980291716892</v>
      </c>
      <c r="BD392" s="261">
        <f t="shared" si="44"/>
        <v>7.1189349724822515</v>
      </c>
      <c r="BE392" s="261">
        <f t="shared" si="44"/>
        <v>7.1854719157928137</v>
      </c>
      <c r="BF392" s="261">
        <f t="shared" si="44"/>
        <v>7.252008859103376</v>
      </c>
      <c r="BG392" s="261">
        <f t="shared" si="44"/>
        <v>7.3185458024139383</v>
      </c>
      <c r="BH392" s="261">
        <f t="shared" si="44"/>
        <v>7.3850827457245005</v>
      </c>
      <c r="BI392" s="261">
        <f t="shared" si="44"/>
        <v>7.4516196890350628</v>
      </c>
      <c r="BJ392" s="261">
        <f t="shared" si="44"/>
        <v>7.518156632345625</v>
      </c>
      <c r="BK392" s="261">
        <f t="shared" si="44"/>
        <v>7.5846935756561873</v>
      </c>
      <c r="BL392" s="261">
        <f t="shared" si="44"/>
        <v>7.6512305189667495</v>
      </c>
      <c r="BM392" s="262">
        <f>AX392*$C$742</f>
        <v>7.7177674622773127</v>
      </c>
      <c r="BN392" s="261">
        <f>BM392+($BR$392-$BM$392)/5</f>
        <v>7.7941868915344088</v>
      </c>
      <c r="BO392" s="261">
        <f>BN392+($BR$392-$BM$392)/5</f>
        <v>7.8706063207915049</v>
      </c>
      <c r="BP392" s="261">
        <f>BO392+($BR$392-$BM$392)/5</f>
        <v>7.947025750048601</v>
      </c>
      <c r="BQ392" s="261">
        <f>BP392+($BR$392-$BM$392)/5</f>
        <v>8.023445179305698</v>
      </c>
      <c r="BR392" s="262">
        <f>BM392*$D$742</f>
        <v>8.099864608562795</v>
      </c>
    </row>
    <row r="393" spans="1:70" ht="14" thickBot="1">
      <c r="A393" s="765" t="s">
        <v>736</v>
      </c>
      <c r="AA393" s="269">
        <f>Z563+($AI$393-$Y$563)/10</f>
        <v>1.3116492415795387</v>
      </c>
      <c r="AB393" s="269">
        <f t="shared" ref="AB393:AH393" si="45">AA393+($AI$393-$Y$563)/10</f>
        <v>1.314474997718583</v>
      </c>
      <c r="AC393" s="269">
        <f t="shared" si="45"/>
        <v>1.3173007538576273</v>
      </c>
      <c r="AD393" s="269">
        <f t="shared" si="45"/>
        <v>1.3201265099966717</v>
      </c>
      <c r="AE393" s="269">
        <f t="shared" si="45"/>
        <v>1.322952266135716</v>
      </c>
      <c r="AF393" s="269">
        <f t="shared" si="45"/>
        <v>1.3257780222747604</v>
      </c>
      <c r="AG393" s="269">
        <f t="shared" si="45"/>
        <v>1.3286037784138047</v>
      </c>
      <c r="AH393" s="269">
        <f t="shared" si="45"/>
        <v>1.3314295345528491</v>
      </c>
      <c r="AI393" s="270">
        <f>T563*$E$740</f>
        <v>1.3342552906918941</v>
      </c>
      <c r="AJ393" s="269">
        <f>AI393+($AX$393-$AI$393)/15</f>
        <v>1.3381671025139799</v>
      </c>
      <c r="AK393" s="269">
        <f t="shared" ref="AK393:AW393" si="46">AJ393+($AX$393-$AI$393)/15</f>
        <v>1.3420789143360656</v>
      </c>
      <c r="AL393" s="269">
        <f t="shared" si="46"/>
        <v>1.3459907261581514</v>
      </c>
      <c r="AM393" s="269">
        <f t="shared" si="46"/>
        <v>1.3499025379802372</v>
      </c>
      <c r="AN393" s="269">
        <f t="shared" si="46"/>
        <v>1.353814349802323</v>
      </c>
      <c r="AO393" s="269">
        <f t="shared" si="46"/>
        <v>1.3577261616244087</v>
      </c>
      <c r="AP393" s="269">
        <f t="shared" si="46"/>
        <v>1.3616379734464945</v>
      </c>
      <c r="AQ393" s="269">
        <f t="shared" si="46"/>
        <v>1.3655497852685803</v>
      </c>
      <c r="AR393" s="269">
        <f t="shared" si="46"/>
        <v>1.3694615970906661</v>
      </c>
      <c r="AS393" s="269">
        <f t="shared" si="46"/>
        <v>1.3733734089127518</v>
      </c>
      <c r="AT393" s="269">
        <f t="shared" si="46"/>
        <v>1.3772852207348376</v>
      </c>
      <c r="AU393" s="269">
        <f t="shared" si="46"/>
        <v>1.3811970325569234</v>
      </c>
      <c r="AV393" s="269">
        <f t="shared" si="46"/>
        <v>1.3851088443790092</v>
      </c>
      <c r="AW393" s="269">
        <f t="shared" si="46"/>
        <v>1.3890206562010949</v>
      </c>
      <c r="AX393" s="270">
        <f>AI393*$B$740</f>
        <v>1.3929324680231794</v>
      </c>
      <c r="AY393" s="269">
        <f>AX393+($BM$393-$AX$393)/15</f>
        <v>1.3955742685410359</v>
      </c>
      <c r="AZ393" s="269">
        <f t="shared" ref="AZ393:BL393" si="47">AY393+($BM$393-$AX$393)/15</f>
        <v>1.3982160690588925</v>
      </c>
      <c r="BA393" s="269">
        <f t="shared" si="47"/>
        <v>1.4008578695767491</v>
      </c>
      <c r="BB393" s="269">
        <f t="shared" si="47"/>
        <v>1.4034996700946056</v>
      </c>
      <c r="BC393" s="269">
        <f t="shared" si="47"/>
        <v>1.4061414706124622</v>
      </c>
      <c r="BD393" s="269">
        <f t="shared" si="47"/>
        <v>1.4087832711303188</v>
      </c>
      <c r="BE393" s="269">
        <f t="shared" si="47"/>
        <v>1.4114250716481753</v>
      </c>
      <c r="BF393" s="269">
        <f t="shared" si="47"/>
        <v>1.4140668721660319</v>
      </c>
      <c r="BG393" s="269">
        <f t="shared" si="47"/>
        <v>1.4167086726838884</v>
      </c>
      <c r="BH393" s="269">
        <f t="shared" si="47"/>
        <v>1.419350473201745</v>
      </c>
      <c r="BI393" s="269">
        <f t="shared" si="47"/>
        <v>1.4219922737196016</v>
      </c>
      <c r="BJ393" s="269">
        <f t="shared" si="47"/>
        <v>1.4246340742374581</v>
      </c>
      <c r="BK393" s="269">
        <f t="shared" si="47"/>
        <v>1.4272758747553147</v>
      </c>
      <c r="BL393" s="269">
        <f t="shared" si="47"/>
        <v>1.4299176752731713</v>
      </c>
      <c r="BM393" s="270">
        <f>AX393*$C$740</f>
        <v>1.4325594757910274</v>
      </c>
      <c r="BN393" s="269">
        <f>BM393+($BR$393-$BM$393)/5</f>
        <v>1.4352764318903966</v>
      </c>
      <c r="BO393" s="269">
        <f>BN393+($BR$393-$BM$393)/5</f>
        <v>1.4379933879897657</v>
      </c>
      <c r="BP393" s="269">
        <f>BO393+($BR$393-$BM$393)/5</f>
        <v>1.4407103440891349</v>
      </c>
      <c r="BQ393" s="269">
        <f>BP393+($BR$393-$BM$393)/5</f>
        <v>1.4434273001885041</v>
      </c>
      <c r="BR393" s="270">
        <f>BM393*$D$740</f>
        <v>1.4461442562878735</v>
      </c>
    </row>
    <row r="394" spans="1:70">
      <c r="A394" s="765" t="s">
        <v>737</v>
      </c>
    </row>
    <row r="395" spans="1:70">
      <c r="A395" s="765" t="s">
        <v>738</v>
      </c>
    </row>
    <row r="396" spans="1:70">
      <c r="A396" s="765" t="s">
        <v>739</v>
      </c>
    </row>
    <row r="397" spans="1:70">
      <c r="A397" s="765" t="s">
        <v>740</v>
      </c>
    </row>
    <row r="403" spans="1:26">
      <c r="A403" s="283" t="s">
        <v>860</v>
      </c>
      <c r="B403" s="283"/>
      <c r="C403" s="283"/>
      <c r="D403" s="283"/>
      <c r="E403" s="283"/>
      <c r="F403" s="283"/>
      <c r="G403" s="283"/>
      <c r="H403" s="283"/>
      <c r="I403" s="283"/>
      <c r="J403" s="283"/>
      <c r="K403" s="283"/>
      <c r="L403" s="283"/>
      <c r="M403" s="283"/>
      <c r="N403" s="283"/>
      <c r="O403" s="283"/>
      <c r="P403" s="283"/>
      <c r="Q403" s="283"/>
      <c r="R403" s="283"/>
      <c r="S403" s="283"/>
      <c r="T403" s="283"/>
      <c r="U403" s="283"/>
      <c r="V403" s="283"/>
      <c r="W403" s="283"/>
      <c r="X403" s="283"/>
      <c r="Y403" s="283"/>
      <c r="Z403" s="283"/>
    </row>
    <row r="404" spans="1:26">
      <c r="A404" s="283" t="s">
        <v>599</v>
      </c>
      <c r="B404" s="283"/>
      <c r="C404" s="283"/>
      <c r="D404" s="283"/>
      <c r="E404" s="283"/>
      <c r="F404" s="283"/>
      <c r="G404" s="283"/>
      <c r="H404" s="283"/>
      <c r="I404" s="283"/>
      <c r="J404" s="283"/>
      <c r="K404" s="283"/>
      <c r="L404" s="283"/>
      <c r="M404" s="283"/>
      <c r="N404" s="283"/>
      <c r="O404" s="283"/>
      <c r="P404" s="283"/>
      <c r="Q404" s="283"/>
      <c r="R404" s="283"/>
      <c r="S404" s="283"/>
      <c r="T404" s="283"/>
      <c r="U404" s="283"/>
      <c r="V404" s="283"/>
      <c r="W404" s="283"/>
      <c r="X404" s="283"/>
      <c r="Y404" s="283"/>
      <c r="Z404" s="283"/>
    </row>
    <row r="405" spans="1:26">
      <c r="A405" s="283" t="s">
        <v>600</v>
      </c>
      <c r="B405" s="283"/>
      <c r="C405" s="283"/>
      <c r="D405" s="283"/>
      <c r="E405" s="283"/>
      <c r="F405" s="283"/>
      <c r="G405" s="283"/>
      <c r="H405" s="283"/>
      <c r="I405" s="283"/>
      <c r="J405" s="283"/>
      <c r="K405" s="283"/>
      <c r="L405" s="283"/>
      <c r="M405" s="283"/>
      <c r="N405" s="283"/>
      <c r="O405" s="283"/>
      <c r="P405" s="283"/>
      <c r="Q405" s="283"/>
      <c r="R405" s="283"/>
      <c r="S405" s="283"/>
      <c r="T405" s="283"/>
      <c r="U405" s="283"/>
      <c r="V405" s="283"/>
      <c r="W405" s="283"/>
      <c r="X405" s="283"/>
      <c r="Y405" s="283"/>
      <c r="Z405" s="283"/>
    </row>
    <row r="406" spans="1:26">
      <c r="A406" s="283"/>
      <c r="B406" s="283"/>
      <c r="C406" s="283"/>
      <c r="D406" s="283"/>
      <c r="E406" s="283"/>
      <c r="F406" s="283"/>
      <c r="G406" s="283"/>
      <c r="H406" s="283"/>
      <c r="I406" s="283"/>
      <c r="J406" s="283"/>
      <c r="K406" s="283"/>
      <c r="L406" s="283"/>
      <c r="M406" s="283"/>
      <c r="N406" s="283"/>
      <c r="O406" s="283"/>
      <c r="P406" s="283"/>
      <c r="Q406" s="283"/>
      <c r="R406" s="283"/>
      <c r="S406" s="283"/>
      <c r="T406" s="283"/>
      <c r="U406" s="283"/>
      <c r="V406" s="283"/>
      <c r="W406" s="283"/>
      <c r="X406" s="283"/>
      <c r="Y406" s="283"/>
      <c r="Z406" s="283"/>
    </row>
    <row r="407" spans="1:26">
      <c r="A407" s="283" t="s">
        <v>445</v>
      </c>
      <c r="B407" s="283"/>
      <c r="C407" s="283"/>
      <c r="D407" s="283"/>
      <c r="E407" s="283"/>
      <c r="F407" s="283"/>
      <c r="G407" s="283"/>
      <c r="H407" s="283"/>
      <c r="I407" s="283"/>
      <c r="J407" s="283"/>
      <c r="K407" s="283"/>
      <c r="L407" s="283"/>
      <c r="M407" s="283"/>
      <c r="N407" s="283"/>
      <c r="O407" s="283"/>
      <c r="P407" s="283"/>
      <c r="Q407" s="283"/>
      <c r="R407" s="283"/>
      <c r="S407" s="283"/>
      <c r="T407" s="283"/>
      <c r="U407" s="283"/>
      <c r="V407" s="283"/>
      <c r="W407" s="283"/>
      <c r="X407" s="283"/>
      <c r="Y407" s="283"/>
      <c r="Z407" s="283"/>
    </row>
    <row r="408" spans="1:26">
      <c r="A408" s="283" t="s">
        <v>601</v>
      </c>
      <c r="B408" s="283"/>
      <c r="C408" s="283"/>
      <c r="D408" s="283"/>
      <c r="E408" s="283"/>
      <c r="F408" s="283"/>
      <c r="G408" s="283"/>
      <c r="H408" s="283"/>
      <c r="I408" s="283"/>
      <c r="J408" s="283"/>
      <c r="K408" s="283"/>
      <c r="L408" s="283"/>
      <c r="M408" s="283"/>
      <c r="N408" s="283"/>
      <c r="O408" s="283"/>
      <c r="P408" s="283"/>
      <c r="Q408" s="283"/>
      <c r="R408" s="283"/>
      <c r="S408" s="283"/>
      <c r="T408" s="283"/>
      <c r="U408" s="283"/>
      <c r="V408" s="283"/>
      <c r="W408" s="283"/>
      <c r="X408" s="283"/>
      <c r="Y408" s="283"/>
      <c r="Z408" s="283"/>
    </row>
    <row r="409" spans="1:26">
      <c r="A409" s="283"/>
      <c r="B409" s="283"/>
      <c r="C409" s="283"/>
      <c r="D409" s="283"/>
      <c r="E409" s="283"/>
      <c r="F409" s="283"/>
      <c r="G409" s="283"/>
      <c r="H409" s="283"/>
      <c r="I409" s="283"/>
      <c r="J409" s="283"/>
      <c r="K409" s="283"/>
      <c r="L409" s="283"/>
      <c r="M409" s="283"/>
      <c r="N409" s="283"/>
      <c r="O409" s="283"/>
      <c r="P409" s="283"/>
      <c r="Q409" s="283"/>
      <c r="R409" s="283"/>
      <c r="S409" s="283"/>
      <c r="T409" s="283"/>
      <c r="U409" s="283"/>
      <c r="V409" s="283"/>
      <c r="W409" s="283"/>
      <c r="X409" s="283"/>
      <c r="Y409" s="283"/>
      <c r="Z409" s="283"/>
    </row>
    <row r="410" spans="1:26">
      <c r="A410" s="283"/>
      <c r="B410" s="283"/>
      <c r="C410" s="283"/>
      <c r="D410" s="283"/>
      <c r="E410" s="283"/>
      <c r="F410" s="283"/>
      <c r="G410" s="283"/>
      <c r="H410" s="283"/>
      <c r="I410" s="283"/>
      <c r="J410" s="283"/>
      <c r="K410" s="283"/>
      <c r="L410" s="283"/>
      <c r="M410" s="283"/>
      <c r="N410" s="283"/>
      <c r="O410" s="283"/>
      <c r="P410" s="283"/>
      <c r="Q410" s="283"/>
      <c r="R410" s="283"/>
      <c r="S410" s="283"/>
      <c r="T410" s="283"/>
      <c r="U410" s="283"/>
      <c r="V410" s="283"/>
      <c r="W410" s="283"/>
      <c r="X410" s="283"/>
      <c r="Y410" s="283"/>
      <c r="Z410" s="283"/>
    </row>
    <row r="411" spans="1:26">
      <c r="A411" s="283"/>
      <c r="B411" s="283"/>
      <c r="C411" s="283"/>
      <c r="D411" s="283"/>
      <c r="E411" s="283"/>
      <c r="F411" s="283"/>
      <c r="G411" s="283"/>
      <c r="H411" s="283"/>
      <c r="I411" s="283"/>
      <c r="J411" s="283"/>
      <c r="K411" s="283"/>
      <c r="L411" s="283"/>
      <c r="M411" s="283"/>
      <c r="N411" s="283"/>
      <c r="O411" s="283"/>
      <c r="P411" s="283"/>
      <c r="Q411" s="283"/>
      <c r="R411" s="283"/>
      <c r="S411" s="283"/>
      <c r="T411" s="283"/>
      <c r="U411" s="283"/>
      <c r="V411" s="283"/>
      <c r="W411" s="283"/>
      <c r="X411" s="283"/>
      <c r="Y411" s="283"/>
      <c r="Z411" s="283"/>
    </row>
    <row r="412" spans="1:26">
      <c r="A412" s="283"/>
      <c r="B412" s="283"/>
      <c r="C412" s="283"/>
      <c r="D412" s="283" t="s">
        <v>449</v>
      </c>
      <c r="E412" s="283" t="s">
        <v>450</v>
      </c>
      <c r="F412" s="283" t="s">
        <v>451</v>
      </c>
      <c r="G412" s="283" t="s">
        <v>452</v>
      </c>
      <c r="H412" s="283" t="s">
        <v>453</v>
      </c>
      <c r="I412" s="283" t="s">
        <v>454</v>
      </c>
      <c r="J412" s="283" t="s">
        <v>455</v>
      </c>
      <c r="K412" s="283" t="s">
        <v>456</v>
      </c>
      <c r="L412" s="283" t="s">
        <v>457</v>
      </c>
      <c r="M412" s="283" t="s">
        <v>458</v>
      </c>
      <c r="N412" s="283" t="s">
        <v>459</v>
      </c>
      <c r="O412" s="283" t="s">
        <v>460</v>
      </c>
      <c r="P412" s="283" t="s">
        <v>461</v>
      </c>
      <c r="Q412" s="283" t="s">
        <v>462</v>
      </c>
      <c r="R412" s="283" t="s">
        <v>463</v>
      </c>
      <c r="S412" s="283" t="s">
        <v>464</v>
      </c>
      <c r="T412" s="283" t="s">
        <v>465</v>
      </c>
      <c r="U412" s="283" t="s">
        <v>466</v>
      </c>
      <c r="V412" s="283" t="s">
        <v>467</v>
      </c>
      <c r="W412" s="283" t="s">
        <v>468</v>
      </c>
      <c r="X412" s="283" t="s">
        <v>469</v>
      </c>
      <c r="Y412" s="283" t="s">
        <v>470</v>
      </c>
      <c r="Z412" s="283" t="s">
        <v>602</v>
      </c>
    </row>
    <row r="413" spans="1:26">
      <c r="A413" s="283"/>
      <c r="B413" s="283"/>
      <c r="C413" s="283"/>
      <c r="D413" s="283"/>
      <c r="E413" s="283"/>
      <c r="F413" s="283"/>
      <c r="G413" s="283"/>
      <c r="H413" s="283"/>
      <c r="I413" s="283"/>
      <c r="J413" s="283"/>
      <c r="K413" s="283"/>
      <c r="L413" s="283"/>
      <c r="M413" s="283"/>
      <c r="N413" s="283"/>
      <c r="O413" s="283"/>
      <c r="P413" s="283"/>
      <c r="Q413" s="283"/>
      <c r="R413" s="283"/>
      <c r="S413" s="283"/>
      <c r="T413" s="283"/>
      <c r="U413" s="283"/>
      <c r="V413" s="283"/>
      <c r="W413" s="283"/>
      <c r="X413" s="283"/>
      <c r="Y413" s="283"/>
      <c r="Z413" s="283"/>
    </row>
    <row r="414" spans="1:26">
      <c r="A414" s="283"/>
      <c r="B414" s="283"/>
      <c r="C414" s="283"/>
      <c r="D414" s="283"/>
      <c r="E414" s="283"/>
      <c r="F414" s="283"/>
      <c r="G414" s="283"/>
      <c r="H414" s="283"/>
      <c r="I414" s="283"/>
      <c r="J414" s="283"/>
      <c r="K414" s="283"/>
      <c r="L414" s="283"/>
      <c r="M414" s="283"/>
      <c r="N414" s="283"/>
      <c r="O414" s="283"/>
      <c r="P414" s="283"/>
      <c r="Q414" s="283"/>
      <c r="R414" s="283"/>
      <c r="S414" s="283"/>
      <c r="T414" s="283"/>
      <c r="U414" s="283"/>
      <c r="V414" s="283"/>
      <c r="W414" s="283"/>
      <c r="X414" s="283"/>
      <c r="Y414" s="283"/>
      <c r="Z414" s="283"/>
    </row>
    <row r="415" spans="1:26">
      <c r="A415" s="283" t="s">
        <v>471</v>
      </c>
      <c r="B415" s="283"/>
      <c r="C415" s="283"/>
      <c r="D415" s="283"/>
      <c r="E415" s="283"/>
      <c r="F415" s="283"/>
      <c r="G415" s="283"/>
      <c r="H415" s="283"/>
      <c r="I415" s="283"/>
      <c r="J415" s="283"/>
      <c r="K415" s="283"/>
      <c r="L415" s="283"/>
      <c r="M415" s="283"/>
      <c r="N415" s="283"/>
      <c r="O415" s="283"/>
      <c r="P415" s="283"/>
      <c r="Q415" s="283"/>
      <c r="R415" s="283"/>
      <c r="S415" s="283"/>
      <c r="T415" s="283"/>
      <c r="U415" s="283"/>
      <c r="V415" s="283"/>
      <c r="W415" s="283"/>
      <c r="X415" s="283"/>
      <c r="Y415" s="283"/>
      <c r="Z415" s="283"/>
    </row>
    <row r="416" spans="1:26">
      <c r="A416" s="283" t="s">
        <v>607</v>
      </c>
      <c r="B416" s="283"/>
      <c r="C416" s="283"/>
      <c r="D416" s="283">
        <v>18.210411071777301</v>
      </c>
      <c r="E416" s="283">
        <v>19.293371200561499</v>
      </c>
      <c r="F416" s="283">
        <v>21.158409118652301</v>
      </c>
      <c r="G416" s="283">
        <v>24.5404376983643</v>
      </c>
      <c r="H416" s="283">
        <v>24.494813919067401</v>
      </c>
      <c r="I416" s="283">
        <v>23.9600429534912</v>
      </c>
      <c r="J416" s="283">
        <v>23.672391891479499</v>
      </c>
      <c r="K416" s="283">
        <v>23.2634162902832</v>
      </c>
      <c r="L416" s="283">
        <v>23.106723785400401</v>
      </c>
      <c r="M416" s="283">
        <v>22.905719757080099</v>
      </c>
      <c r="N416" s="283">
        <v>22.942964553833001</v>
      </c>
      <c r="O416" s="283">
        <v>22.881586074829102</v>
      </c>
      <c r="P416" s="283">
        <v>22.979688644409201</v>
      </c>
      <c r="Q416" s="283">
        <v>23.190465927123999</v>
      </c>
      <c r="R416" s="283">
        <v>23.129106521606399</v>
      </c>
      <c r="S416" s="283">
        <v>23.088548660278299</v>
      </c>
      <c r="T416" s="283">
        <v>23.183416366577099</v>
      </c>
      <c r="U416" s="283">
        <v>23.1546516418457</v>
      </c>
      <c r="V416" s="283">
        <v>23.285535812377901</v>
      </c>
      <c r="W416" s="283">
        <v>23.420475006103501</v>
      </c>
      <c r="X416" s="283">
        <v>23.540468215942401</v>
      </c>
      <c r="Y416" s="283">
        <v>23.532218933105501</v>
      </c>
      <c r="Z416" s="283">
        <v>23.562456130981399</v>
      </c>
    </row>
    <row r="417" spans="1:26">
      <c r="A417" s="283" t="s">
        <v>608</v>
      </c>
      <c r="B417" s="283"/>
      <c r="C417" s="283"/>
      <c r="D417" s="283">
        <v>12.893347740173301</v>
      </c>
      <c r="E417" s="283">
        <v>14.727064132690399</v>
      </c>
      <c r="F417" s="283">
        <v>16.906724929809599</v>
      </c>
      <c r="G417" s="283">
        <v>17.4485054016113</v>
      </c>
      <c r="H417" s="283">
        <v>16.910488128662099</v>
      </c>
      <c r="I417" s="283">
        <v>15.8367977142334</v>
      </c>
      <c r="J417" s="283">
        <v>14.87486743927</v>
      </c>
      <c r="K417" s="283">
        <v>14.031831741333001</v>
      </c>
      <c r="L417" s="283">
        <v>13.359474182128899</v>
      </c>
      <c r="M417" s="283">
        <v>12.596385955810501</v>
      </c>
      <c r="N417" s="283">
        <v>12.5241403579712</v>
      </c>
      <c r="O417" s="283">
        <v>12.595507621765099</v>
      </c>
      <c r="P417" s="283">
        <v>12.630928039550801</v>
      </c>
      <c r="Q417" s="283">
        <v>12.738121032714799</v>
      </c>
      <c r="R417" s="283">
        <v>12.8303670883179</v>
      </c>
      <c r="S417" s="283">
        <v>13.052293777465801</v>
      </c>
      <c r="T417" s="283">
        <v>13.1472158432007</v>
      </c>
      <c r="U417" s="283">
        <v>13.2630777359009</v>
      </c>
      <c r="V417" s="283">
        <v>13.422198295593301</v>
      </c>
      <c r="W417" s="283">
        <v>13.360619544982899</v>
      </c>
      <c r="X417" s="283">
        <v>13.513841629028301</v>
      </c>
      <c r="Y417" s="283">
        <v>13.560380935668899</v>
      </c>
      <c r="Z417" s="283">
        <v>13.627392768859901</v>
      </c>
    </row>
    <row r="418" spans="1:26">
      <c r="A418" s="283" t="s">
        <v>508</v>
      </c>
      <c r="B418" s="283"/>
      <c r="C418" s="283"/>
      <c r="D418" s="283">
        <v>10.721179008483899</v>
      </c>
      <c r="E418" s="283">
        <v>12.4281768798828</v>
      </c>
      <c r="F418" s="283">
        <v>13.040691375732401</v>
      </c>
      <c r="G418" s="283">
        <v>11.8341617584229</v>
      </c>
      <c r="H418" s="283">
        <v>11.7410221099854</v>
      </c>
      <c r="I418" s="283">
        <v>11.2507781982422</v>
      </c>
      <c r="J418" s="283">
        <v>10.9759874343872</v>
      </c>
      <c r="K418" s="283">
        <v>10.5919141769409</v>
      </c>
      <c r="L418" s="283">
        <v>10.441241264343301</v>
      </c>
      <c r="M418" s="283">
        <v>10.249824523925801</v>
      </c>
      <c r="N418" s="283">
        <v>10.2927255630493</v>
      </c>
      <c r="O418" s="283">
        <v>10.2421607971191</v>
      </c>
      <c r="P418" s="283">
        <v>10.3305416107178</v>
      </c>
      <c r="Q418" s="283">
        <v>10.557685852050801</v>
      </c>
      <c r="R418" s="283">
        <v>10.4870929718018</v>
      </c>
      <c r="S418" s="283">
        <v>10.439262390136699</v>
      </c>
      <c r="T418" s="283">
        <v>10.539955139160201</v>
      </c>
      <c r="U418" s="283">
        <v>10.5361185073853</v>
      </c>
      <c r="V418" s="283">
        <v>10.6743927001953</v>
      </c>
      <c r="W418" s="283">
        <v>10.830116271972701</v>
      </c>
      <c r="X418" s="283">
        <v>10.948052406311</v>
      </c>
      <c r="Y418" s="283">
        <v>10.9735927581787</v>
      </c>
      <c r="Z418" s="283">
        <v>11.0174913406372</v>
      </c>
    </row>
    <row r="419" spans="1:26">
      <c r="A419" s="283" t="s">
        <v>477</v>
      </c>
      <c r="B419" s="283"/>
      <c r="C419" s="283"/>
      <c r="D419" s="283">
        <v>27.0989685058594</v>
      </c>
      <c r="E419" s="283">
        <v>27.587884902954102</v>
      </c>
      <c r="F419" s="283">
        <v>27.636594772338899</v>
      </c>
      <c r="G419" s="283">
        <v>27.492031097412099</v>
      </c>
      <c r="H419" s="283">
        <v>27.368114471435501</v>
      </c>
      <c r="I419" s="283">
        <v>27.154861450195298</v>
      </c>
      <c r="J419" s="283">
        <v>26.912786483764599</v>
      </c>
      <c r="K419" s="283">
        <v>26.5094184875488</v>
      </c>
      <c r="L419" s="283">
        <v>26.281187057495099</v>
      </c>
      <c r="M419" s="283">
        <v>26.172458648681602</v>
      </c>
      <c r="N419" s="283">
        <v>26.036540985107401</v>
      </c>
      <c r="O419" s="283">
        <v>25.993564605712901</v>
      </c>
      <c r="P419" s="283">
        <v>26.085290908813501</v>
      </c>
      <c r="Q419" s="283">
        <v>26.304872512817401</v>
      </c>
      <c r="R419" s="283">
        <v>26.445003509521499</v>
      </c>
      <c r="S419" s="283">
        <v>26.355556488037099</v>
      </c>
      <c r="T419" s="283">
        <v>26.368726730346701</v>
      </c>
      <c r="U419" s="283">
        <v>26.419284820556602</v>
      </c>
      <c r="V419" s="283">
        <v>26.420993804931602</v>
      </c>
      <c r="W419" s="283">
        <v>26.4647102355957</v>
      </c>
      <c r="X419" s="283">
        <v>26.5621242523193</v>
      </c>
      <c r="Y419" s="283">
        <v>26.608213424682599</v>
      </c>
      <c r="Z419" s="283">
        <v>26.564920425415</v>
      </c>
    </row>
    <row r="420" spans="1:26">
      <c r="A420" s="283" t="s">
        <v>478</v>
      </c>
      <c r="B420" s="283"/>
      <c r="C420" s="283"/>
      <c r="D420" s="283"/>
      <c r="E420" s="283"/>
      <c r="F420" s="283"/>
      <c r="G420" s="283"/>
      <c r="H420" s="283"/>
      <c r="I420" s="283"/>
      <c r="J420" s="283"/>
      <c r="K420" s="283"/>
      <c r="L420" s="283"/>
      <c r="M420" s="283"/>
      <c r="N420" s="283"/>
      <c r="O420" s="283"/>
      <c r="P420" s="283"/>
      <c r="Q420" s="283"/>
      <c r="R420" s="283"/>
      <c r="S420" s="283"/>
      <c r="T420" s="283"/>
      <c r="U420" s="283"/>
      <c r="V420" s="283"/>
      <c r="W420" s="283"/>
      <c r="X420" s="283"/>
      <c r="Y420" s="283"/>
      <c r="Z420" s="283"/>
    </row>
    <row r="421" spans="1:26">
      <c r="A421" s="283" t="s">
        <v>608</v>
      </c>
      <c r="B421" s="283"/>
      <c r="C421" s="283"/>
      <c r="D421" s="283">
        <v>10.4802904129028</v>
      </c>
      <c r="E421" s="283">
        <v>12.6793832778931</v>
      </c>
      <c r="F421" s="283">
        <v>14.632154464721699</v>
      </c>
      <c r="G421" s="283">
        <v>15.3235988616943</v>
      </c>
      <c r="H421" s="283">
        <v>14.4384679794312</v>
      </c>
      <c r="I421" s="283">
        <v>13.4501142501831</v>
      </c>
      <c r="J421" s="283">
        <v>12.7189273834229</v>
      </c>
      <c r="K421" s="283">
        <v>11.9810342788696</v>
      </c>
      <c r="L421" s="283">
        <v>11.338329315185501</v>
      </c>
      <c r="M421" s="283">
        <v>10.8460388183594</v>
      </c>
      <c r="N421" s="283">
        <v>10.667523384094199</v>
      </c>
      <c r="O421" s="283">
        <v>10.728004455566399</v>
      </c>
      <c r="P421" s="283">
        <v>10.8701782226563</v>
      </c>
      <c r="Q421" s="283">
        <v>10.9251909255981</v>
      </c>
      <c r="R421" s="283">
        <v>11.0219278335571</v>
      </c>
      <c r="S421" s="283">
        <v>11.292310714721699</v>
      </c>
      <c r="T421" s="283">
        <v>11.349814414978001</v>
      </c>
      <c r="U421" s="283">
        <v>11.461010932922401</v>
      </c>
      <c r="V421" s="283">
        <v>11.6882877349854</v>
      </c>
      <c r="W421" s="283">
        <v>11.5126600265503</v>
      </c>
      <c r="X421" s="283">
        <v>11.6838274002075</v>
      </c>
      <c r="Y421" s="283">
        <v>11.8503408432007</v>
      </c>
      <c r="Z421" s="283">
        <v>11.857501029968301</v>
      </c>
    </row>
    <row r="422" spans="1:26" ht="51" customHeight="1">
      <c r="A422" s="283" t="s">
        <v>609</v>
      </c>
      <c r="B422" s="283"/>
      <c r="C422" s="283"/>
      <c r="D422" s="283">
        <v>6.2490105628967303</v>
      </c>
      <c r="E422" s="283">
        <v>8.4144115447997994</v>
      </c>
      <c r="F422" s="283">
        <v>10.1003465652466</v>
      </c>
      <c r="G422" s="283">
        <v>7.8816242218017596</v>
      </c>
      <c r="H422" s="283">
        <v>7.7979149818420401</v>
      </c>
      <c r="I422" s="283">
        <v>7.67907810211182</v>
      </c>
      <c r="J422" s="283">
        <v>7.5374598503112802</v>
      </c>
      <c r="K422" s="283">
        <v>7.0601482391357404</v>
      </c>
      <c r="L422" s="283">
        <v>6.9191079139709499</v>
      </c>
      <c r="M422" s="283">
        <v>5.9906802177429199</v>
      </c>
      <c r="N422" s="283">
        <v>6.31249952316284</v>
      </c>
      <c r="O422" s="283">
        <v>6.4941840171814</v>
      </c>
      <c r="P422" s="283">
        <v>6.4476203918456996</v>
      </c>
      <c r="Q422" s="283">
        <v>6.5857205390930202</v>
      </c>
      <c r="R422" s="283">
        <v>6.7015118598937997</v>
      </c>
      <c r="S422" s="283">
        <v>6.98899221420288</v>
      </c>
      <c r="T422" s="283">
        <v>7.0690569877624503</v>
      </c>
      <c r="U422" s="283">
        <v>7.2425847053527797</v>
      </c>
      <c r="V422" s="283">
        <v>7.4012169837951696</v>
      </c>
      <c r="W422" s="283">
        <v>7.2363023757934597</v>
      </c>
      <c r="X422" s="283">
        <v>7.3775544166564897</v>
      </c>
      <c r="Y422" s="283">
        <v>7.1704416275024396</v>
      </c>
      <c r="Z422" s="283">
        <v>7.2997760772705096</v>
      </c>
    </row>
    <row r="423" spans="1:26" ht="30.75" customHeight="1">
      <c r="A423" s="285" t="s">
        <v>508</v>
      </c>
      <c r="B423" s="285"/>
      <c r="C423" s="285"/>
      <c r="D423" s="283">
        <v>9.4024562835693395</v>
      </c>
      <c r="E423" s="283">
        <v>11.2028198242188</v>
      </c>
      <c r="F423" s="283">
        <v>11.3786783218384</v>
      </c>
      <c r="G423" s="283">
        <v>10.2688541412354</v>
      </c>
      <c r="H423" s="283">
        <v>10.157588958740201</v>
      </c>
      <c r="I423" s="283">
        <v>9.6297473907470703</v>
      </c>
      <c r="J423" s="283">
        <v>9.3356885910034197</v>
      </c>
      <c r="K423" s="283">
        <v>8.9214458465576207</v>
      </c>
      <c r="L423" s="283">
        <v>8.7509040832519496</v>
      </c>
      <c r="M423" s="283">
        <v>8.5351839065551793</v>
      </c>
      <c r="N423" s="283">
        <v>8.5524559020996094</v>
      </c>
      <c r="O423" s="283">
        <v>8.47686672210693</v>
      </c>
      <c r="P423" s="283">
        <v>8.5459880828857404</v>
      </c>
      <c r="Q423" s="283">
        <v>8.7391986846923793</v>
      </c>
      <c r="R423" s="283">
        <v>8.6564092636108398</v>
      </c>
      <c r="S423" s="283">
        <v>8.5963792800903303</v>
      </c>
      <c r="T423" s="283">
        <v>8.6742591857910192</v>
      </c>
      <c r="U423" s="283">
        <v>8.6351099014282209</v>
      </c>
      <c r="V423" s="283">
        <v>8.7470979690551793</v>
      </c>
      <c r="W423" s="283">
        <v>8.8685941696166992</v>
      </c>
      <c r="X423" s="283">
        <v>8.9716949462890607</v>
      </c>
      <c r="Y423" s="283">
        <v>8.9597854614257795</v>
      </c>
      <c r="Z423" s="283">
        <v>8.9777603149414098</v>
      </c>
    </row>
    <row r="424" spans="1:26">
      <c r="A424" s="284" t="s">
        <v>477</v>
      </c>
      <c r="B424" s="284"/>
      <c r="C424" s="284"/>
      <c r="D424" s="283">
        <v>24.591539382934599</v>
      </c>
      <c r="E424" s="283">
        <v>25.251781463623001</v>
      </c>
      <c r="F424" s="283">
        <v>25.738388061523398</v>
      </c>
      <c r="G424" s="283">
        <v>25.3376979827881</v>
      </c>
      <c r="H424" s="283">
        <v>25.268539428710898</v>
      </c>
      <c r="I424" s="283">
        <v>24.918291091918899</v>
      </c>
      <c r="J424" s="283">
        <v>24.500482559204102</v>
      </c>
      <c r="K424" s="283">
        <v>23.8594665527344</v>
      </c>
      <c r="L424" s="283">
        <v>23.593626022338899</v>
      </c>
      <c r="M424" s="283">
        <v>23.443479537963899</v>
      </c>
      <c r="N424" s="283">
        <v>23.311824798583999</v>
      </c>
      <c r="O424" s="283">
        <v>23.328050613403299</v>
      </c>
      <c r="P424" s="283">
        <v>23.4844055175781</v>
      </c>
      <c r="Q424" s="283">
        <v>23.749778747558601</v>
      </c>
      <c r="R424" s="283">
        <v>23.944339752197301</v>
      </c>
      <c r="S424" s="283">
        <v>23.889307022094702</v>
      </c>
      <c r="T424" s="283">
        <v>23.952335357666001</v>
      </c>
      <c r="U424" s="283">
        <v>24.000473022460898</v>
      </c>
      <c r="V424" s="283">
        <v>24.006351470947301</v>
      </c>
      <c r="W424" s="283">
        <v>24.077814102172901</v>
      </c>
      <c r="X424" s="283">
        <v>24.1955890655518</v>
      </c>
      <c r="Y424" s="283">
        <v>24.23095703125</v>
      </c>
      <c r="Z424" s="283">
        <v>24.1812038421631</v>
      </c>
    </row>
    <row r="425" spans="1:26">
      <c r="A425" s="283" t="s">
        <v>610</v>
      </c>
      <c r="B425" s="283"/>
      <c r="C425" s="283"/>
      <c r="D425" s="283"/>
      <c r="E425" s="283"/>
      <c r="F425" s="283"/>
      <c r="G425" s="283"/>
      <c r="H425" s="283"/>
      <c r="I425" s="283"/>
      <c r="J425" s="283"/>
      <c r="K425" s="283"/>
      <c r="L425" s="283"/>
      <c r="M425" s="283"/>
      <c r="N425" s="283"/>
      <c r="O425" s="283"/>
      <c r="P425" s="283"/>
      <c r="Q425" s="283"/>
      <c r="R425" s="283"/>
      <c r="S425" s="283"/>
      <c r="T425" s="283"/>
      <c r="U425" s="283"/>
      <c r="V425" s="283"/>
      <c r="W425" s="283"/>
      <c r="X425" s="283"/>
      <c r="Y425" s="283"/>
      <c r="Z425" s="283"/>
    </row>
    <row r="426" spans="1:26">
      <c r="A426" s="283" t="s">
        <v>607</v>
      </c>
      <c r="B426" s="283"/>
      <c r="C426" s="283"/>
      <c r="D426" s="283">
        <v>11.1755380630493</v>
      </c>
      <c r="E426" s="283">
        <v>16.959981918335</v>
      </c>
      <c r="F426" s="283">
        <v>18.9578742980957</v>
      </c>
      <c r="G426" s="283">
        <v>17.513134002685501</v>
      </c>
      <c r="H426" s="283">
        <v>17.389408111572301</v>
      </c>
      <c r="I426" s="283">
        <v>16.750247955322301</v>
      </c>
      <c r="J426" s="283">
        <v>16.423851013183601</v>
      </c>
      <c r="K426" s="283">
        <v>15.943309783935501</v>
      </c>
      <c r="L426" s="283">
        <v>15.769355773925801</v>
      </c>
      <c r="M426" s="283">
        <v>15.620997428894</v>
      </c>
      <c r="N426" s="283">
        <v>15.627494812011699</v>
      </c>
      <c r="O426" s="283">
        <v>15.565483093261699</v>
      </c>
      <c r="P426" s="283">
        <v>15.6823263168335</v>
      </c>
      <c r="Q426" s="283">
        <v>15.8655786514282</v>
      </c>
      <c r="R426" s="283">
        <v>15.8662757873535</v>
      </c>
      <c r="S426" s="283">
        <v>15.8647546768188</v>
      </c>
      <c r="T426" s="283">
        <v>15.9073581695557</v>
      </c>
      <c r="U426" s="283">
        <v>15.883088111877401</v>
      </c>
      <c r="V426" s="283">
        <v>15.994482994079601</v>
      </c>
      <c r="W426" s="283">
        <v>16.1067924499512</v>
      </c>
      <c r="X426" s="283">
        <v>16.2546577453613</v>
      </c>
      <c r="Y426" s="283">
        <v>16.219263076782202</v>
      </c>
      <c r="Z426" s="283">
        <v>16.2301216125488</v>
      </c>
    </row>
    <row r="427" spans="1:26">
      <c r="A427" s="283" t="s">
        <v>608</v>
      </c>
      <c r="B427" s="283"/>
      <c r="C427" s="283"/>
      <c r="D427" s="283">
        <v>10.9898891448975</v>
      </c>
      <c r="E427" s="283">
        <v>13.0814533233643</v>
      </c>
      <c r="F427" s="283">
        <v>15.1407413482666</v>
      </c>
      <c r="G427" s="283">
        <v>15.435567855835</v>
      </c>
      <c r="H427" s="283">
        <v>14.2919836044312</v>
      </c>
      <c r="I427" s="283">
        <v>13.4232997894287</v>
      </c>
      <c r="J427" s="283">
        <v>12.948052406311</v>
      </c>
      <c r="K427" s="283">
        <v>12.4780015945435</v>
      </c>
      <c r="L427" s="283">
        <v>11.882830619811999</v>
      </c>
      <c r="M427" s="283">
        <v>11.641848564147899</v>
      </c>
      <c r="N427" s="283">
        <v>11.349123954772899</v>
      </c>
      <c r="O427" s="283">
        <v>11.401933670043899</v>
      </c>
      <c r="P427" s="283">
        <v>11.6324548721313</v>
      </c>
      <c r="Q427" s="283">
        <v>11.632493019104</v>
      </c>
      <c r="R427" s="283">
        <v>11.737724304199199</v>
      </c>
      <c r="S427" s="283">
        <v>12.060711860656699</v>
      </c>
      <c r="T427" s="283">
        <v>12.0405569076538</v>
      </c>
      <c r="U427" s="283">
        <v>12.1396341323853</v>
      </c>
      <c r="V427" s="283">
        <v>12.421196937561</v>
      </c>
      <c r="W427" s="283">
        <v>12.169375419616699</v>
      </c>
      <c r="X427" s="283">
        <v>12.3622283935547</v>
      </c>
      <c r="Y427" s="283">
        <v>12.619636535644499</v>
      </c>
      <c r="Z427" s="283">
        <v>12.5786838531494</v>
      </c>
    </row>
    <row r="428" spans="1:26">
      <c r="A428" s="283" t="s">
        <v>609</v>
      </c>
      <c r="B428" s="283"/>
      <c r="C428" s="283"/>
      <c r="D428" s="283">
        <v>5.7738895416259801</v>
      </c>
      <c r="E428" s="283">
        <v>7.7708010673522896</v>
      </c>
      <c r="F428" s="283">
        <v>9.3422021865844709</v>
      </c>
      <c r="G428" s="283">
        <v>9.8767166137695295</v>
      </c>
      <c r="H428" s="283">
        <v>10.084191322326699</v>
      </c>
      <c r="I428" s="283">
        <v>9.7906637191772496</v>
      </c>
      <c r="J428" s="283">
        <v>9.5023155212402308</v>
      </c>
      <c r="K428" s="283">
        <v>8.7792091369628906</v>
      </c>
      <c r="L428" s="283">
        <v>8.4676847457885707</v>
      </c>
      <c r="M428" s="283">
        <v>8.0373468399047905</v>
      </c>
      <c r="N428" s="283">
        <v>7.9767365455627397</v>
      </c>
      <c r="O428" s="283">
        <v>8.2131023406982404</v>
      </c>
      <c r="P428" s="283">
        <v>8.4110374450683594</v>
      </c>
      <c r="Q428" s="283">
        <v>8.5568304061889595</v>
      </c>
      <c r="R428" s="283">
        <v>8.6100654602050799</v>
      </c>
      <c r="S428" s="283">
        <v>8.8084278106689506</v>
      </c>
      <c r="T428" s="283">
        <v>8.9135255813598597</v>
      </c>
      <c r="U428" s="283">
        <v>9.0664196014404297</v>
      </c>
      <c r="V428" s="283">
        <v>9.2084608078002894</v>
      </c>
      <c r="W428" s="283">
        <v>9.1494617462158203</v>
      </c>
      <c r="X428" s="283">
        <v>9.2910699844360405</v>
      </c>
      <c r="Y428" s="283">
        <v>9.2583961486816406</v>
      </c>
      <c r="Z428" s="283">
        <v>9.38494873046875</v>
      </c>
    </row>
    <row r="429" spans="1:26">
      <c r="A429" s="285" t="s">
        <v>611</v>
      </c>
      <c r="B429" s="285"/>
      <c r="C429" s="285"/>
      <c r="D429" s="283">
        <v>6.4688553810119602</v>
      </c>
      <c r="E429" s="283">
        <v>8.1627740859985405</v>
      </c>
      <c r="F429" s="283">
        <v>7.4494204521179199</v>
      </c>
      <c r="G429" s="283">
        <v>7.3632249832153303</v>
      </c>
      <c r="H429" s="283">
        <v>7.2901554107665998</v>
      </c>
      <c r="I429" s="283">
        <v>6.7422003746032697</v>
      </c>
      <c r="J429" s="283">
        <v>6.4267692565918004</v>
      </c>
      <c r="K429" s="283">
        <v>6.0213589668273899</v>
      </c>
      <c r="L429" s="283">
        <v>5.8671450614929199</v>
      </c>
      <c r="M429" s="283">
        <v>5.6813068389892596</v>
      </c>
      <c r="N429" s="283">
        <v>5.6900143623352104</v>
      </c>
      <c r="O429" s="283">
        <v>5.6504640579223597</v>
      </c>
      <c r="P429" s="283">
        <v>5.7415480613708496</v>
      </c>
      <c r="Q429" s="283">
        <v>5.91982173919678</v>
      </c>
      <c r="R429" s="283">
        <v>5.8755149841308603</v>
      </c>
      <c r="S429" s="283">
        <v>5.8359832763671902</v>
      </c>
      <c r="T429" s="283">
        <v>5.9000439643859899</v>
      </c>
      <c r="U429" s="283">
        <v>5.8858833312988299</v>
      </c>
      <c r="V429" s="283">
        <v>6.0041050910949698</v>
      </c>
      <c r="W429" s="283">
        <v>6.1238050460815403</v>
      </c>
      <c r="X429" s="283">
        <v>6.2412667274475098</v>
      </c>
      <c r="Y429" s="283">
        <v>6.2102909088134801</v>
      </c>
      <c r="Z429" s="283">
        <v>6.2538614273071298</v>
      </c>
    </row>
    <row r="430" spans="1:26">
      <c r="A430" s="283" t="s">
        <v>612</v>
      </c>
      <c r="B430" s="283"/>
      <c r="C430" s="283"/>
      <c r="D430" s="283">
        <v>2.3078472614288299</v>
      </c>
      <c r="E430" s="283">
        <v>3.0599997043609601</v>
      </c>
      <c r="F430" s="283">
        <v>3.2548489570617698</v>
      </c>
      <c r="G430" s="283">
        <v>3.2975256443023699</v>
      </c>
      <c r="H430" s="283">
        <v>3.2872827053070099</v>
      </c>
      <c r="I430" s="283">
        <v>3.1889374256134002</v>
      </c>
      <c r="J430" s="283">
        <v>3.0940959453582799</v>
      </c>
      <c r="K430" s="283">
        <v>2.9914577007293701</v>
      </c>
      <c r="L430" s="283">
        <v>2.8927016258239702</v>
      </c>
      <c r="M430" s="283">
        <v>2.78926348686218</v>
      </c>
      <c r="N430" s="283">
        <v>2.7408642768859899</v>
      </c>
      <c r="O430" s="283">
        <v>2.7166485786438002</v>
      </c>
      <c r="P430" s="283">
        <v>2.7061200141906698</v>
      </c>
      <c r="Q430" s="283">
        <v>2.7063503265380899</v>
      </c>
      <c r="R430" s="283">
        <v>2.7045123577117902</v>
      </c>
      <c r="S430" s="283">
        <v>2.68979120254517</v>
      </c>
      <c r="T430" s="283">
        <v>2.7072892189025901</v>
      </c>
      <c r="U430" s="283">
        <v>2.71812868118286</v>
      </c>
      <c r="V430" s="283">
        <v>2.7191135883331299</v>
      </c>
      <c r="W430" s="283">
        <v>2.7064330577850302</v>
      </c>
      <c r="X430" s="283">
        <v>2.68589544296265</v>
      </c>
      <c r="Y430" s="283">
        <v>2.69574999809265</v>
      </c>
      <c r="Z430" s="283">
        <v>2.7049932479858398</v>
      </c>
    </row>
    <row r="431" spans="1:26">
      <c r="A431" s="283" t="s">
        <v>613</v>
      </c>
      <c r="B431" s="283"/>
      <c r="C431" s="283"/>
      <c r="D431" s="283">
        <v>1.80300605297089</v>
      </c>
      <c r="E431" s="283">
        <v>2.1500017642974898</v>
      </c>
      <c r="F431" s="283">
        <v>2.2005796432495099</v>
      </c>
      <c r="G431" s="283">
        <v>2.2392640113830602</v>
      </c>
      <c r="H431" s="283">
        <v>2.2450914382934601</v>
      </c>
      <c r="I431" s="283">
        <v>2.2358458042144802</v>
      </c>
      <c r="J431" s="283">
        <v>2.2614977359771702</v>
      </c>
      <c r="K431" s="283">
        <v>2.2480733394622798</v>
      </c>
      <c r="L431" s="283">
        <v>2.2308864593505899</v>
      </c>
      <c r="M431" s="283">
        <v>2.2124359607696502</v>
      </c>
      <c r="N431" s="283">
        <v>2.2059276103973402</v>
      </c>
      <c r="O431" s="283">
        <v>2.1967613697052002</v>
      </c>
      <c r="P431" s="283">
        <v>2.18912577629089</v>
      </c>
      <c r="Q431" s="283">
        <v>2.1856777667999299</v>
      </c>
      <c r="R431" s="283">
        <v>2.1763286590576199</v>
      </c>
      <c r="S431" s="283">
        <v>2.1755278110504199</v>
      </c>
      <c r="T431" s="283">
        <v>2.18182468414307</v>
      </c>
      <c r="U431" s="283">
        <v>2.19542455673218</v>
      </c>
      <c r="V431" s="283">
        <v>2.2050869464874299</v>
      </c>
      <c r="W431" s="283">
        <v>2.2089655399322501</v>
      </c>
      <c r="X431" s="283">
        <v>2.2187693119049099</v>
      </c>
      <c r="Y431" s="283">
        <v>2.2309319972991899</v>
      </c>
      <c r="Z431" s="283">
        <v>2.2423520088195801</v>
      </c>
    </row>
    <row r="432" spans="1:26">
      <c r="A432" s="283" t="s">
        <v>614</v>
      </c>
      <c r="B432" s="283"/>
      <c r="C432" s="283"/>
      <c r="D432" s="283" t="s">
        <v>1079</v>
      </c>
      <c r="E432" s="283" t="s">
        <v>1079</v>
      </c>
      <c r="F432" s="283" t="s">
        <v>1079</v>
      </c>
      <c r="G432" s="283" t="s">
        <v>1079</v>
      </c>
      <c r="H432" s="283" t="s">
        <v>1079</v>
      </c>
      <c r="I432" s="283" t="s">
        <v>1079</v>
      </c>
      <c r="J432" s="283" t="s">
        <v>1079</v>
      </c>
      <c r="K432" s="283">
        <v>0.88956671953201305</v>
      </c>
      <c r="L432" s="283">
        <v>0.881245017051697</v>
      </c>
      <c r="M432" s="283">
        <v>0.88442194461822499</v>
      </c>
      <c r="N432" s="283">
        <v>0.89085346460342396</v>
      </c>
      <c r="O432" s="283">
        <v>0.88840740919113204</v>
      </c>
      <c r="P432" s="283">
        <v>0.89322775602340698</v>
      </c>
      <c r="Q432" s="283">
        <v>0.90440875291824296</v>
      </c>
      <c r="R432" s="283">
        <v>0.91453087329864502</v>
      </c>
      <c r="S432" s="283">
        <v>0.95469778776168801</v>
      </c>
      <c r="T432" s="283">
        <v>0.96978461742401101</v>
      </c>
      <c r="U432" s="283">
        <v>1.01334369182587</v>
      </c>
      <c r="V432" s="283">
        <v>1.02781510353088</v>
      </c>
      <c r="W432" s="283">
        <v>1.0294380187988299</v>
      </c>
      <c r="X432" s="283">
        <v>1.1219843626022299</v>
      </c>
      <c r="Y432" s="283">
        <v>1.2297383546829199</v>
      </c>
      <c r="Z432" s="283">
        <v>1.26935982704163</v>
      </c>
    </row>
    <row r="433" spans="1:26">
      <c r="A433" s="284" t="s">
        <v>477</v>
      </c>
      <c r="B433" s="284"/>
      <c r="C433" s="284"/>
      <c r="D433" s="283">
        <v>15.8847751617432</v>
      </c>
      <c r="E433" s="283">
        <v>16.691057205200199</v>
      </c>
      <c r="F433" s="283">
        <v>18.258220672607401</v>
      </c>
      <c r="G433" s="283">
        <v>18.768579483032202</v>
      </c>
      <c r="H433" s="283">
        <v>18.8538303375244</v>
      </c>
      <c r="I433" s="283">
        <v>18.518165588378899</v>
      </c>
      <c r="J433" s="283">
        <v>18.014034271240199</v>
      </c>
      <c r="K433" s="283">
        <v>17.2542610168457</v>
      </c>
      <c r="L433" s="283">
        <v>16.790317535400401</v>
      </c>
      <c r="M433" s="283">
        <v>16.590124130248999</v>
      </c>
      <c r="N433" s="283">
        <v>16.466903686523398</v>
      </c>
      <c r="O433" s="283">
        <v>16.461626052856399</v>
      </c>
      <c r="P433" s="283">
        <v>16.6055717468262</v>
      </c>
      <c r="Q433" s="283">
        <v>16.851476669311499</v>
      </c>
      <c r="R433" s="283">
        <v>17.021175384521499</v>
      </c>
      <c r="S433" s="283">
        <v>17.000881195068398</v>
      </c>
      <c r="T433" s="283">
        <v>17.070917129516602</v>
      </c>
      <c r="U433" s="283">
        <v>17.1260585784912</v>
      </c>
      <c r="V433" s="283">
        <v>17.140884399414102</v>
      </c>
      <c r="W433" s="283">
        <v>17.206485748291001</v>
      </c>
      <c r="X433" s="283">
        <v>17.3262729644775</v>
      </c>
      <c r="Y433" s="283">
        <v>17.353824615478501</v>
      </c>
      <c r="Z433" s="283">
        <v>17.310489654541001</v>
      </c>
    </row>
    <row r="434" spans="1:26">
      <c r="A434" s="283" t="s">
        <v>485</v>
      </c>
      <c r="B434" s="283"/>
      <c r="C434" s="283"/>
      <c r="D434" s="283"/>
      <c r="E434" s="283"/>
      <c r="F434" s="283"/>
      <c r="G434" s="283"/>
      <c r="H434" s="283"/>
      <c r="I434" s="283"/>
      <c r="J434" s="283"/>
      <c r="K434" s="283"/>
      <c r="L434" s="283"/>
      <c r="M434" s="283"/>
      <c r="N434" s="283"/>
      <c r="O434" s="283"/>
      <c r="P434" s="283"/>
      <c r="Q434" s="283"/>
      <c r="R434" s="283"/>
      <c r="S434" s="283"/>
      <c r="T434" s="283"/>
      <c r="U434" s="283"/>
      <c r="V434" s="283"/>
      <c r="W434" s="283"/>
      <c r="X434" s="283"/>
      <c r="Y434" s="283"/>
      <c r="Z434" s="283"/>
    </row>
    <row r="435" spans="1:26">
      <c r="A435" s="283" t="s">
        <v>615</v>
      </c>
      <c r="B435" s="283"/>
      <c r="C435" s="283"/>
      <c r="D435" s="283">
        <v>19.6766357421875</v>
      </c>
      <c r="E435" s="283">
        <v>23.9161167144775</v>
      </c>
      <c r="F435" s="283">
        <v>26.805564880371101</v>
      </c>
      <c r="G435" s="283">
        <v>22.710954666137699</v>
      </c>
      <c r="H435" s="283">
        <v>22.759067535400401</v>
      </c>
      <c r="I435" s="283">
        <v>22.268846511840799</v>
      </c>
      <c r="J435" s="283">
        <v>24.343835830688501</v>
      </c>
      <c r="K435" s="283">
        <v>23.932544708251999</v>
      </c>
      <c r="L435" s="283">
        <v>23.763250350952099</v>
      </c>
      <c r="M435" s="283">
        <v>23.536403656005898</v>
      </c>
      <c r="N435" s="283">
        <v>23.5618801116943</v>
      </c>
      <c r="O435" s="283">
        <v>23.4868278503418</v>
      </c>
      <c r="P435" s="283">
        <v>23.560710906982401</v>
      </c>
      <c r="Q435" s="283">
        <v>23.7542419433594</v>
      </c>
      <c r="R435" s="283">
        <v>23.654756546020501</v>
      </c>
      <c r="S435" s="283">
        <v>23.5774955749512</v>
      </c>
      <c r="T435" s="283">
        <v>23.664421081543001</v>
      </c>
      <c r="U435" s="283">
        <v>23.6253147125244</v>
      </c>
      <c r="V435" s="283">
        <v>23.741106033325199</v>
      </c>
      <c r="W435" s="283">
        <v>23.8700561523438</v>
      </c>
      <c r="X435" s="283">
        <v>23.973831176757798</v>
      </c>
      <c r="Y435" s="283">
        <v>23.953416824340799</v>
      </c>
      <c r="Z435" s="283">
        <v>23.9759330749512</v>
      </c>
    </row>
    <row r="436" spans="1:26">
      <c r="A436" s="287" t="s">
        <v>616</v>
      </c>
      <c r="B436" s="287"/>
      <c r="C436" s="287"/>
      <c r="D436" s="283">
        <v>20.914932250976602</v>
      </c>
      <c r="E436" s="283">
        <v>23.101913452148398</v>
      </c>
      <c r="F436" s="283">
        <v>24.811454772949201</v>
      </c>
      <c r="G436" s="283">
        <v>27.774848937988299</v>
      </c>
      <c r="H436" s="283">
        <v>25.9952602386475</v>
      </c>
      <c r="I436" s="283">
        <v>24.2666110992432</v>
      </c>
      <c r="J436" s="283">
        <v>21.291254043579102</v>
      </c>
      <c r="K436" s="283">
        <v>20.525190353393601</v>
      </c>
      <c r="L436" s="283">
        <v>20.3361301422119</v>
      </c>
      <c r="M436" s="283">
        <v>20.197395324706999</v>
      </c>
      <c r="N436" s="283">
        <v>20.009881973266602</v>
      </c>
      <c r="O436" s="283">
        <v>20.093305587768601</v>
      </c>
      <c r="P436" s="283">
        <v>20.196292877197301</v>
      </c>
      <c r="Q436" s="283">
        <v>20.4327602386475</v>
      </c>
      <c r="R436" s="283">
        <v>20.4076957702637</v>
      </c>
      <c r="S436" s="283">
        <v>20.624263763427699</v>
      </c>
      <c r="T436" s="283">
        <v>20.610368728637699</v>
      </c>
      <c r="U436" s="283">
        <v>20.617734909057599</v>
      </c>
      <c r="V436" s="283">
        <v>21.067132949829102</v>
      </c>
      <c r="W436" s="283">
        <v>20.970218658447301</v>
      </c>
      <c r="X436" s="283">
        <v>20.962213516235401</v>
      </c>
      <c r="Y436" s="283">
        <v>21.257926940918001</v>
      </c>
      <c r="Z436" s="283">
        <v>21.098123550415</v>
      </c>
    </row>
    <row r="437" spans="1:26">
      <c r="A437" s="286" t="s">
        <v>617</v>
      </c>
      <c r="B437" s="286"/>
      <c r="C437" s="286"/>
      <c r="D437" s="283">
        <v>15.721848487854</v>
      </c>
      <c r="E437" s="283">
        <v>18.644901275634801</v>
      </c>
      <c r="F437" s="283">
        <v>21.1534824371338</v>
      </c>
      <c r="G437" s="283">
        <v>20.964454650878899</v>
      </c>
      <c r="H437" s="283">
        <v>19.721015930175799</v>
      </c>
      <c r="I437" s="283">
        <v>18.6920680999756</v>
      </c>
      <c r="J437" s="283">
        <v>17.902309417724599</v>
      </c>
      <c r="K437" s="283">
        <v>17.232242584228501</v>
      </c>
      <c r="L437" s="283">
        <v>16.863773345947301</v>
      </c>
      <c r="M437" s="283">
        <v>16.565891265869102</v>
      </c>
      <c r="N437" s="283">
        <v>16.0857257843018</v>
      </c>
      <c r="O437" s="283">
        <v>16.063297271728501</v>
      </c>
      <c r="P437" s="283">
        <v>16.111997604370099</v>
      </c>
      <c r="Q437" s="283">
        <v>16.240406036376999</v>
      </c>
      <c r="R437" s="283">
        <v>16.3247375488281</v>
      </c>
      <c r="S437" s="283">
        <v>16.6728916168213</v>
      </c>
      <c r="T437" s="283">
        <v>16.6320400238037</v>
      </c>
      <c r="U437" s="283">
        <v>16.751285552978501</v>
      </c>
      <c r="V437" s="283">
        <v>17.051519393920898</v>
      </c>
      <c r="W437" s="283">
        <v>16.920253753662099</v>
      </c>
      <c r="X437" s="283">
        <v>17.1026096343994</v>
      </c>
      <c r="Y437" s="283">
        <v>17.3232307434082</v>
      </c>
      <c r="Z437" s="283">
        <v>17.144313812255898</v>
      </c>
    </row>
    <row r="438" spans="1:26">
      <c r="A438" s="283" t="s">
        <v>618</v>
      </c>
      <c r="B438" s="283"/>
      <c r="C438" s="283"/>
      <c r="D438" s="283">
        <v>9.2184209823608398</v>
      </c>
      <c r="E438" s="283">
        <v>13.1439361572266</v>
      </c>
      <c r="F438" s="283">
        <v>14.9574270248413</v>
      </c>
      <c r="G438" s="283">
        <v>12.9907026290894</v>
      </c>
      <c r="H438" s="283">
        <v>11.722384452819799</v>
      </c>
      <c r="I438" s="283">
        <v>11.2624855041504</v>
      </c>
      <c r="J438" s="283">
        <v>10.9056959152222</v>
      </c>
      <c r="K438" s="283">
        <v>10.3720808029175</v>
      </c>
      <c r="L438" s="283">
        <v>10.059165954589799</v>
      </c>
      <c r="M438" s="283">
        <v>10.0335283279419</v>
      </c>
      <c r="N438" s="283">
        <v>9.8430700302124006</v>
      </c>
      <c r="O438" s="283">
        <v>9.8874025344848597</v>
      </c>
      <c r="P438" s="283">
        <v>10.0322532653809</v>
      </c>
      <c r="Q438" s="283">
        <v>10.087176322936999</v>
      </c>
      <c r="R438" s="283">
        <v>10.2108345031738</v>
      </c>
      <c r="S438" s="283">
        <v>10.523097038269</v>
      </c>
      <c r="T438" s="283">
        <v>10.506872177124</v>
      </c>
      <c r="U438" s="283">
        <v>10.5880041122437</v>
      </c>
      <c r="V438" s="283">
        <v>10.8930578231812</v>
      </c>
      <c r="W438" s="283">
        <v>10.788450241088899</v>
      </c>
      <c r="X438" s="283">
        <v>10.9106340408325</v>
      </c>
      <c r="Y438" s="283">
        <v>11.0979099273682</v>
      </c>
      <c r="Z438" s="283">
        <v>11.0487413406372</v>
      </c>
    </row>
    <row r="439" spans="1:26">
      <c r="A439" s="286" t="s">
        <v>619</v>
      </c>
      <c r="B439" s="286"/>
      <c r="C439" s="286"/>
      <c r="D439" s="283">
        <v>13.583283424377401</v>
      </c>
      <c r="E439" s="283">
        <v>17.522464752197301</v>
      </c>
      <c r="F439" s="283">
        <v>19.7921543121338</v>
      </c>
      <c r="G439" s="283">
        <v>19.706336975097699</v>
      </c>
      <c r="H439" s="283">
        <v>18.211244583129901</v>
      </c>
      <c r="I439" s="283">
        <v>17.3085613250732</v>
      </c>
      <c r="J439" s="283">
        <v>16.8088684082031</v>
      </c>
      <c r="K439" s="283">
        <v>16.001249313354499</v>
      </c>
      <c r="L439" s="283">
        <v>15.3922462463379</v>
      </c>
      <c r="M439" s="283">
        <v>15.213009834289601</v>
      </c>
      <c r="N439" s="283">
        <v>14.822114944458001</v>
      </c>
      <c r="O439" s="283">
        <v>14.859941482543899</v>
      </c>
      <c r="P439" s="283">
        <v>15.1213598251343</v>
      </c>
      <c r="Q439" s="283">
        <v>15.075839042663601</v>
      </c>
      <c r="R439" s="283">
        <v>15.158118247985801</v>
      </c>
      <c r="S439" s="283">
        <v>15.4795846939087</v>
      </c>
      <c r="T439" s="283">
        <v>15.4157457351685</v>
      </c>
      <c r="U439" s="283">
        <v>15.4886207580566</v>
      </c>
      <c r="V439" s="283">
        <v>15.773143768310501</v>
      </c>
      <c r="W439" s="283">
        <v>15.4716739654541</v>
      </c>
      <c r="X439" s="283">
        <v>15.639728546142599</v>
      </c>
      <c r="Y439" s="283">
        <v>15.912574768066399</v>
      </c>
      <c r="Z439" s="283">
        <v>15.834021568298301</v>
      </c>
    </row>
    <row r="440" spans="1:26">
      <c r="A440" s="283" t="s">
        <v>609</v>
      </c>
      <c r="B440" s="283"/>
      <c r="C440" s="283"/>
      <c r="D440" s="283">
        <v>4.8536195755004901</v>
      </c>
      <c r="E440" s="283">
        <v>5.5067763328552202</v>
      </c>
      <c r="F440" s="283">
        <v>7.1623473167419398</v>
      </c>
      <c r="G440" s="283">
        <v>8.8221101760864293</v>
      </c>
      <c r="H440" s="283">
        <v>9.0483112335205096</v>
      </c>
      <c r="I440" s="283">
        <v>8.6029233932495099</v>
      </c>
      <c r="J440" s="283">
        <v>8.0481967926025408</v>
      </c>
      <c r="K440" s="283">
        <v>7.6902847290039098</v>
      </c>
      <c r="L440" s="283">
        <v>7.3429737091064498</v>
      </c>
      <c r="M440" s="283">
        <v>7.1018238067626998</v>
      </c>
      <c r="N440" s="283">
        <v>6.97245073318481</v>
      </c>
      <c r="O440" s="283">
        <v>7.0413579940795898</v>
      </c>
      <c r="P440" s="283">
        <v>7.0324416160583496</v>
      </c>
      <c r="Q440" s="283">
        <v>7.12284135818481</v>
      </c>
      <c r="R440" s="283">
        <v>7.14320993423462</v>
      </c>
      <c r="S440" s="283">
        <v>7.1685328483581499</v>
      </c>
      <c r="T440" s="283">
        <v>7.3589744567871103</v>
      </c>
      <c r="U440" s="283">
        <v>7.4886426925659197</v>
      </c>
      <c r="V440" s="283">
        <v>7.6476154327392596</v>
      </c>
      <c r="W440" s="283">
        <v>7.6766633987426802</v>
      </c>
      <c r="X440" s="283">
        <v>7.8515577316284197</v>
      </c>
      <c r="Y440" s="283">
        <v>7.8973522186279297</v>
      </c>
      <c r="Z440" s="283">
        <v>8.0370302200317401</v>
      </c>
    </row>
    <row r="441" spans="1:26">
      <c r="A441" s="283" t="s">
        <v>620</v>
      </c>
      <c r="B441" s="283"/>
      <c r="C441" s="283"/>
      <c r="D441" s="283">
        <v>11.913727760314901</v>
      </c>
      <c r="E441" s="283">
        <v>14.761161804199199</v>
      </c>
      <c r="F441" s="283">
        <v>11.981869697570801</v>
      </c>
      <c r="G441" s="283">
        <v>12.283256530761699</v>
      </c>
      <c r="H441" s="283">
        <v>12.1389265060425</v>
      </c>
      <c r="I441" s="283">
        <v>12.3170175552368</v>
      </c>
      <c r="J441" s="283">
        <v>13.965456008911101</v>
      </c>
      <c r="K441" s="283">
        <v>13.507596015930201</v>
      </c>
      <c r="L441" s="283">
        <v>13.291357994079601</v>
      </c>
      <c r="M441" s="283">
        <v>13.0437335968018</v>
      </c>
      <c r="N441" s="283">
        <v>12.940827369689901</v>
      </c>
      <c r="O441" s="283">
        <v>12.861621856689499</v>
      </c>
      <c r="P441" s="283">
        <v>12.894752502441399</v>
      </c>
      <c r="Q441" s="283">
        <v>13.0291633605957</v>
      </c>
      <c r="R441" s="283">
        <v>12.9489841461182</v>
      </c>
      <c r="S441" s="283">
        <v>12.946153640747101</v>
      </c>
      <c r="T441" s="283">
        <v>12.9756631851196</v>
      </c>
      <c r="U441" s="283">
        <v>12.953050613403301</v>
      </c>
      <c r="V441" s="283">
        <v>13.079764366149901</v>
      </c>
      <c r="W441" s="283">
        <v>13.110743522644</v>
      </c>
      <c r="X441" s="283">
        <v>13.198463439941399</v>
      </c>
      <c r="Y441" s="283">
        <v>13.2244005203247</v>
      </c>
      <c r="Z441" s="283">
        <v>13.175202369689901</v>
      </c>
    </row>
    <row r="442" spans="1:26">
      <c r="A442" s="283" t="s">
        <v>477</v>
      </c>
      <c r="B442" s="283"/>
      <c r="C442" s="283"/>
      <c r="D442" s="283">
        <v>26.1035976409912</v>
      </c>
      <c r="E442" s="283">
        <v>25.216188430786101</v>
      </c>
      <c r="F442" s="283">
        <v>26.121034622192401</v>
      </c>
      <c r="G442" s="283">
        <v>25.629154205322301</v>
      </c>
      <c r="H442" s="283">
        <v>25.7473449707031</v>
      </c>
      <c r="I442" s="283">
        <v>25.392839431762699</v>
      </c>
      <c r="J442" s="283">
        <v>24.861566543579102</v>
      </c>
      <c r="K442" s="283">
        <v>24.317947387695298</v>
      </c>
      <c r="L442" s="283">
        <v>24.125808715820298</v>
      </c>
      <c r="M442" s="283">
        <v>23.980707168579102</v>
      </c>
      <c r="N442" s="283">
        <v>23.787378311157202</v>
      </c>
      <c r="O442" s="283">
        <v>23.809650421142599</v>
      </c>
      <c r="P442" s="283">
        <v>23.876377105712901</v>
      </c>
      <c r="Q442" s="283">
        <v>24.074831008911101</v>
      </c>
      <c r="R442" s="283">
        <v>24.262081146240199</v>
      </c>
      <c r="S442" s="283">
        <v>24.183790206909201</v>
      </c>
      <c r="T442" s="283">
        <v>24.2170009613037</v>
      </c>
      <c r="U442" s="283">
        <v>24.245899200439499</v>
      </c>
      <c r="V442" s="283">
        <v>24.2234077453613</v>
      </c>
      <c r="W442" s="283">
        <v>24.307447433471701</v>
      </c>
      <c r="X442" s="283">
        <v>24.4279899597168</v>
      </c>
      <c r="Y442" s="283">
        <v>24.465734481811499</v>
      </c>
      <c r="Z442" s="283">
        <v>24.386825561523398</v>
      </c>
    </row>
    <row r="443" spans="1:26">
      <c r="A443" s="283" t="s">
        <v>621</v>
      </c>
      <c r="B443" s="283"/>
      <c r="C443" s="283"/>
      <c r="D443" s="283"/>
      <c r="E443" s="283"/>
      <c r="F443" s="283"/>
      <c r="G443" s="283"/>
      <c r="H443" s="283"/>
      <c r="I443" s="283"/>
      <c r="J443" s="283"/>
      <c r="K443" s="283"/>
      <c r="L443" s="283"/>
      <c r="M443" s="283"/>
      <c r="N443" s="283"/>
      <c r="O443" s="283"/>
      <c r="P443" s="283"/>
      <c r="Q443" s="283"/>
      <c r="R443" s="283"/>
      <c r="S443" s="283"/>
      <c r="T443" s="283"/>
      <c r="U443" s="283"/>
      <c r="V443" s="283"/>
      <c r="W443" s="283"/>
      <c r="X443" s="283"/>
      <c r="Y443" s="283"/>
      <c r="Z443" s="283"/>
    </row>
    <row r="444" spans="1:26">
      <c r="A444" s="283" t="s">
        <v>608</v>
      </c>
      <c r="B444" s="283"/>
      <c r="C444" s="283"/>
      <c r="D444" s="283">
        <v>9.5153579711914098</v>
      </c>
      <c r="E444" s="283">
        <v>11.3847246170044</v>
      </c>
      <c r="F444" s="283">
        <v>13.235827445983899</v>
      </c>
      <c r="G444" s="283">
        <v>14.263434410095201</v>
      </c>
      <c r="H444" s="283">
        <v>13.7692108154297</v>
      </c>
      <c r="I444" s="283">
        <v>12.704180717468301</v>
      </c>
      <c r="J444" s="283">
        <v>11.7051839828491</v>
      </c>
      <c r="K444" s="283">
        <v>10.7794647216797</v>
      </c>
      <c r="L444" s="283">
        <v>10.0299482345581</v>
      </c>
      <c r="M444" s="283">
        <v>9.2896862030029297</v>
      </c>
      <c r="N444" s="283">
        <v>9.1972703933715803</v>
      </c>
      <c r="O444" s="283">
        <v>9.2599020004272496</v>
      </c>
      <c r="P444" s="283">
        <v>9.2775526046752894</v>
      </c>
      <c r="Q444" s="283">
        <v>9.4403448104858398</v>
      </c>
      <c r="R444" s="283">
        <v>9.5352287292480504</v>
      </c>
      <c r="S444" s="283">
        <v>9.7515039443969709</v>
      </c>
      <c r="T444" s="283">
        <v>9.8428487777709996</v>
      </c>
      <c r="U444" s="283">
        <v>9.9595317840576207</v>
      </c>
      <c r="V444" s="283">
        <v>10.1106100082397</v>
      </c>
      <c r="W444" s="283">
        <v>10.0771369934082</v>
      </c>
      <c r="X444" s="283">
        <v>10.217479705810501</v>
      </c>
      <c r="Y444" s="283">
        <v>10.254093170166</v>
      </c>
      <c r="Z444" s="283">
        <v>10.318883895874</v>
      </c>
    </row>
    <row r="445" spans="1:26">
      <c r="A445" s="283" t="s">
        <v>609</v>
      </c>
      <c r="B445" s="283"/>
      <c r="C445" s="283"/>
      <c r="D445" s="283">
        <v>4.9909768104553196</v>
      </c>
      <c r="E445" s="283">
        <v>6.9611043930053702</v>
      </c>
      <c r="F445" s="283">
        <v>7.8457942008972203</v>
      </c>
      <c r="G445" s="283">
        <v>7.1943798065185502</v>
      </c>
      <c r="H445" s="283">
        <v>7.2948379516601598</v>
      </c>
      <c r="I445" s="283">
        <v>6.9926204681396502</v>
      </c>
      <c r="J445" s="283">
        <v>6.5808119773864702</v>
      </c>
      <c r="K445" s="283">
        <v>6.2065305709838903</v>
      </c>
      <c r="L445" s="283">
        <v>5.9029440879821804</v>
      </c>
      <c r="M445" s="283">
        <v>5.45705270767212</v>
      </c>
      <c r="N445" s="283">
        <v>5.4534096717834499</v>
      </c>
      <c r="O445" s="283">
        <v>5.5995068550109899</v>
      </c>
      <c r="P445" s="283">
        <v>5.6287369728088397</v>
      </c>
      <c r="Q445" s="283">
        <v>5.7370648384094203</v>
      </c>
      <c r="R445" s="283">
        <v>5.8140759468078604</v>
      </c>
      <c r="S445" s="283">
        <v>6.0071105957031303</v>
      </c>
      <c r="T445" s="283">
        <v>6.0822205543518102</v>
      </c>
      <c r="U445" s="283">
        <v>6.22955322265625</v>
      </c>
      <c r="V445" s="283">
        <v>6.4186983108520499</v>
      </c>
      <c r="W445" s="283">
        <v>6.3188004493713397</v>
      </c>
      <c r="X445" s="283">
        <v>6.5342454910278303</v>
      </c>
      <c r="Y445" s="283">
        <v>6.5804891586303702</v>
      </c>
      <c r="Z445" s="283">
        <v>6.6370191574096697</v>
      </c>
    </row>
    <row r="446" spans="1:26">
      <c r="A446" s="285" t="s">
        <v>508</v>
      </c>
      <c r="B446" s="285"/>
      <c r="C446" s="285"/>
      <c r="D446" s="283">
        <v>6.1140975952148402</v>
      </c>
      <c r="E446" s="283">
        <v>8.1813249588012695</v>
      </c>
      <c r="F446" s="283">
        <v>6.9707522392272896</v>
      </c>
      <c r="G446" s="283">
        <v>7.1151452064514196</v>
      </c>
      <c r="H446" s="283">
        <v>7.0668158531189</v>
      </c>
      <c r="I446" s="283">
        <v>6.5265731811523402</v>
      </c>
      <c r="J446" s="283">
        <v>6.2202811241149902</v>
      </c>
      <c r="K446" s="283">
        <v>5.8298497200012198</v>
      </c>
      <c r="L446" s="283">
        <v>5.6925516128540004</v>
      </c>
      <c r="M446" s="283">
        <v>5.4995698928832999</v>
      </c>
      <c r="N446" s="283">
        <v>5.54103326797485</v>
      </c>
      <c r="O446" s="283">
        <v>5.5007095336914098</v>
      </c>
      <c r="P446" s="283">
        <v>5.59739446640015</v>
      </c>
      <c r="Q446" s="283">
        <v>5.7880721092224103</v>
      </c>
      <c r="R446" s="283">
        <v>5.7225790023803702</v>
      </c>
      <c r="S446" s="283">
        <v>5.6709170341491699</v>
      </c>
      <c r="T446" s="283">
        <v>5.7639327049255398</v>
      </c>
      <c r="U446" s="283">
        <v>5.72597312927246</v>
      </c>
      <c r="V446" s="283">
        <v>5.8378243446350098</v>
      </c>
      <c r="W446" s="283">
        <v>5.9462161064147896</v>
      </c>
      <c r="X446" s="283">
        <v>6.05735063552856</v>
      </c>
      <c r="Y446" s="283">
        <v>6.0477237701415998</v>
      </c>
      <c r="Z446" s="283">
        <v>6.0664491653442401</v>
      </c>
    </row>
    <row r="447" spans="1:26">
      <c r="A447" s="288" t="s">
        <v>622</v>
      </c>
      <c r="B447" s="288"/>
      <c r="C447" s="288"/>
      <c r="D447" s="283">
        <v>1.4011929035186801</v>
      </c>
      <c r="E447" s="283">
        <v>1.5299999713897701</v>
      </c>
      <c r="F447" s="283">
        <v>1.6714243888855</v>
      </c>
      <c r="G447" s="283">
        <v>1.69177293777466</v>
      </c>
      <c r="H447" s="283">
        <v>1.70398998260498</v>
      </c>
      <c r="I447" s="283">
        <v>1.7000321149826001</v>
      </c>
      <c r="J447" s="283">
        <v>1.7052028179168699</v>
      </c>
      <c r="K447" s="283">
        <v>1.66678094863892</v>
      </c>
      <c r="L447" s="283">
        <v>1.63700723648071</v>
      </c>
      <c r="M447" s="283">
        <v>1.6199716329574601</v>
      </c>
      <c r="N447" s="283">
        <v>1.61296951770782</v>
      </c>
      <c r="O447" s="283">
        <v>1.59987056255341</v>
      </c>
      <c r="P447" s="283">
        <v>1.59190189838409</v>
      </c>
      <c r="Q447" s="283">
        <v>1.5892090797424301</v>
      </c>
      <c r="R447" s="283">
        <v>1.57604885101318</v>
      </c>
      <c r="S447" s="283">
        <v>1.5779995918273899</v>
      </c>
      <c r="T447" s="283">
        <v>1.5809644460678101</v>
      </c>
      <c r="U447" s="283">
        <v>1.5890377759933501</v>
      </c>
      <c r="V447" s="283">
        <v>1.59825491905212</v>
      </c>
      <c r="W447" s="283">
        <v>1.6020262241363501</v>
      </c>
      <c r="X447" s="283">
        <v>1.6148724555969201</v>
      </c>
      <c r="Y447" s="283">
        <v>1.62832856178284</v>
      </c>
      <c r="Z447" s="283">
        <v>1.63934326171875</v>
      </c>
    </row>
    <row r="448" spans="1:26">
      <c r="A448" s="283" t="s">
        <v>623</v>
      </c>
      <c r="B448" s="283"/>
      <c r="C448" s="283"/>
      <c r="D448" s="283"/>
      <c r="E448" s="283"/>
      <c r="F448" s="283"/>
      <c r="G448" s="283"/>
      <c r="H448" s="283"/>
      <c r="I448" s="283"/>
      <c r="J448" s="283"/>
      <c r="K448" s="283"/>
      <c r="L448" s="283"/>
      <c r="M448" s="283"/>
      <c r="N448" s="283"/>
      <c r="O448" s="283"/>
      <c r="P448" s="283"/>
      <c r="Q448" s="283"/>
      <c r="R448" s="283"/>
      <c r="S448" s="283"/>
      <c r="T448" s="283"/>
      <c r="U448" s="283"/>
      <c r="V448" s="283"/>
      <c r="W448" s="283"/>
      <c r="X448" s="283"/>
      <c r="Y448" s="283"/>
      <c r="Z448" s="283"/>
    </row>
    <row r="449" spans="1:70">
      <c r="A449" s="283" t="s">
        <v>607</v>
      </c>
      <c r="B449" s="283"/>
      <c r="C449" s="283"/>
      <c r="D449" s="283">
        <v>12.6906900405884</v>
      </c>
      <c r="E449" s="283">
        <v>17.482444763183601</v>
      </c>
      <c r="F449" s="283">
        <v>19.464084625244102</v>
      </c>
      <c r="G449" s="283">
        <v>18.995626449585</v>
      </c>
      <c r="H449" s="283">
        <v>18.880571365356399</v>
      </c>
      <c r="I449" s="283">
        <v>18.286575317382798</v>
      </c>
      <c r="J449" s="283">
        <v>18.020065307617202</v>
      </c>
      <c r="K449" s="283">
        <v>17.571559906005898</v>
      </c>
      <c r="L449" s="283">
        <v>17.417589187622099</v>
      </c>
      <c r="M449" s="283">
        <v>17.2678737640381</v>
      </c>
      <c r="N449" s="283">
        <v>17.291303634643601</v>
      </c>
      <c r="O449" s="283">
        <v>17.241743087768601</v>
      </c>
      <c r="P449" s="283">
        <v>17.364793777465799</v>
      </c>
      <c r="Q449" s="283">
        <v>17.562221527099599</v>
      </c>
      <c r="R449" s="283">
        <v>17.562810897827099</v>
      </c>
      <c r="S449" s="283">
        <v>17.558799743652301</v>
      </c>
      <c r="T449" s="283">
        <v>17.620630264282202</v>
      </c>
      <c r="U449" s="283">
        <v>17.599321365356399</v>
      </c>
      <c r="V449" s="283">
        <v>17.721448898315401</v>
      </c>
      <c r="W449" s="283">
        <v>17.8418064117432</v>
      </c>
      <c r="X449" s="283">
        <v>17.9907836914063</v>
      </c>
      <c r="Y449" s="283">
        <v>17.9618225097656</v>
      </c>
      <c r="Z449" s="283">
        <v>17.988685607910199</v>
      </c>
    </row>
    <row r="450" spans="1:70">
      <c r="A450" s="283" t="s">
        <v>616</v>
      </c>
      <c r="B450" s="283"/>
      <c r="C450" s="283"/>
      <c r="D450" s="283">
        <v>20.914932250976602</v>
      </c>
      <c r="E450" s="283">
        <v>23.101913452148398</v>
      </c>
      <c r="F450" s="283">
        <v>24.811454772949201</v>
      </c>
      <c r="G450" s="283">
        <v>27.774848937988299</v>
      </c>
      <c r="H450" s="283">
        <v>25.9952602386475</v>
      </c>
      <c r="I450" s="283">
        <v>24.2666110992432</v>
      </c>
      <c r="J450" s="283">
        <v>21.291254043579102</v>
      </c>
      <c r="K450" s="283">
        <v>20.525190353393601</v>
      </c>
      <c r="L450" s="283">
        <v>20.3361301422119</v>
      </c>
      <c r="M450" s="283">
        <v>20.197395324706999</v>
      </c>
      <c r="N450" s="283">
        <v>20.009881973266602</v>
      </c>
      <c r="O450" s="283">
        <v>20.093305587768601</v>
      </c>
      <c r="P450" s="283">
        <v>20.196292877197301</v>
      </c>
      <c r="Q450" s="283">
        <v>20.4327602386475</v>
      </c>
      <c r="R450" s="283">
        <v>20.4076957702637</v>
      </c>
      <c r="S450" s="283">
        <v>20.624263763427699</v>
      </c>
      <c r="T450" s="283">
        <v>20.610368728637699</v>
      </c>
      <c r="U450" s="283">
        <v>20.617734909057599</v>
      </c>
      <c r="V450" s="283">
        <v>21.067132949829102</v>
      </c>
      <c r="W450" s="283">
        <v>20.970218658447301</v>
      </c>
      <c r="X450" s="283">
        <v>20.962213516235401</v>
      </c>
      <c r="Y450" s="283">
        <v>21.257926940918001</v>
      </c>
      <c r="Z450" s="283">
        <v>21.098123550415</v>
      </c>
    </row>
    <row r="451" spans="1:70">
      <c r="A451" s="283" t="s">
        <v>617</v>
      </c>
      <c r="B451" s="283"/>
      <c r="C451" s="283"/>
      <c r="D451" s="283">
        <v>15.706001281738301</v>
      </c>
      <c r="E451" s="283">
        <v>18.602125167846701</v>
      </c>
      <c r="F451" s="283">
        <v>21.1080112457275</v>
      </c>
      <c r="G451" s="283">
        <v>20.962741851806602</v>
      </c>
      <c r="H451" s="283">
        <v>19.720066070556602</v>
      </c>
      <c r="I451" s="283">
        <v>18.690637588501001</v>
      </c>
      <c r="J451" s="283">
        <v>17.900485992431602</v>
      </c>
      <c r="K451" s="283">
        <v>17.230388641357401</v>
      </c>
      <c r="L451" s="283">
        <v>16.861814498901399</v>
      </c>
      <c r="M451" s="283">
        <v>16.564214706420898</v>
      </c>
      <c r="N451" s="283">
        <v>16.0839519500732</v>
      </c>
      <c r="O451" s="283">
        <v>16.0615749359131</v>
      </c>
      <c r="P451" s="283">
        <v>16.110080718994102</v>
      </c>
      <c r="Q451" s="283">
        <v>16.238643646240199</v>
      </c>
      <c r="R451" s="283">
        <v>16.322971343994102</v>
      </c>
      <c r="S451" s="283">
        <v>16.671089172363299</v>
      </c>
      <c r="T451" s="283">
        <v>16.630247116088899</v>
      </c>
      <c r="U451" s="283">
        <v>16.7495441436768</v>
      </c>
      <c r="V451" s="283">
        <v>17.049686431884801</v>
      </c>
      <c r="W451" s="283">
        <v>16.918500900268601</v>
      </c>
      <c r="X451" s="283">
        <v>17.100944519043001</v>
      </c>
      <c r="Y451" s="283">
        <v>17.321361541748001</v>
      </c>
      <c r="Z451" s="283">
        <v>17.142530441284201</v>
      </c>
    </row>
    <row r="452" spans="1:70">
      <c r="A452" s="283" t="s">
        <v>624</v>
      </c>
      <c r="B452" s="283"/>
      <c r="C452" s="283"/>
      <c r="D452" s="283">
        <v>9.2184209823608398</v>
      </c>
      <c r="E452" s="283">
        <v>13.1439361572266</v>
      </c>
      <c r="F452" s="283">
        <v>14.9574270248413</v>
      </c>
      <c r="G452" s="283">
        <v>12.9907026290894</v>
      </c>
      <c r="H452" s="283">
        <v>11.722384452819799</v>
      </c>
      <c r="I452" s="283">
        <v>11.2624855041504</v>
      </c>
      <c r="J452" s="283">
        <v>10.9056959152222</v>
      </c>
      <c r="K452" s="283">
        <v>10.3720808029175</v>
      </c>
      <c r="L452" s="283">
        <v>10.059165954589799</v>
      </c>
      <c r="M452" s="283">
        <v>10.0335283279419</v>
      </c>
      <c r="N452" s="283">
        <v>9.8430700302124006</v>
      </c>
      <c r="O452" s="283">
        <v>9.8874025344848597</v>
      </c>
      <c r="P452" s="283">
        <v>10.0322532653809</v>
      </c>
      <c r="Q452" s="283">
        <v>10.087176322936999</v>
      </c>
      <c r="R452" s="283">
        <v>10.2108345031738</v>
      </c>
      <c r="S452" s="283">
        <v>10.523097038269</v>
      </c>
      <c r="T452" s="283">
        <v>10.506872177124</v>
      </c>
      <c r="U452" s="283">
        <v>10.5880041122437</v>
      </c>
      <c r="V452" s="283">
        <v>10.8930578231812</v>
      </c>
      <c r="W452" s="283">
        <v>10.788450241088899</v>
      </c>
      <c r="X452" s="283">
        <v>10.9106340408325</v>
      </c>
      <c r="Y452" s="283">
        <v>11.0979099273682</v>
      </c>
      <c r="Z452" s="283">
        <v>11.0487413406372</v>
      </c>
    </row>
    <row r="453" spans="1:70">
      <c r="A453" s="283" t="s">
        <v>608</v>
      </c>
      <c r="B453" s="283"/>
      <c r="C453" s="283"/>
      <c r="D453" s="283">
        <v>12.9106340408325</v>
      </c>
      <c r="E453" s="283">
        <v>16.217037200927699</v>
      </c>
      <c r="F453" s="283">
        <v>18.421550750732401</v>
      </c>
      <c r="G453" s="283">
        <v>18.437913894653299</v>
      </c>
      <c r="H453" s="283">
        <v>17.199058532714801</v>
      </c>
      <c r="I453" s="283">
        <v>16.296318054199201</v>
      </c>
      <c r="J453" s="283">
        <v>15.704516410827599</v>
      </c>
      <c r="K453" s="283">
        <v>14.921827316284199</v>
      </c>
      <c r="L453" s="283">
        <v>14.360170364379901</v>
      </c>
      <c r="M453" s="283">
        <v>14.182985305786101</v>
      </c>
      <c r="N453" s="283">
        <v>13.862556457519499</v>
      </c>
      <c r="O453" s="283">
        <v>13.915904045105</v>
      </c>
      <c r="P453" s="283">
        <v>14.153459548950201</v>
      </c>
      <c r="Q453" s="283">
        <v>14.1445617675781</v>
      </c>
      <c r="R453" s="283">
        <v>14.2399711608887</v>
      </c>
      <c r="S453" s="283">
        <v>14.558382987976101</v>
      </c>
      <c r="T453" s="283">
        <v>14.527869224548301</v>
      </c>
      <c r="U453" s="283">
        <v>14.6189737319946</v>
      </c>
      <c r="V453" s="283">
        <v>14.9021968841553</v>
      </c>
      <c r="W453" s="283">
        <v>14.6463842391968</v>
      </c>
      <c r="X453" s="283">
        <v>14.8252000808716</v>
      </c>
      <c r="Y453" s="283">
        <v>15.0819444656372</v>
      </c>
      <c r="Z453" s="283">
        <v>15.031323432922401</v>
      </c>
    </row>
    <row r="454" spans="1:70">
      <c r="A454" s="283" t="s">
        <v>609</v>
      </c>
      <c r="B454" s="283"/>
      <c r="C454" s="283"/>
      <c r="D454" s="283">
        <v>5.0985417366027797</v>
      </c>
      <c r="E454" s="283">
        <v>6.5886197090148899</v>
      </c>
      <c r="F454" s="283">
        <v>7.9185199737548801</v>
      </c>
      <c r="G454" s="283">
        <v>8.2529850006103498</v>
      </c>
      <c r="H454" s="283">
        <v>8.4050197601318395</v>
      </c>
      <c r="I454" s="283">
        <v>8.0572872161865199</v>
      </c>
      <c r="J454" s="283">
        <v>7.6087560653686497</v>
      </c>
      <c r="K454" s="283">
        <v>7.1943945884704599</v>
      </c>
      <c r="L454" s="283">
        <v>6.8676166534423801</v>
      </c>
      <c r="M454" s="283">
        <v>6.4547815322876003</v>
      </c>
      <c r="N454" s="283">
        <v>6.4073238372802699</v>
      </c>
      <c r="O454" s="283">
        <v>6.54701900482178</v>
      </c>
      <c r="P454" s="283">
        <v>6.5695567131042498</v>
      </c>
      <c r="Q454" s="283">
        <v>6.6816062927246103</v>
      </c>
      <c r="R454" s="283">
        <v>6.7372307777404803</v>
      </c>
      <c r="S454" s="283">
        <v>6.86507225036621</v>
      </c>
      <c r="T454" s="283">
        <v>6.9956922531127903</v>
      </c>
      <c r="U454" s="283">
        <v>7.1396765708923304</v>
      </c>
      <c r="V454" s="283">
        <v>7.3088741302490199</v>
      </c>
      <c r="W454" s="283">
        <v>7.2670574188232404</v>
      </c>
      <c r="X454" s="283">
        <v>7.4510564804077104</v>
      </c>
      <c r="Y454" s="283">
        <v>7.4737396240234402</v>
      </c>
      <c r="Z454" s="283">
        <v>7.5808291435241699</v>
      </c>
    </row>
    <row r="455" spans="1:70">
      <c r="A455" s="283" t="s">
        <v>508</v>
      </c>
      <c r="B455" s="283"/>
      <c r="C455" s="283"/>
      <c r="D455" s="283">
        <v>7.8259296417236301</v>
      </c>
      <c r="E455" s="283">
        <v>9.6487970352172905</v>
      </c>
      <c r="F455" s="283">
        <v>9.1377601623535192</v>
      </c>
      <c r="G455" s="283">
        <v>8.7611961364746094</v>
      </c>
      <c r="H455" s="283">
        <v>8.6626396179199201</v>
      </c>
      <c r="I455" s="283">
        <v>8.1270828247070295</v>
      </c>
      <c r="J455" s="283">
        <v>7.8336372375488299</v>
      </c>
      <c r="K455" s="283">
        <v>7.4448304176330602</v>
      </c>
      <c r="L455" s="283">
        <v>7.2887372970581099</v>
      </c>
      <c r="M455" s="283">
        <v>7.0927038192748997</v>
      </c>
      <c r="N455" s="283">
        <v>7.1150150299072301</v>
      </c>
      <c r="O455" s="283">
        <v>7.0641679763793901</v>
      </c>
      <c r="P455" s="283">
        <v>7.1520218849182102</v>
      </c>
      <c r="Q455" s="283">
        <v>7.3469972610473597</v>
      </c>
      <c r="R455" s="283">
        <v>7.2896466255187997</v>
      </c>
      <c r="S455" s="283">
        <v>7.2448530197143599</v>
      </c>
      <c r="T455" s="283">
        <v>7.3207983970642099</v>
      </c>
      <c r="U455" s="283">
        <v>7.3070926666259801</v>
      </c>
      <c r="V455" s="283">
        <v>7.4372458457946804</v>
      </c>
      <c r="W455" s="283">
        <v>7.5700182914733896</v>
      </c>
      <c r="X455" s="283">
        <v>7.6924967765808097</v>
      </c>
      <c r="Y455" s="283">
        <v>7.6794857978820801</v>
      </c>
      <c r="Z455" s="283">
        <v>7.7304539680481001</v>
      </c>
    </row>
    <row r="456" spans="1:70">
      <c r="A456" s="283" t="s">
        <v>612</v>
      </c>
      <c r="B456" s="283"/>
      <c r="C456" s="283"/>
      <c r="D456" s="283">
        <v>2.3078472614288299</v>
      </c>
      <c r="E456" s="283">
        <v>3.0599997043609601</v>
      </c>
      <c r="F456" s="283">
        <v>3.2548489570617698</v>
      </c>
      <c r="G456" s="283">
        <v>3.2975256443023699</v>
      </c>
      <c r="H456" s="283">
        <v>3.2872827053070099</v>
      </c>
      <c r="I456" s="283">
        <v>3.1889374256134002</v>
      </c>
      <c r="J456" s="283">
        <v>3.0940959453582799</v>
      </c>
      <c r="K456" s="283">
        <v>2.9914577007293701</v>
      </c>
      <c r="L456" s="283">
        <v>2.8927016258239702</v>
      </c>
      <c r="M456" s="283">
        <v>2.78926348686218</v>
      </c>
      <c r="N456" s="283">
        <v>2.7408642768859899</v>
      </c>
      <c r="O456" s="283">
        <v>2.7166485786438002</v>
      </c>
      <c r="P456" s="283">
        <v>2.7061200141906698</v>
      </c>
      <c r="Q456" s="283">
        <v>2.7063503265380899</v>
      </c>
      <c r="R456" s="283">
        <v>2.7045123577117902</v>
      </c>
      <c r="S456" s="283">
        <v>2.68979120254517</v>
      </c>
      <c r="T456" s="283">
        <v>2.7072892189025901</v>
      </c>
      <c r="U456" s="283">
        <v>2.71812868118286</v>
      </c>
      <c r="V456" s="283">
        <v>2.7191135883331299</v>
      </c>
      <c r="W456" s="283">
        <v>2.7064330577850302</v>
      </c>
      <c r="X456" s="283">
        <v>2.68589544296265</v>
      </c>
      <c r="Y456" s="283">
        <v>2.69574999809265</v>
      </c>
      <c r="Z456" s="283">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c r="A457" s="283" t="s">
        <v>625</v>
      </c>
      <c r="B457" s="283"/>
      <c r="C457" s="283"/>
      <c r="D457" s="283">
        <v>1.43066883087158</v>
      </c>
      <c r="E457" s="283">
        <v>1.5706532001495399</v>
      </c>
      <c r="F457" s="283">
        <v>1.7059867382049601</v>
      </c>
      <c r="G457" s="283">
        <v>1.7268872261047401</v>
      </c>
      <c r="H457" s="283">
        <v>1.7392324209213299</v>
      </c>
      <c r="I457" s="283">
        <v>1.7345312833786</v>
      </c>
      <c r="J457" s="283">
        <v>1.7401528358459499</v>
      </c>
      <c r="K457" s="283">
        <v>1.7026997804641699</v>
      </c>
      <c r="L457" s="283">
        <v>1.67319643497467</v>
      </c>
      <c r="M457" s="283">
        <v>1.6556009054184</v>
      </c>
      <c r="N457" s="283">
        <v>1.6479283571243299</v>
      </c>
      <c r="O457" s="283">
        <v>1.63474309444427</v>
      </c>
      <c r="P457" s="283">
        <v>1.6263667345046999</v>
      </c>
      <c r="Q457" s="283">
        <v>1.6231272220611599</v>
      </c>
      <c r="R457" s="283">
        <v>1.60980331897736</v>
      </c>
      <c r="S457" s="283">
        <v>1.6111264228820801</v>
      </c>
      <c r="T457" s="283">
        <v>1.61373710632324</v>
      </c>
      <c r="U457" s="283">
        <v>1.6214674711227399</v>
      </c>
      <c r="V457" s="283">
        <v>1.6300570964813199</v>
      </c>
      <c r="W457" s="283">
        <v>1.6331868171691899</v>
      </c>
      <c r="X457" s="283">
        <v>1.6452817916870099</v>
      </c>
      <c r="Y457" s="283">
        <v>1.6581670045852701</v>
      </c>
      <c r="Z457" s="283">
        <v>1.6686607599258401</v>
      </c>
    </row>
    <row r="458" spans="1:70">
      <c r="A458" s="283" t="s">
        <v>614</v>
      </c>
      <c r="B458" s="283"/>
      <c r="C458" s="283"/>
      <c r="D458" s="283" t="s">
        <v>1079</v>
      </c>
      <c r="E458" s="283" t="s">
        <v>1079</v>
      </c>
      <c r="F458" s="283" t="s">
        <v>1079</v>
      </c>
      <c r="G458" s="283" t="s">
        <v>1079</v>
      </c>
      <c r="H458" s="283" t="s">
        <v>1079</v>
      </c>
      <c r="I458" s="283" t="s">
        <v>1079</v>
      </c>
      <c r="J458" s="283" t="s">
        <v>1079</v>
      </c>
      <c r="K458" s="283">
        <v>0.88956671953201305</v>
      </c>
      <c r="L458" s="283">
        <v>0.881245017051697</v>
      </c>
      <c r="M458" s="283">
        <v>0.88442194461822499</v>
      </c>
      <c r="N458" s="283">
        <v>0.89085346460342396</v>
      </c>
      <c r="O458" s="283">
        <v>0.88840740919113204</v>
      </c>
      <c r="P458" s="283">
        <v>0.89322775602340698</v>
      </c>
      <c r="Q458" s="283">
        <v>0.90440875291824296</v>
      </c>
      <c r="R458" s="283">
        <v>0.91453087329864502</v>
      </c>
      <c r="S458" s="283">
        <v>0.95469778776168801</v>
      </c>
      <c r="T458" s="283">
        <v>0.96978461742401101</v>
      </c>
      <c r="U458" s="283">
        <v>1.01334369182587</v>
      </c>
      <c r="V458" s="283">
        <v>1.02781510353088</v>
      </c>
      <c r="W458" s="283">
        <v>1.0294380187988299</v>
      </c>
      <c r="X458" s="283">
        <v>1.1219843626022299</v>
      </c>
      <c r="Y458" s="283">
        <v>1.2297383546829199</v>
      </c>
      <c r="Z458" s="283">
        <v>1.26935982704163</v>
      </c>
    </row>
    <row r="459" spans="1:70">
      <c r="A459" s="283" t="s">
        <v>477</v>
      </c>
      <c r="B459" s="283"/>
      <c r="C459" s="283"/>
      <c r="D459" s="283">
        <v>23.009492874145501</v>
      </c>
      <c r="E459" s="283">
        <v>23.734071731567401</v>
      </c>
      <c r="F459" s="283">
        <v>24.3845615386963</v>
      </c>
      <c r="G459" s="283">
        <v>24.318822860717798</v>
      </c>
      <c r="H459" s="283">
        <v>24.297929763793899</v>
      </c>
      <c r="I459" s="283">
        <v>24.022377014160199</v>
      </c>
      <c r="J459" s="283">
        <v>23.662025451660199</v>
      </c>
      <c r="K459" s="283">
        <v>23.093143463134801</v>
      </c>
      <c r="L459" s="283">
        <v>22.802413940429702</v>
      </c>
      <c r="M459" s="283">
        <v>22.663448333740199</v>
      </c>
      <c r="N459" s="283">
        <v>22.5459308624268</v>
      </c>
      <c r="O459" s="283">
        <v>22.5456428527832</v>
      </c>
      <c r="P459" s="283">
        <v>22.688844680786101</v>
      </c>
      <c r="Q459" s="283">
        <v>22.9480895996094</v>
      </c>
      <c r="R459" s="283">
        <v>23.136041641235401</v>
      </c>
      <c r="S459" s="283">
        <v>23.0899753570557</v>
      </c>
      <c r="T459" s="283">
        <v>23.154170989990199</v>
      </c>
      <c r="U459" s="283">
        <v>23.213594436645501</v>
      </c>
      <c r="V459" s="283">
        <v>23.230543136596701</v>
      </c>
      <c r="W459" s="283">
        <v>23.3047065734863</v>
      </c>
      <c r="X459" s="283">
        <v>23.429094314575199</v>
      </c>
      <c r="Y459" s="283">
        <v>23.4709377288818</v>
      </c>
      <c r="Z459" s="283">
        <v>23.433801651001001</v>
      </c>
    </row>
    <row r="460" spans="1:70">
      <c r="A460" s="283" t="s">
        <v>511</v>
      </c>
      <c r="B460" s="283"/>
      <c r="C460" s="283"/>
      <c r="D460" s="283"/>
      <c r="E460" s="283"/>
      <c r="F460" s="283"/>
      <c r="G460" s="283"/>
      <c r="H460" s="283"/>
      <c r="I460" s="283"/>
      <c r="J460" s="283"/>
      <c r="K460" s="283"/>
      <c r="L460" s="283"/>
      <c r="M460" s="283"/>
      <c r="N460" s="283"/>
      <c r="O460" s="283"/>
      <c r="P460" s="283"/>
      <c r="Q460" s="283"/>
      <c r="R460" s="283"/>
      <c r="S460" s="283"/>
      <c r="T460" s="283"/>
      <c r="U460" s="283"/>
      <c r="V460" s="283"/>
      <c r="W460" s="283"/>
      <c r="X460" s="283"/>
      <c r="Y460" s="283"/>
      <c r="Z460" s="283"/>
    </row>
    <row r="461" spans="1:70">
      <c r="A461" s="283" t="s">
        <v>626</v>
      </c>
      <c r="B461" s="283"/>
      <c r="C461" s="283"/>
      <c r="D461" s="283"/>
      <c r="E461" s="283"/>
      <c r="F461" s="283"/>
      <c r="G461" s="283"/>
      <c r="H461" s="283"/>
      <c r="I461" s="283"/>
      <c r="J461" s="283"/>
      <c r="K461" s="283"/>
      <c r="L461" s="283"/>
      <c r="M461" s="283"/>
      <c r="N461" s="283"/>
      <c r="O461" s="283"/>
      <c r="P461" s="283"/>
      <c r="Q461" s="283"/>
      <c r="R461" s="283"/>
      <c r="S461" s="283"/>
      <c r="T461" s="283"/>
      <c r="U461" s="283"/>
      <c r="V461" s="283"/>
      <c r="W461" s="283"/>
      <c r="X461" s="283"/>
      <c r="Y461" s="283"/>
      <c r="Z461" s="283"/>
    </row>
    <row r="462" spans="1:70">
      <c r="A462" s="283" t="s">
        <v>471</v>
      </c>
      <c r="B462" s="283"/>
      <c r="C462" s="283"/>
      <c r="D462" s="283">
        <v>195.98880004882801</v>
      </c>
      <c r="E462" s="283">
        <v>215.13366699218801</v>
      </c>
      <c r="F462" s="283">
        <v>218.80557250976599</v>
      </c>
      <c r="G462" s="283">
        <v>221.29866027832</v>
      </c>
      <c r="H462" s="283">
        <v>223.50036621093801</v>
      </c>
      <c r="I462" s="283">
        <v>221.10458374023401</v>
      </c>
      <c r="J462" s="283">
        <v>220.438400268555</v>
      </c>
      <c r="K462" s="283">
        <v>218.08479309082</v>
      </c>
      <c r="L462" s="283">
        <v>218.45701599121099</v>
      </c>
      <c r="M462" s="283">
        <v>217.84970092773401</v>
      </c>
      <c r="N462" s="283">
        <v>219.40165710449199</v>
      </c>
      <c r="O462" s="283">
        <v>221.00289916992199</v>
      </c>
      <c r="P462" s="283">
        <v>224.59239196777301</v>
      </c>
      <c r="Q462" s="283">
        <v>228.53056335449199</v>
      </c>
      <c r="R462" s="283">
        <v>230.97148132324199</v>
      </c>
      <c r="S462" s="283">
        <v>232.57162475585901</v>
      </c>
      <c r="T462" s="283">
        <v>236.03457641601599</v>
      </c>
      <c r="U462" s="283">
        <v>237.58020019531301</v>
      </c>
      <c r="V462" s="283">
        <v>240.43632507324199</v>
      </c>
      <c r="W462" s="283">
        <v>243.39186096191401</v>
      </c>
      <c r="X462" s="283">
        <v>247.24427795410199</v>
      </c>
      <c r="Y462" s="283">
        <v>248.98767089843801</v>
      </c>
      <c r="Z462" s="283">
        <v>251.02548217773401</v>
      </c>
    </row>
    <row r="463" spans="1:70">
      <c r="A463" s="283" t="s">
        <v>478</v>
      </c>
      <c r="B463" s="283"/>
      <c r="C463" s="283"/>
      <c r="D463" s="283">
        <v>141.77845764160199</v>
      </c>
      <c r="E463" s="283">
        <v>154.38449096679699</v>
      </c>
      <c r="F463" s="283">
        <v>157.84999084472699</v>
      </c>
      <c r="G463" s="283">
        <v>156.06527709960901</v>
      </c>
      <c r="H463" s="283">
        <v>159.312088012695</v>
      </c>
      <c r="I463" s="283">
        <v>158.53677368164099</v>
      </c>
      <c r="J463" s="283">
        <v>157.966796875</v>
      </c>
      <c r="K463" s="283">
        <v>156.350173950195</v>
      </c>
      <c r="L463" s="283">
        <v>157.31393432617199</v>
      </c>
      <c r="M463" s="283">
        <v>158.58882141113301</v>
      </c>
      <c r="N463" s="283">
        <v>160.74195861816401</v>
      </c>
      <c r="O463" s="283">
        <v>163.37489318847699</v>
      </c>
      <c r="P463" s="283">
        <v>167.20817565918</v>
      </c>
      <c r="Q463" s="283">
        <v>172.04411315918</v>
      </c>
      <c r="R463" s="283">
        <v>175.58262634277301</v>
      </c>
      <c r="S463" s="283">
        <v>178.093505859375</v>
      </c>
      <c r="T463" s="283">
        <v>181.73991394043</v>
      </c>
      <c r="U463" s="283">
        <v>185.01341247558599</v>
      </c>
      <c r="V463" s="283">
        <v>188.79048156738301</v>
      </c>
      <c r="W463" s="283">
        <v>192.86947631835901</v>
      </c>
      <c r="X463" s="283">
        <v>197.36026000976599</v>
      </c>
      <c r="Y463" s="283">
        <v>201.10684204101599</v>
      </c>
      <c r="Z463" s="283">
        <v>204.49230957031301</v>
      </c>
    </row>
    <row r="464" spans="1:70">
      <c r="A464" s="283" t="s">
        <v>513</v>
      </c>
      <c r="B464" s="283"/>
      <c r="C464" s="283"/>
      <c r="D464" s="283">
        <v>184.22943115234401</v>
      </c>
      <c r="E464" s="283">
        <v>196.07313537597699</v>
      </c>
      <c r="F464" s="283">
        <v>205.39855957031301</v>
      </c>
      <c r="G464" s="283">
        <v>217.87611389160199</v>
      </c>
      <c r="H464" s="283">
        <v>214.14784240722699</v>
      </c>
      <c r="I464" s="283">
        <v>207.11370849609401</v>
      </c>
      <c r="J464" s="283">
        <v>200.48422241210901</v>
      </c>
      <c r="K464" s="283">
        <v>191.81477355957</v>
      </c>
      <c r="L464" s="283">
        <v>187.29217529296901</v>
      </c>
      <c r="M464" s="283">
        <v>184.91578674316401</v>
      </c>
      <c r="N464" s="283">
        <v>184.25204467773401</v>
      </c>
      <c r="O464" s="283">
        <v>184.11447143554699</v>
      </c>
      <c r="P464" s="283">
        <v>186.80691528320301</v>
      </c>
      <c r="Q464" s="283">
        <v>189.66255187988301</v>
      </c>
      <c r="R464" s="283">
        <v>190.49990844726599</v>
      </c>
      <c r="S464" s="283">
        <v>192.03105163574199</v>
      </c>
      <c r="T464" s="283">
        <v>194.88296508789099</v>
      </c>
      <c r="U464" s="283">
        <v>196.87213134765599</v>
      </c>
      <c r="V464" s="283">
        <v>200.07191467285199</v>
      </c>
      <c r="W464" s="283">
        <v>202.13279724121099</v>
      </c>
      <c r="X464" s="283">
        <v>205.48814392089801</v>
      </c>
      <c r="Y464" s="283">
        <v>206.97822570800801</v>
      </c>
      <c r="Z464" s="283">
        <v>209.30905151367199</v>
      </c>
    </row>
    <row r="465" spans="1:70">
      <c r="A465" s="283" t="s">
        <v>485</v>
      </c>
      <c r="B465" s="283"/>
      <c r="C465" s="283"/>
      <c r="D465" s="283">
        <v>385.00112915039102</v>
      </c>
      <c r="E465" s="283">
        <v>474.66281127929699</v>
      </c>
      <c r="F465" s="283">
        <v>545.7236328125</v>
      </c>
      <c r="G465" s="283">
        <v>538.79211425781295</v>
      </c>
      <c r="H465" s="283">
        <v>508.11019897460898</v>
      </c>
      <c r="I465" s="283">
        <v>488.44781494140602</v>
      </c>
      <c r="J465" s="283">
        <v>476.37777709960898</v>
      </c>
      <c r="K465" s="283">
        <v>463.41403198242199</v>
      </c>
      <c r="L465" s="283">
        <v>458.16046142578102</v>
      </c>
      <c r="M465" s="283">
        <v>458.57275390625</v>
      </c>
      <c r="N465" s="283">
        <v>452.78533935546898</v>
      </c>
      <c r="O465" s="283">
        <v>459.41848754882801</v>
      </c>
      <c r="P465" s="283">
        <v>469.74392700195301</v>
      </c>
      <c r="Q465" s="283">
        <v>478.67190551757801</v>
      </c>
      <c r="R465" s="283">
        <v>487.87078857421898</v>
      </c>
      <c r="S465" s="283">
        <v>505.29348754882801</v>
      </c>
      <c r="T465" s="283">
        <v>511.07485961914102</v>
      </c>
      <c r="U465" s="283">
        <v>521.646240234375</v>
      </c>
      <c r="V465" s="283">
        <v>538.77532958984398</v>
      </c>
      <c r="W465" s="283">
        <v>540.642822265625</v>
      </c>
      <c r="X465" s="283">
        <v>554.21173095703102</v>
      </c>
      <c r="Y465" s="283">
        <v>570.280029296875</v>
      </c>
      <c r="Z465" s="283">
        <v>574.30035400390602</v>
      </c>
    </row>
    <row r="466" spans="1:70">
      <c r="A466" s="283" t="s">
        <v>514</v>
      </c>
      <c r="B466" s="283"/>
      <c r="C466" s="283"/>
      <c r="D466" s="283">
        <v>906.997802734375</v>
      </c>
      <c r="E466" s="283">
        <v>1040.25415039063</v>
      </c>
      <c r="F466" s="283">
        <v>1127.77770996094</v>
      </c>
      <c r="G466" s="283">
        <v>1134.0322265625</v>
      </c>
      <c r="H466" s="283">
        <v>1105.07055664063</v>
      </c>
      <c r="I466" s="283">
        <v>1075.20288085938</v>
      </c>
      <c r="J466" s="283">
        <v>1055.26721191406</v>
      </c>
      <c r="K466" s="283">
        <v>1029.66381835938</v>
      </c>
      <c r="L466" s="283">
        <v>1021.22357177734</v>
      </c>
      <c r="M466" s="283">
        <v>1019.92706298828</v>
      </c>
      <c r="N466" s="283">
        <v>1017.18103027344</v>
      </c>
      <c r="O466" s="283">
        <v>1027.91076660156</v>
      </c>
      <c r="P466" s="283">
        <v>1048.35144042969</v>
      </c>
      <c r="Q466" s="283">
        <v>1068.9091796875</v>
      </c>
      <c r="R466" s="283">
        <v>1084.9248046875</v>
      </c>
      <c r="S466" s="283">
        <v>1107.98962402344</v>
      </c>
      <c r="T466" s="283">
        <v>1123.73229980469</v>
      </c>
      <c r="U466" s="283">
        <v>1141.11193847656</v>
      </c>
      <c r="V466" s="283">
        <v>1168.07409667969</v>
      </c>
      <c r="W466" s="283">
        <v>1179.03698730469</v>
      </c>
      <c r="X466" s="283">
        <v>1204.30444335938</v>
      </c>
      <c r="Y466" s="283">
        <v>1227.35278320313</v>
      </c>
      <c r="Z466" s="283">
        <v>1239.12719726563</v>
      </c>
    </row>
    <row r="467" spans="1:70">
      <c r="A467" s="283" t="s">
        <v>627</v>
      </c>
      <c r="B467" s="283"/>
      <c r="C467" s="283"/>
      <c r="D467" s="283">
        <v>2.27928571403027E-2</v>
      </c>
      <c r="E467" s="283">
        <v>3.3822253346443197E-2</v>
      </c>
      <c r="F467" s="283">
        <v>4.68330308794975E-2</v>
      </c>
      <c r="G467" s="283">
        <v>4.2311083525419201E-2</v>
      </c>
      <c r="H467" s="283">
        <v>4.6379543840885197E-2</v>
      </c>
      <c r="I467" s="283">
        <v>5.0339180976152399E-2</v>
      </c>
      <c r="J467" s="283">
        <v>6.3796535134315505E-2</v>
      </c>
      <c r="K467" s="283">
        <v>7.1353547275066403E-2</v>
      </c>
      <c r="L467" s="283">
        <v>7.5695373117923695E-2</v>
      </c>
      <c r="M467" s="283">
        <v>8.06071981787682E-2</v>
      </c>
      <c r="N467" s="283">
        <v>8.2480475306510898E-2</v>
      </c>
      <c r="O467" s="283">
        <v>8.9031867682933793E-2</v>
      </c>
      <c r="P467" s="283">
        <v>9.6231654286384596E-2</v>
      </c>
      <c r="Q467" s="283">
        <v>0.10344713926315301</v>
      </c>
      <c r="R467" s="283">
        <v>0.112680315971375</v>
      </c>
      <c r="S467" s="283">
        <v>0.13150542974471999</v>
      </c>
      <c r="T467" s="283">
        <v>0.15408998727798501</v>
      </c>
      <c r="U467" s="283">
        <v>0.18660007417201999</v>
      </c>
      <c r="V467" s="283">
        <v>0.21707823872566201</v>
      </c>
      <c r="W467" s="283">
        <v>0.243339464068413</v>
      </c>
      <c r="X467" s="283">
        <v>0.28575915098190302</v>
      </c>
      <c r="Y467" s="283">
        <v>0.31987324357032798</v>
      </c>
      <c r="Z467" s="283">
        <v>0.34808513522148099</v>
      </c>
    </row>
    <row r="468" spans="1:70">
      <c r="A468" s="283" t="s">
        <v>516</v>
      </c>
      <c r="B468" s="283"/>
      <c r="C468" s="283"/>
      <c r="D468" s="283">
        <v>907.02056884765602</v>
      </c>
      <c r="E468" s="283">
        <v>1040.28796386719</v>
      </c>
      <c r="F468" s="283">
        <v>1127.82458496094</v>
      </c>
      <c r="G468" s="283">
        <v>1134.07458496094</v>
      </c>
      <c r="H468" s="283">
        <v>1105.11694335938</v>
      </c>
      <c r="I468" s="283">
        <v>1075.25317382813</v>
      </c>
      <c r="J468" s="283">
        <v>1055.3310546875</v>
      </c>
      <c r="K468" s="283">
        <v>1029.73522949219</v>
      </c>
      <c r="L468" s="283">
        <v>1021.29925537109</v>
      </c>
      <c r="M468" s="283">
        <v>1020.00769042969</v>
      </c>
      <c r="N468" s="283">
        <v>1017.26348876953</v>
      </c>
      <c r="O468" s="283">
        <v>1027.99975585938</v>
      </c>
      <c r="P468" s="283">
        <v>1048.44763183594</v>
      </c>
      <c r="Q468" s="283">
        <v>1069.01257324219</v>
      </c>
      <c r="R468" s="283">
        <v>1085.03747558594</v>
      </c>
      <c r="S468" s="283">
        <v>1108.12109375</v>
      </c>
      <c r="T468" s="283">
        <v>1123.88635253906</v>
      </c>
      <c r="U468" s="283">
        <v>1141.29858398438</v>
      </c>
      <c r="V468" s="283">
        <v>1168.29113769531</v>
      </c>
      <c r="W468" s="283">
        <v>1179.2802734375</v>
      </c>
      <c r="X468" s="283">
        <v>1204.59020996094</v>
      </c>
      <c r="Y468" s="283">
        <v>1227.67260742188</v>
      </c>
      <c r="Z468" s="283">
        <v>1239.47534179688</v>
      </c>
    </row>
    <row r="469" spans="1:70">
      <c r="A469" s="271" t="s">
        <v>1078</v>
      </c>
      <c r="B469" s="235" t="s">
        <v>591</v>
      </c>
      <c r="C469" s="283"/>
      <c r="D469" s="283"/>
      <c r="E469" s="283"/>
      <c r="F469" s="283"/>
      <c r="G469" s="283"/>
      <c r="H469" s="283"/>
      <c r="I469" s="283"/>
      <c r="J469" s="283"/>
      <c r="K469" s="283"/>
      <c r="L469" s="283"/>
      <c r="M469" s="283"/>
      <c r="N469" s="283"/>
      <c r="O469" s="283"/>
      <c r="P469" s="283"/>
      <c r="Q469" s="283"/>
      <c r="R469" s="283"/>
      <c r="S469" s="283"/>
      <c r="T469" s="283"/>
      <c r="U469" s="283"/>
      <c r="V469" s="283"/>
      <c r="W469" s="283"/>
      <c r="X469" s="283"/>
      <c r="Y469" s="283"/>
      <c r="Z469" s="283"/>
    </row>
    <row r="470" spans="1:70" ht="14" thickBot="1">
      <c r="A470" s="260" t="s">
        <v>311</v>
      </c>
      <c r="B470" s="235" t="s">
        <v>591</v>
      </c>
      <c r="C470" s="283"/>
      <c r="D470" s="283"/>
      <c r="E470" s="283"/>
      <c r="F470" s="283"/>
      <c r="G470" s="283"/>
      <c r="H470" s="283"/>
      <c r="I470" s="283"/>
      <c r="J470" s="283"/>
      <c r="K470" s="283"/>
      <c r="L470" s="283"/>
      <c r="M470" s="283"/>
      <c r="N470" s="283"/>
      <c r="O470" s="283"/>
      <c r="P470" s="283"/>
      <c r="Q470" s="283"/>
      <c r="R470" s="283"/>
      <c r="S470" s="283"/>
      <c r="T470" s="283"/>
      <c r="U470" s="283"/>
      <c r="V470" s="283"/>
      <c r="W470" s="283"/>
      <c r="X470" s="283"/>
      <c r="Y470" s="283"/>
      <c r="Z470" s="283"/>
    </row>
    <row r="471" spans="1:70" ht="14" thickBot="1">
      <c r="A471" s="283" t="s">
        <v>973</v>
      </c>
      <c r="B471" s="283"/>
      <c r="C471" s="283"/>
      <c r="D471" s="283"/>
      <c r="E471" s="283"/>
      <c r="F471" s="283"/>
      <c r="G471" s="283"/>
      <c r="H471" s="283"/>
      <c r="I471" s="283"/>
      <c r="J471" s="283"/>
      <c r="K471" s="283"/>
      <c r="L471" s="283"/>
      <c r="M471" s="283"/>
      <c r="N471" s="283"/>
      <c r="O471" s="283"/>
      <c r="P471" s="283"/>
      <c r="Q471" s="283"/>
      <c r="R471" s="283"/>
      <c r="S471" s="283"/>
      <c r="T471" s="283"/>
      <c r="U471" s="283"/>
      <c r="V471" s="283"/>
      <c r="W471" s="283"/>
      <c r="X471" s="283"/>
      <c r="Y471" s="283"/>
      <c r="Z471" s="283"/>
      <c r="AA471" s="261">
        <f>Z641+($AI$471-$Y$641)/10</f>
        <v>8.1072037368774854</v>
      </c>
      <c r="AB471" s="261">
        <f t="shared" ref="AB471:AH471" si="48">AA471+($AI$471-$Y$641)/10</f>
        <v>8.1552847846985532</v>
      </c>
      <c r="AC471" s="261">
        <f t="shared" si="48"/>
        <v>8.203365832519621</v>
      </c>
      <c r="AD471" s="261">
        <f t="shared" si="48"/>
        <v>8.2514468803406888</v>
      </c>
      <c r="AE471" s="261">
        <f t="shared" si="48"/>
        <v>8.2995279281617567</v>
      </c>
      <c r="AF471" s="261">
        <f t="shared" si="48"/>
        <v>8.3476089759828245</v>
      </c>
      <c r="AG471" s="261">
        <f t="shared" si="48"/>
        <v>8.3956900238038923</v>
      </c>
      <c r="AH471" s="261">
        <f t="shared" si="48"/>
        <v>8.4437710716249601</v>
      </c>
      <c r="AI471" s="262">
        <f>T641*$E$742</f>
        <v>8.4918521194460261</v>
      </c>
      <c r="AJ471" s="261">
        <f>AI471+($AX$471-$AI$471)/15</f>
        <v>8.5879736457897184</v>
      </c>
      <c r="AK471" s="261">
        <f t="shared" ref="AK471:AW471" si="49">AJ471+($AX$471-$AI$471)/15</f>
        <v>8.6840951721334108</v>
      </c>
      <c r="AL471" s="261">
        <f t="shared" si="49"/>
        <v>8.7802166984771031</v>
      </c>
      <c r="AM471" s="261">
        <f t="shared" si="49"/>
        <v>8.8763382248207954</v>
      </c>
      <c r="AN471" s="261">
        <f t="shared" si="49"/>
        <v>8.9724597511644877</v>
      </c>
      <c r="AO471" s="261">
        <f t="shared" si="49"/>
        <v>9.06858127750818</v>
      </c>
      <c r="AP471" s="261">
        <f t="shared" si="49"/>
        <v>9.1647028038518723</v>
      </c>
      <c r="AQ471" s="261">
        <f t="shared" si="49"/>
        <v>9.2608243301955646</v>
      </c>
      <c r="AR471" s="261">
        <f t="shared" si="49"/>
        <v>9.3569458565392569</v>
      </c>
      <c r="AS471" s="261">
        <f t="shared" si="49"/>
        <v>9.4530673828829492</v>
      </c>
      <c r="AT471" s="261">
        <f t="shared" si="49"/>
        <v>9.5491889092266415</v>
      </c>
      <c r="AU471" s="261">
        <f t="shared" si="49"/>
        <v>9.6453104355703339</v>
      </c>
      <c r="AV471" s="261">
        <f t="shared" si="49"/>
        <v>9.7414319619140262</v>
      </c>
      <c r="AW471" s="261">
        <f t="shared" si="49"/>
        <v>9.8375534882577185</v>
      </c>
      <c r="AX471" s="262">
        <f>AI471*$B$742</f>
        <v>9.9336750146014001</v>
      </c>
      <c r="AY471" s="261">
        <f>AX471+($BM$471-$AX$471)/15</f>
        <v>10.032035813725209</v>
      </c>
      <c r="AZ471" s="261">
        <f t="shared" ref="AZ471:BL471" si="50">AY471+($BM$471-$AX$471)/15</f>
        <v>10.130396612849017</v>
      </c>
      <c r="BA471" s="261">
        <f t="shared" si="50"/>
        <v>10.228757411972826</v>
      </c>
      <c r="BB471" s="261">
        <f t="shared" si="50"/>
        <v>10.327118211096634</v>
      </c>
      <c r="BC471" s="261">
        <f t="shared" si="50"/>
        <v>10.425479010220442</v>
      </c>
      <c r="BD471" s="261">
        <f t="shared" si="50"/>
        <v>10.523839809344251</v>
      </c>
      <c r="BE471" s="261">
        <f t="shared" si="50"/>
        <v>10.622200608468059</v>
      </c>
      <c r="BF471" s="261">
        <f t="shared" si="50"/>
        <v>10.720561407591868</v>
      </c>
      <c r="BG471" s="261">
        <f t="shared" si="50"/>
        <v>10.818922206715676</v>
      </c>
      <c r="BH471" s="261">
        <f t="shared" si="50"/>
        <v>10.917283005839485</v>
      </c>
      <c r="BI471" s="261">
        <f t="shared" si="50"/>
        <v>11.015643804963293</v>
      </c>
      <c r="BJ471" s="261">
        <f t="shared" si="50"/>
        <v>11.114004604087102</v>
      </c>
      <c r="BK471" s="261">
        <f t="shared" si="50"/>
        <v>11.21236540321091</v>
      </c>
      <c r="BL471" s="261">
        <f t="shared" si="50"/>
        <v>11.310726202334719</v>
      </c>
      <c r="BM471" s="262">
        <f>AX471*$C$742</f>
        <v>11.409087001458516</v>
      </c>
      <c r="BN471" s="261">
        <f>BM471+($BR$471-$BM$471)/5</f>
        <v>11.522056966057418</v>
      </c>
      <c r="BO471" s="261">
        <f>BN471+($BR$471-$BM$471)/5</f>
        <v>11.63502693065632</v>
      </c>
      <c r="BP471" s="261">
        <f>BO471+($BR$471-$BM$471)/5</f>
        <v>11.747996895255222</v>
      </c>
      <c r="BQ471" s="261">
        <f>BP471+($BR$471-$BM$471)/5</f>
        <v>11.860966859854123</v>
      </c>
      <c r="BR471" s="262">
        <f>BM471*$D$742</f>
        <v>11.973936824453022</v>
      </c>
    </row>
    <row r="472" spans="1:70" ht="14" thickBot="1">
      <c r="A472" s="283" t="s">
        <v>628</v>
      </c>
      <c r="B472" s="283"/>
      <c r="C472" s="283"/>
      <c r="D472" s="283"/>
      <c r="E472" s="283"/>
      <c r="F472" s="283"/>
      <c r="G472" s="283"/>
      <c r="H472" s="283"/>
      <c r="I472" s="283"/>
      <c r="J472" s="283"/>
      <c r="K472" s="283"/>
      <c r="L472" s="283"/>
      <c r="M472" s="283"/>
      <c r="N472" s="283"/>
      <c r="O472" s="283"/>
      <c r="P472" s="283"/>
      <c r="Q472" s="283"/>
      <c r="R472" s="283"/>
      <c r="S472" s="283"/>
      <c r="T472" s="283"/>
      <c r="U472" s="283"/>
      <c r="V472" s="283"/>
      <c r="W472" s="283"/>
      <c r="X472" s="283"/>
      <c r="Y472" s="283"/>
      <c r="Z472" s="283"/>
      <c r="AA472" s="263">
        <f>Z642+($AI$472-$Y$642)/10</f>
        <v>22.490795032640289</v>
      </c>
      <c r="AB472" s="263">
        <f t="shared" ref="AB472:AH472" si="51">AA472+($AI$472-$Y$642)/10</f>
        <v>22.394891584604984</v>
      </c>
      <c r="AC472" s="263">
        <f t="shared" si="51"/>
        <v>22.29898813656968</v>
      </c>
      <c r="AD472" s="263">
        <f t="shared" si="51"/>
        <v>22.203084688534375</v>
      </c>
      <c r="AE472" s="263">
        <f t="shared" si="51"/>
        <v>22.10718124049907</v>
      </c>
      <c r="AF472" s="263">
        <f t="shared" si="51"/>
        <v>22.011277792463765</v>
      </c>
      <c r="AG472" s="263">
        <f t="shared" si="51"/>
        <v>21.915374344428461</v>
      </c>
      <c r="AH472" s="263">
        <f t="shared" si="51"/>
        <v>21.819470896393156</v>
      </c>
      <c r="AI472" s="264">
        <f>T642*$E$745</f>
        <v>21.723567448357841</v>
      </c>
      <c r="AJ472" s="263">
        <f>AI472+($AX$472-$AI$472)/15</f>
        <v>21.715027463671497</v>
      </c>
      <c r="AK472" s="263">
        <f t="shared" ref="AK472:AW472" si="52">AJ472+($AX$472-$AI$472)/15</f>
        <v>21.706487478985153</v>
      </c>
      <c r="AL472" s="263">
        <f t="shared" si="52"/>
        <v>21.697947494298809</v>
      </c>
      <c r="AM472" s="263">
        <f t="shared" si="52"/>
        <v>21.689407509612465</v>
      </c>
      <c r="AN472" s="263">
        <f t="shared" si="52"/>
        <v>21.680867524926121</v>
      </c>
      <c r="AO472" s="263">
        <f t="shared" si="52"/>
        <v>21.672327540239777</v>
      </c>
      <c r="AP472" s="263">
        <f t="shared" si="52"/>
        <v>21.663787555553434</v>
      </c>
      <c r="AQ472" s="263">
        <f t="shared" si="52"/>
        <v>21.65524757086709</v>
      </c>
      <c r="AR472" s="263">
        <f t="shared" si="52"/>
        <v>21.646707586180746</v>
      </c>
      <c r="AS472" s="263">
        <f t="shared" si="52"/>
        <v>21.638167601494402</v>
      </c>
      <c r="AT472" s="263">
        <f t="shared" si="52"/>
        <v>21.629627616808058</v>
      </c>
      <c r="AU472" s="263">
        <f t="shared" si="52"/>
        <v>21.621087632121714</v>
      </c>
      <c r="AV472" s="263">
        <f t="shared" si="52"/>
        <v>21.61254764743537</v>
      </c>
      <c r="AW472" s="263">
        <f t="shared" si="52"/>
        <v>21.604007662749027</v>
      </c>
      <c r="AX472" s="264">
        <f>AI472*$B$745</f>
        <v>21.595467678062693</v>
      </c>
      <c r="AY472" s="263">
        <f>AX472+($BM$472-$AX$472)/15</f>
        <v>21.609186144316791</v>
      </c>
      <c r="AZ472" s="263">
        <f t="shared" ref="AZ472:BL472" si="53">AY472+($BM$472-$AX$472)/15</f>
        <v>21.622904610570888</v>
      </c>
      <c r="BA472" s="263">
        <f t="shared" si="53"/>
        <v>21.636623076824986</v>
      </c>
      <c r="BB472" s="263">
        <f t="shared" si="53"/>
        <v>21.650341543079083</v>
      </c>
      <c r="BC472" s="263">
        <f t="shared" si="53"/>
        <v>21.664060009333181</v>
      </c>
      <c r="BD472" s="263">
        <f t="shared" si="53"/>
        <v>21.677778475587278</v>
      </c>
      <c r="BE472" s="263">
        <f t="shared" si="53"/>
        <v>21.691496941841375</v>
      </c>
      <c r="BF472" s="263">
        <f t="shared" si="53"/>
        <v>21.705215408095473</v>
      </c>
      <c r="BG472" s="263">
        <f t="shared" si="53"/>
        <v>21.71893387434957</v>
      </c>
      <c r="BH472" s="263">
        <f t="shared" si="53"/>
        <v>21.732652340603668</v>
      </c>
      <c r="BI472" s="263">
        <f t="shared" si="53"/>
        <v>21.746370806857765</v>
      </c>
      <c r="BJ472" s="263">
        <f t="shared" si="53"/>
        <v>21.760089273111863</v>
      </c>
      <c r="BK472" s="263">
        <f t="shared" si="53"/>
        <v>21.77380773936596</v>
      </c>
      <c r="BL472" s="263">
        <f t="shared" si="53"/>
        <v>21.787526205620058</v>
      </c>
      <c r="BM472" s="264">
        <f>AX472*$C$745</f>
        <v>21.801244671874137</v>
      </c>
      <c r="BN472" s="263">
        <f>BM472+($BR$472-$BM$472)/5</f>
        <v>21.815093857443394</v>
      </c>
      <c r="BO472" s="263">
        <f>BN472+($BR$472-$BM$472)/5</f>
        <v>21.82894304301265</v>
      </c>
      <c r="BP472" s="263">
        <f>BO472+($BR$472-$BM$472)/5</f>
        <v>21.842792228581906</v>
      </c>
      <c r="BQ472" s="263">
        <f>BP472+($BR$472-$BM$472)/5</f>
        <v>21.856641414151163</v>
      </c>
      <c r="BR472" s="264">
        <f>BM472*$D$745</f>
        <v>21.870490599720426</v>
      </c>
    </row>
    <row r="473" spans="1:70">
      <c r="A473" s="283" t="s">
        <v>629</v>
      </c>
      <c r="B473" s="283"/>
      <c r="C473" s="283"/>
      <c r="D473" s="283"/>
      <c r="E473" s="283"/>
      <c r="F473" s="283"/>
      <c r="G473" s="283"/>
      <c r="H473" s="283"/>
      <c r="I473" s="283"/>
      <c r="J473" s="283"/>
      <c r="K473" s="283"/>
      <c r="L473" s="283"/>
      <c r="M473" s="283"/>
      <c r="N473" s="283"/>
      <c r="O473" s="283"/>
      <c r="P473" s="283"/>
      <c r="Q473" s="283"/>
      <c r="R473" s="283"/>
      <c r="S473" s="283"/>
      <c r="T473" s="283"/>
      <c r="U473" s="283"/>
      <c r="V473" s="283"/>
      <c r="W473" s="283"/>
      <c r="X473" s="283"/>
      <c r="Y473" s="283"/>
      <c r="Z473" s="283"/>
    </row>
    <row r="474" spans="1:70">
      <c r="A474" s="283" t="s">
        <v>630</v>
      </c>
      <c r="B474" s="283"/>
      <c r="C474" s="283"/>
      <c r="D474" s="283"/>
      <c r="E474" s="283"/>
      <c r="F474" s="283"/>
      <c r="G474" s="283"/>
      <c r="H474" s="283"/>
      <c r="I474" s="283"/>
      <c r="J474" s="283"/>
      <c r="K474" s="283"/>
      <c r="L474" s="283"/>
      <c r="M474" s="283"/>
      <c r="N474" s="283"/>
      <c r="O474" s="283"/>
      <c r="P474" s="283"/>
      <c r="Q474" s="283"/>
      <c r="R474" s="283"/>
      <c r="S474" s="283"/>
      <c r="T474" s="283"/>
      <c r="U474" s="283"/>
      <c r="V474" s="283"/>
      <c r="W474" s="283"/>
      <c r="X474" s="283"/>
      <c r="Y474" s="283"/>
      <c r="Z474" s="283"/>
    </row>
    <row r="475" spans="1:70">
      <c r="A475" s="283" t="s">
        <v>646</v>
      </c>
      <c r="B475" s="283"/>
      <c r="C475" s="283"/>
      <c r="D475" s="283"/>
      <c r="E475" s="283"/>
      <c r="F475" s="283"/>
      <c r="G475" s="283"/>
      <c r="H475" s="283"/>
      <c r="I475" s="283"/>
      <c r="J475" s="283"/>
      <c r="K475" s="283"/>
      <c r="L475" s="283"/>
      <c r="M475" s="283"/>
      <c r="N475" s="283"/>
      <c r="O475" s="283"/>
      <c r="P475" s="283"/>
      <c r="Q475" s="283"/>
      <c r="R475" s="283"/>
      <c r="S475" s="283"/>
      <c r="T475" s="283"/>
      <c r="U475" s="283"/>
      <c r="V475" s="283"/>
      <c r="W475" s="283"/>
      <c r="X475" s="283"/>
      <c r="Y475" s="283"/>
      <c r="Z475" s="283"/>
    </row>
    <row r="476" spans="1:70">
      <c r="A476" s="283" t="s">
        <v>540</v>
      </c>
      <c r="B476" s="283"/>
      <c r="C476" s="283"/>
      <c r="D476" s="283"/>
      <c r="E476" s="283"/>
      <c r="F476" s="283"/>
      <c r="G476" s="283"/>
      <c r="H476" s="283"/>
      <c r="I476" s="283"/>
      <c r="J476" s="283"/>
      <c r="K476" s="283"/>
      <c r="L476" s="283"/>
      <c r="M476" s="283"/>
      <c r="N476" s="283"/>
      <c r="O476" s="283"/>
      <c r="P476" s="283"/>
      <c r="Q476" s="283"/>
      <c r="R476" s="283"/>
      <c r="S476" s="283"/>
      <c r="T476" s="283"/>
      <c r="U476" s="283"/>
      <c r="V476" s="283"/>
      <c r="W476" s="283"/>
      <c r="X476" s="283"/>
      <c r="Y476" s="283"/>
      <c r="Z476" s="283"/>
    </row>
    <row r="477" spans="1:70" ht="52.5" customHeight="1">
      <c r="A477" s="283" t="s">
        <v>647</v>
      </c>
      <c r="B477" s="283"/>
      <c r="C477" s="283"/>
      <c r="D477" s="283"/>
      <c r="E477" s="283"/>
      <c r="F477" s="283"/>
      <c r="G477" s="283"/>
      <c r="H477" s="283"/>
      <c r="I477" s="283"/>
      <c r="J477" s="283"/>
      <c r="K477" s="283"/>
      <c r="L477" s="283"/>
      <c r="M477" s="283"/>
      <c r="N477" s="283"/>
      <c r="O477" s="283"/>
      <c r="P477" s="283"/>
      <c r="Q477" s="283"/>
      <c r="R477" s="283"/>
      <c r="S477" s="283"/>
      <c r="T477" s="283"/>
      <c r="U477" s="283"/>
      <c r="V477" s="283"/>
      <c r="W477" s="283"/>
      <c r="X477" s="283"/>
      <c r="Y477" s="283"/>
      <c r="Z477" s="283"/>
    </row>
    <row r="478" spans="1:70">
      <c r="A478" s="283" t="s">
        <v>648</v>
      </c>
      <c r="B478" s="283"/>
      <c r="C478" s="283"/>
      <c r="D478" s="283"/>
      <c r="E478" s="283"/>
      <c r="F478" s="283"/>
      <c r="G478" s="283"/>
      <c r="H478" s="283"/>
      <c r="I478" s="283"/>
      <c r="J478" s="283"/>
      <c r="K478" s="283"/>
      <c r="L478" s="283"/>
      <c r="M478" s="283"/>
      <c r="N478" s="283"/>
      <c r="O478" s="283"/>
      <c r="P478" s="283"/>
      <c r="Q478" s="283"/>
      <c r="R478" s="283"/>
      <c r="S478" s="283"/>
      <c r="T478" s="283"/>
      <c r="U478" s="283"/>
      <c r="V478" s="283"/>
      <c r="W478" s="283"/>
      <c r="X478" s="283"/>
      <c r="Y478" s="283"/>
      <c r="Z478" s="283"/>
    </row>
    <row r="479" spans="1:70" ht="14" thickBot="1">
      <c r="A479" s="283" t="s">
        <v>649</v>
      </c>
      <c r="B479" s="283"/>
      <c r="C479" s="283"/>
      <c r="D479" s="283"/>
      <c r="E479" s="283"/>
      <c r="F479" s="283"/>
      <c r="G479" s="283"/>
      <c r="H479" s="283"/>
      <c r="I479" s="283"/>
      <c r="J479" s="283"/>
      <c r="K479" s="283"/>
      <c r="L479" s="283"/>
      <c r="M479" s="283"/>
      <c r="N479" s="283"/>
      <c r="O479" s="283"/>
      <c r="P479" s="283"/>
      <c r="Q479" s="283"/>
      <c r="R479" s="283"/>
      <c r="S479" s="283"/>
      <c r="T479" s="283"/>
      <c r="U479" s="283"/>
      <c r="V479" s="283"/>
      <c r="W479" s="283"/>
      <c r="X479" s="283"/>
      <c r="Y479" s="283"/>
      <c r="Z479" s="283"/>
    </row>
    <row r="480" spans="1:70" ht="14" thickBot="1">
      <c r="A480" s="283" t="s">
        <v>650</v>
      </c>
      <c r="B480" s="283"/>
      <c r="C480" s="283"/>
      <c r="D480" s="283"/>
      <c r="E480" s="283"/>
      <c r="F480" s="283"/>
      <c r="G480" s="283"/>
      <c r="H480" s="283"/>
      <c r="I480" s="283"/>
      <c r="J480" s="283"/>
      <c r="K480" s="283"/>
      <c r="L480" s="283"/>
      <c r="M480" s="283"/>
      <c r="N480" s="283"/>
      <c r="O480" s="283"/>
      <c r="P480" s="283"/>
      <c r="Q480" s="283"/>
      <c r="R480" s="283"/>
      <c r="S480" s="283"/>
      <c r="T480" s="283"/>
      <c r="U480" s="283"/>
      <c r="V480" s="283"/>
      <c r="W480" s="283"/>
      <c r="X480" s="283"/>
      <c r="Y480" s="283"/>
      <c r="Z480" s="283"/>
      <c r="AA480" s="261">
        <f>Z650+($AI$480-$Y$650)/10</f>
        <v>5.5873463921161282</v>
      </c>
      <c r="AB480" s="261">
        <f t="shared" ref="AB480:AH480" si="54">AA480+($AI$480-$Y$650)/10</f>
        <v>5.6146233040707969</v>
      </c>
      <c r="AC480" s="261">
        <f t="shared" si="54"/>
        <v>5.6419002160254657</v>
      </c>
      <c r="AD480" s="261">
        <f t="shared" si="54"/>
        <v>5.6691771279801344</v>
      </c>
      <c r="AE480" s="261">
        <f t="shared" si="54"/>
        <v>5.6964540399348031</v>
      </c>
      <c r="AF480" s="261">
        <f t="shared" si="54"/>
        <v>5.7237309518894719</v>
      </c>
      <c r="AG480" s="261">
        <f t="shared" si="54"/>
        <v>5.7510078638441406</v>
      </c>
      <c r="AH480" s="261">
        <f t="shared" si="54"/>
        <v>5.7782847757988094</v>
      </c>
      <c r="AI480" s="262">
        <f>T650*$E$742</f>
        <v>5.8055616877534817</v>
      </c>
      <c r="AJ480" s="261">
        <f>AI480+($AX$480-$AI$480)/15</f>
        <v>5.8712763802445851</v>
      </c>
      <c r="AK480" s="261">
        <f t="shared" ref="AK480:AW480" si="55">AJ480+($AX$480-$AI$480)/15</f>
        <v>5.9369910727356885</v>
      </c>
      <c r="AL480" s="261">
        <f t="shared" si="55"/>
        <v>6.0027057652267919</v>
      </c>
      <c r="AM480" s="261">
        <f t="shared" si="55"/>
        <v>6.0684204577178953</v>
      </c>
      <c r="AN480" s="261">
        <f t="shared" si="55"/>
        <v>6.1341351502089987</v>
      </c>
      <c r="AO480" s="261">
        <f t="shared" si="55"/>
        <v>6.1998498427001021</v>
      </c>
      <c r="AP480" s="261">
        <f t="shared" si="55"/>
        <v>6.2655645351912055</v>
      </c>
      <c r="AQ480" s="261">
        <f t="shared" si="55"/>
        <v>6.3312792276823089</v>
      </c>
      <c r="AR480" s="261">
        <f t="shared" si="55"/>
        <v>6.3969939201734123</v>
      </c>
      <c r="AS480" s="261">
        <f t="shared" si="55"/>
        <v>6.4627086126645157</v>
      </c>
      <c r="AT480" s="261">
        <f t="shared" si="55"/>
        <v>6.5284233051556191</v>
      </c>
      <c r="AU480" s="261">
        <f t="shared" si="55"/>
        <v>6.5941379976467225</v>
      </c>
      <c r="AV480" s="261">
        <f t="shared" si="55"/>
        <v>6.6598526901378259</v>
      </c>
      <c r="AW480" s="261">
        <f t="shared" si="55"/>
        <v>6.7255673826289293</v>
      </c>
      <c r="AX480" s="262">
        <f>AI480*$B$742</f>
        <v>6.791282075120038</v>
      </c>
      <c r="AY480" s="261">
        <f>AX480+($BM$480-$AX$480)/15</f>
        <v>6.858527674659193</v>
      </c>
      <c r="AZ480" s="261">
        <f t="shared" ref="AZ480:BL480" si="56">AY480+($BM$480-$AX$480)/15</f>
        <v>6.925773274198348</v>
      </c>
      <c r="BA480" s="261">
        <f t="shared" si="56"/>
        <v>6.993018873737503</v>
      </c>
      <c r="BB480" s="261">
        <f t="shared" si="56"/>
        <v>7.060264473276658</v>
      </c>
      <c r="BC480" s="261">
        <f t="shared" si="56"/>
        <v>7.1275100728158129</v>
      </c>
      <c r="BD480" s="261">
        <f t="shared" si="56"/>
        <v>7.1947556723549679</v>
      </c>
      <c r="BE480" s="261">
        <f t="shared" si="56"/>
        <v>7.2620012718941229</v>
      </c>
      <c r="BF480" s="261">
        <f t="shared" si="56"/>
        <v>7.3292468714332779</v>
      </c>
      <c r="BG480" s="261">
        <f t="shared" si="56"/>
        <v>7.3964924709724329</v>
      </c>
      <c r="BH480" s="261">
        <f t="shared" si="56"/>
        <v>7.4637380705115879</v>
      </c>
      <c r="BI480" s="261">
        <f t="shared" si="56"/>
        <v>7.5309836700507429</v>
      </c>
      <c r="BJ480" s="261">
        <f t="shared" si="56"/>
        <v>7.5982292695898979</v>
      </c>
      <c r="BK480" s="261">
        <f t="shared" si="56"/>
        <v>7.6654748691290528</v>
      </c>
      <c r="BL480" s="261">
        <f t="shared" si="56"/>
        <v>7.7327204686682078</v>
      </c>
      <c r="BM480" s="262">
        <f>AX480*$C$742</f>
        <v>7.7999660682073682</v>
      </c>
      <c r="BN480" s="261">
        <f>BM480+($BR$480-$BM$480)/5</f>
        <v>7.8771994077800587</v>
      </c>
      <c r="BO480" s="261">
        <f>BN480+($BR$480-$BM$480)/5</f>
        <v>7.9544327473527492</v>
      </c>
      <c r="BP480" s="261">
        <f>BO480+($BR$480-$BM$480)/5</f>
        <v>8.0316660869254388</v>
      </c>
      <c r="BQ480" s="261">
        <f>BP480+($BR$480-$BM$480)/5</f>
        <v>8.1088994264981284</v>
      </c>
      <c r="BR480" s="262">
        <f>BM480*$D$742</f>
        <v>8.1861327660708199</v>
      </c>
    </row>
    <row r="481" spans="1:70">
      <c r="A481" s="283" t="s">
        <v>651</v>
      </c>
      <c r="B481" s="283"/>
      <c r="C481" s="283"/>
      <c r="D481" s="283"/>
      <c r="E481" s="283"/>
      <c r="F481" s="283"/>
      <c r="G481" s="283"/>
      <c r="H481" s="283"/>
      <c r="I481" s="283"/>
      <c r="J481" s="283"/>
      <c r="K481" s="283"/>
      <c r="L481" s="283"/>
      <c r="M481" s="283"/>
      <c r="N481" s="283"/>
      <c r="O481" s="283"/>
      <c r="P481" s="283"/>
      <c r="Q481" s="283"/>
      <c r="R481" s="283"/>
      <c r="S481" s="283"/>
      <c r="T481" s="283"/>
      <c r="U481" s="283"/>
      <c r="V481" s="283"/>
      <c r="W481" s="283"/>
      <c r="X481" s="283"/>
      <c r="Y481" s="283"/>
      <c r="Z481" s="283"/>
    </row>
    <row r="482" spans="1:70" ht="14" thickBot="1">
      <c r="A482" s="283" t="s">
        <v>652</v>
      </c>
      <c r="B482" s="283"/>
      <c r="C482" s="283"/>
      <c r="D482" s="283"/>
      <c r="E482" s="283"/>
      <c r="F482" s="283"/>
      <c r="G482" s="283"/>
      <c r="H482" s="283"/>
      <c r="I482" s="283"/>
      <c r="J482" s="283"/>
      <c r="K482" s="283"/>
      <c r="L482" s="283"/>
      <c r="M482" s="283"/>
      <c r="N482" s="283"/>
      <c r="O482" s="283"/>
      <c r="P482" s="283"/>
      <c r="Q482" s="283"/>
      <c r="R482" s="283"/>
      <c r="S482" s="283"/>
      <c r="T482" s="283"/>
      <c r="U482" s="283"/>
      <c r="V482" s="283"/>
      <c r="W482" s="283"/>
      <c r="X482" s="283"/>
      <c r="Y482" s="283"/>
      <c r="Z482" s="283"/>
    </row>
    <row r="483" spans="1:70" ht="14" thickBot="1">
      <c r="A483" s="283" t="s">
        <v>543</v>
      </c>
      <c r="B483" s="283"/>
      <c r="C483" s="283"/>
      <c r="D483" s="283"/>
      <c r="E483" s="283"/>
      <c r="F483" s="283"/>
      <c r="G483" s="283"/>
      <c r="H483" s="283"/>
      <c r="I483" s="283"/>
      <c r="J483" s="283"/>
      <c r="K483" s="283"/>
      <c r="L483" s="283"/>
      <c r="M483" s="283"/>
      <c r="N483" s="283"/>
      <c r="O483" s="283"/>
      <c r="P483" s="283"/>
      <c r="Q483" s="283"/>
      <c r="R483" s="283"/>
      <c r="S483" s="283"/>
      <c r="T483" s="283"/>
      <c r="U483" s="283"/>
      <c r="V483" s="283"/>
      <c r="W483" s="283"/>
      <c r="X483" s="283"/>
      <c r="Y483" s="283"/>
      <c r="Z483" s="283"/>
      <c r="AA483" s="263">
        <f>Z653+($AI$483-$Y$653)/10</f>
        <v>15.747041087587585</v>
      </c>
      <c r="AB483" s="263">
        <f t="shared" ref="AB483:AH483" si="57">AA483+($AI$483-$Y$653)/10</f>
        <v>15.673905881106727</v>
      </c>
      <c r="AC483" s="263">
        <f t="shared" si="57"/>
        <v>15.600770674625869</v>
      </c>
      <c r="AD483" s="263">
        <f t="shared" si="57"/>
        <v>15.527635468145011</v>
      </c>
      <c r="AE483" s="263">
        <f t="shared" si="57"/>
        <v>15.454500261664153</v>
      </c>
      <c r="AF483" s="263">
        <f t="shared" si="57"/>
        <v>15.381365055183295</v>
      </c>
      <c r="AG483" s="263">
        <f t="shared" si="57"/>
        <v>15.308229848702437</v>
      </c>
      <c r="AH483" s="263">
        <f t="shared" si="57"/>
        <v>15.235094642221579</v>
      </c>
      <c r="AI483" s="264">
        <f>T653*$E$745</f>
        <v>15.161959435740725</v>
      </c>
      <c r="AJ483" s="263">
        <f>AI483+($AX$483-$AI$483)/15</f>
        <v>15.155998955184113</v>
      </c>
      <c r="AK483" s="263">
        <f t="shared" ref="AK483:AW483" si="58">AJ483+($AX$483-$AI$483)/15</f>
        <v>15.150038474627502</v>
      </c>
      <c r="AL483" s="263">
        <f t="shared" si="58"/>
        <v>15.144077994070891</v>
      </c>
      <c r="AM483" s="263">
        <f t="shared" si="58"/>
        <v>15.138117513514279</v>
      </c>
      <c r="AN483" s="263">
        <f t="shared" si="58"/>
        <v>15.132157032957668</v>
      </c>
      <c r="AO483" s="263">
        <f t="shared" si="58"/>
        <v>15.126196552401057</v>
      </c>
      <c r="AP483" s="263">
        <f t="shared" si="58"/>
        <v>15.120236071844445</v>
      </c>
      <c r="AQ483" s="263">
        <f t="shared" si="58"/>
        <v>15.114275591287834</v>
      </c>
      <c r="AR483" s="263">
        <f t="shared" si="58"/>
        <v>15.108315110731223</v>
      </c>
      <c r="AS483" s="263">
        <f t="shared" si="58"/>
        <v>15.102354630174611</v>
      </c>
      <c r="AT483" s="263">
        <f t="shared" si="58"/>
        <v>15.096394149618</v>
      </c>
      <c r="AU483" s="263">
        <f t="shared" si="58"/>
        <v>15.090433669061388</v>
      </c>
      <c r="AV483" s="263">
        <f t="shared" si="58"/>
        <v>15.084473188504777</v>
      </c>
      <c r="AW483" s="263">
        <f t="shared" si="58"/>
        <v>15.078512707948166</v>
      </c>
      <c r="AX483" s="264">
        <f>AI483*$B$745</f>
        <v>15.072552227391549</v>
      </c>
      <c r="AY483" s="263">
        <f>AX483+($BM$483-$AX$483)/15</f>
        <v>15.082127028094042</v>
      </c>
      <c r="AZ483" s="263">
        <f t="shared" ref="AZ483:BL483" si="59">AY483+($BM$483-$AX$483)/15</f>
        <v>15.091701828796536</v>
      </c>
      <c r="BA483" s="263">
        <f t="shared" si="59"/>
        <v>15.101276629499029</v>
      </c>
      <c r="BB483" s="263">
        <f t="shared" si="59"/>
        <v>15.110851430201523</v>
      </c>
      <c r="BC483" s="263">
        <f t="shared" si="59"/>
        <v>15.120426230904016</v>
      </c>
      <c r="BD483" s="263">
        <f t="shared" si="59"/>
        <v>15.130001031606509</v>
      </c>
      <c r="BE483" s="263">
        <f t="shared" si="59"/>
        <v>15.139575832309003</v>
      </c>
      <c r="BF483" s="263">
        <f t="shared" si="59"/>
        <v>15.149150633011496</v>
      </c>
      <c r="BG483" s="263">
        <f t="shared" si="59"/>
        <v>15.15872543371399</v>
      </c>
      <c r="BH483" s="263">
        <f t="shared" si="59"/>
        <v>15.168300234416483</v>
      </c>
      <c r="BI483" s="263">
        <f t="shared" si="59"/>
        <v>15.177875035118976</v>
      </c>
      <c r="BJ483" s="263">
        <f t="shared" si="59"/>
        <v>15.18744983582147</v>
      </c>
      <c r="BK483" s="263">
        <f t="shared" si="59"/>
        <v>15.197024636523963</v>
      </c>
      <c r="BL483" s="263">
        <f t="shared" si="59"/>
        <v>15.206599437226457</v>
      </c>
      <c r="BM483" s="264">
        <f>AX483*$C$745</f>
        <v>15.216174237928941</v>
      </c>
      <c r="BN483" s="263">
        <f>BM483+($BR$483-$BM$483)/5</f>
        <v>15.225840274150585</v>
      </c>
      <c r="BO483" s="263">
        <f>BN483+($BR$483-$BM$483)/5</f>
        <v>15.235506310372228</v>
      </c>
      <c r="BP483" s="263">
        <f>BO483+($BR$483-$BM$483)/5</f>
        <v>15.245172346593872</v>
      </c>
      <c r="BQ483" s="263">
        <f>BP483+($BR$483-$BM$483)/5</f>
        <v>15.254838382815516</v>
      </c>
      <c r="BR483" s="264">
        <f>BM483*$D$745</f>
        <v>15.264504419037157</v>
      </c>
    </row>
    <row r="484" spans="1:70">
      <c r="A484" s="283" t="s">
        <v>653</v>
      </c>
      <c r="B484" s="283"/>
      <c r="C484" s="283"/>
      <c r="D484" s="283"/>
      <c r="E484" s="283"/>
      <c r="F484" s="283"/>
      <c r="G484" s="283"/>
      <c r="H484" s="283"/>
      <c r="I484" s="283"/>
      <c r="J484" s="283"/>
      <c r="K484" s="283"/>
      <c r="L484" s="283"/>
      <c r="M484" s="283"/>
      <c r="N484" s="283"/>
      <c r="O484" s="283"/>
      <c r="P484" s="283"/>
      <c r="Q484" s="283"/>
      <c r="R484" s="283"/>
      <c r="S484" s="283"/>
      <c r="T484" s="283"/>
      <c r="U484" s="283"/>
      <c r="V484" s="283"/>
      <c r="W484" s="283"/>
      <c r="X484" s="283"/>
      <c r="Y484" s="283"/>
      <c r="Z484" s="283"/>
    </row>
    <row r="485" spans="1:70">
      <c r="A485" s="283" t="s">
        <v>654</v>
      </c>
      <c r="B485" s="283"/>
      <c r="C485" s="283"/>
      <c r="D485" s="283"/>
      <c r="E485" s="283"/>
      <c r="F485" s="283"/>
      <c r="G485" s="283"/>
      <c r="H485" s="283"/>
      <c r="I485" s="283"/>
      <c r="J485" s="283"/>
      <c r="K485" s="283"/>
      <c r="L485" s="283"/>
      <c r="M485" s="283"/>
      <c r="N485" s="283"/>
      <c r="O485" s="283"/>
      <c r="P485" s="283"/>
      <c r="Q485" s="283"/>
      <c r="R485" s="283"/>
      <c r="S485" s="283"/>
      <c r="T485" s="283"/>
      <c r="U485" s="283"/>
      <c r="V485" s="283"/>
      <c r="W485" s="283"/>
      <c r="X485" s="283"/>
      <c r="Y485" s="283"/>
      <c r="Z485" s="283"/>
    </row>
    <row r="486" spans="1:70">
      <c r="A486" s="283" t="s">
        <v>655</v>
      </c>
      <c r="B486" s="283"/>
      <c r="C486" s="283"/>
      <c r="D486" s="283"/>
      <c r="E486" s="283"/>
      <c r="F486" s="283"/>
      <c r="G486" s="283"/>
      <c r="H486" s="283"/>
      <c r="I486" s="283"/>
      <c r="J486" s="283"/>
      <c r="K486" s="283"/>
      <c r="L486" s="283"/>
      <c r="M486" s="283"/>
      <c r="N486" s="283"/>
      <c r="O486" s="283"/>
      <c r="P486" s="283"/>
      <c r="Q486" s="283"/>
      <c r="R486" s="283"/>
      <c r="S486" s="283"/>
      <c r="T486" s="283"/>
      <c r="U486" s="283"/>
      <c r="V486" s="283"/>
      <c r="W486" s="283"/>
      <c r="X486" s="283"/>
      <c r="Y486" s="283"/>
      <c r="Z486" s="283"/>
    </row>
    <row r="487" spans="1:70" ht="14" thickBot="1">
      <c r="A487" s="283" t="s">
        <v>656</v>
      </c>
      <c r="B487" s="283"/>
      <c r="C487" s="283"/>
      <c r="D487" s="283"/>
      <c r="E487" s="283"/>
      <c r="F487" s="283"/>
      <c r="G487" s="283"/>
      <c r="H487" s="283"/>
      <c r="I487" s="283"/>
      <c r="J487" s="283"/>
      <c r="K487" s="283"/>
      <c r="L487" s="283"/>
      <c r="M487" s="283"/>
      <c r="N487" s="283"/>
      <c r="O487" s="283"/>
      <c r="P487" s="283"/>
      <c r="Q487" s="283"/>
      <c r="R487" s="283"/>
      <c r="S487" s="283"/>
      <c r="T487" s="283"/>
      <c r="U487" s="283"/>
      <c r="V487" s="283"/>
      <c r="W487" s="283"/>
      <c r="X487" s="283"/>
      <c r="Y487" s="283"/>
      <c r="Z487" s="283"/>
    </row>
    <row r="488" spans="1:70" ht="14" thickBot="1">
      <c r="A488" s="283" t="s">
        <v>657</v>
      </c>
      <c r="B488" s="283"/>
      <c r="C488" s="283"/>
      <c r="D488" s="283"/>
      <c r="E488" s="283"/>
      <c r="F488" s="283"/>
      <c r="G488" s="283"/>
      <c r="H488" s="283"/>
      <c r="I488" s="283"/>
      <c r="J488" s="283"/>
      <c r="K488" s="283"/>
      <c r="L488" s="283"/>
      <c r="M488" s="283"/>
      <c r="N488" s="283"/>
      <c r="O488" s="283"/>
      <c r="P488" s="283"/>
      <c r="Q488" s="283"/>
      <c r="R488" s="283"/>
      <c r="S488" s="283"/>
      <c r="T488" s="283"/>
      <c r="U488" s="283"/>
      <c r="V488" s="283"/>
      <c r="W488" s="283"/>
      <c r="X488" s="283"/>
      <c r="Y488" s="283"/>
      <c r="Z488" s="283"/>
      <c r="AA488" s="265">
        <f>Z658+($AI$488-$Y$658)/10</f>
        <v>13.224797394153365</v>
      </c>
      <c r="AB488" s="265">
        <f t="shared" ref="AB488:AH488" si="60">AA488+($AI$488-$Y$658)/10</f>
        <v>13.589441040570847</v>
      </c>
      <c r="AC488" s="265">
        <f t="shared" si="60"/>
        <v>13.954084686988329</v>
      </c>
      <c r="AD488" s="265">
        <f t="shared" si="60"/>
        <v>14.318728333405812</v>
      </c>
      <c r="AE488" s="265">
        <f t="shared" si="60"/>
        <v>14.683371979823294</v>
      </c>
      <c r="AF488" s="265">
        <f t="shared" si="60"/>
        <v>15.048015626240776</v>
      </c>
      <c r="AG488" s="265">
        <f t="shared" si="60"/>
        <v>15.412659272658258</v>
      </c>
      <c r="AH488" s="265">
        <f t="shared" si="60"/>
        <v>15.777302919075741</v>
      </c>
      <c r="AI488" s="266">
        <f>T658*$E$744</f>
        <v>16.141946565493228</v>
      </c>
      <c r="AJ488" s="265">
        <f>AI488+($AX$488-$AI$488)/15</f>
        <v>16.312798018423909</v>
      </c>
      <c r="AK488" s="265">
        <f t="shared" ref="AK488:AW488" si="61">AJ488+($AX$488-$AI$488)/15</f>
        <v>16.483649471354589</v>
      </c>
      <c r="AL488" s="265">
        <f t="shared" si="61"/>
        <v>16.654500924285269</v>
      </c>
      <c r="AM488" s="265">
        <f t="shared" si="61"/>
        <v>16.82535237721595</v>
      </c>
      <c r="AN488" s="265">
        <f t="shared" si="61"/>
        <v>16.99620383014663</v>
      </c>
      <c r="AO488" s="265">
        <f t="shared" si="61"/>
        <v>17.16705528307731</v>
      </c>
      <c r="AP488" s="265">
        <f t="shared" si="61"/>
        <v>17.337906736007991</v>
      </c>
      <c r="AQ488" s="265">
        <f t="shared" si="61"/>
        <v>17.508758188938671</v>
      </c>
      <c r="AR488" s="265">
        <f t="shared" si="61"/>
        <v>17.679609641869352</v>
      </c>
      <c r="AS488" s="265">
        <f t="shared" si="61"/>
        <v>17.850461094800032</v>
      </c>
      <c r="AT488" s="265">
        <f t="shared" si="61"/>
        <v>18.021312547730712</v>
      </c>
      <c r="AU488" s="265">
        <f t="shared" si="61"/>
        <v>18.192164000661393</v>
      </c>
      <c r="AV488" s="265">
        <f t="shared" si="61"/>
        <v>18.363015453592073</v>
      </c>
      <c r="AW488" s="265">
        <f t="shared" si="61"/>
        <v>18.533866906522753</v>
      </c>
      <c r="AX488" s="266">
        <f>AI488*$B$744</f>
        <v>18.704718359453445</v>
      </c>
      <c r="AY488" s="265">
        <f>AX488+($BM$488-$AX$488)/15</f>
        <v>18.811222625087144</v>
      </c>
      <c r="AZ488" s="265">
        <f t="shared" ref="AZ488:BL488" si="62">AY488+($BM$488-$AX$488)/15</f>
        <v>18.917726890720843</v>
      </c>
      <c r="BA488" s="265">
        <f t="shared" si="62"/>
        <v>19.024231156354542</v>
      </c>
      <c r="BB488" s="265">
        <f t="shared" si="62"/>
        <v>19.130735421988241</v>
      </c>
      <c r="BC488" s="265">
        <f t="shared" si="62"/>
        <v>19.23723968762194</v>
      </c>
      <c r="BD488" s="265">
        <f t="shared" si="62"/>
        <v>19.34374395325564</v>
      </c>
      <c r="BE488" s="265">
        <f t="shared" si="62"/>
        <v>19.450248218889339</v>
      </c>
      <c r="BF488" s="265">
        <f t="shared" si="62"/>
        <v>19.556752484523038</v>
      </c>
      <c r="BG488" s="265">
        <f t="shared" si="62"/>
        <v>19.663256750156737</v>
      </c>
      <c r="BH488" s="265">
        <f t="shared" si="62"/>
        <v>19.769761015790436</v>
      </c>
      <c r="BI488" s="265">
        <f t="shared" si="62"/>
        <v>19.876265281424136</v>
      </c>
      <c r="BJ488" s="265">
        <f t="shared" si="62"/>
        <v>19.982769547057835</v>
      </c>
      <c r="BK488" s="265">
        <f t="shared" si="62"/>
        <v>20.089273812691534</v>
      </c>
      <c r="BL488" s="265">
        <f t="shared" si="62"/>
        <v>20.195778078325233</v>
      </c>
      <c r="BM488" s="266">
        <f>AX488*$C$744</f>
        <v>20.302282343958908</v>
      </c>
      <c r="BN488" s="265">
        <f>BM488+($BR$488-$BM$488)/5</f>
        <v>20.417883104696291</v>
      </c>
      <c r="BO488" s="265">
        <f>BN488+($BR$488-$BM$488)/5</f>
        <v>20.533483865433674</v>
      </c>
      <c r="BP488" s="265">
        <f>BO488+($BR$488-$BM$488)/5</f>
        <v>20.649084626171057</v>
      </c>
      <c r="BQ488" s="265">
        <f>BP488+($BR$488-$BM$488)/5</f>
        <v>20.76468538690844</v>
      </c>
      <c r="BR488" s="266">
        <f>BM488*$D$744</f>
        <v>20.880286147645826</v>
      </c>
    </row>
    <row r="489" spans="1:70" ht="14" thickBot="1">
      <c r="A489" s="283" t="s">
        <v>658</v>
      </c>
      <c r="B489" s="283"/>
      <c r="C489" s="283"/>
      <c r="D489" s="283"/>
      <c r="E489" s="283"/>
      <c r="F489" s="283"/>
      <c r="G489" s="283"/>
      <c r="H489" s="283"/>
      <c r="I489" s="283"/>
      <c r="J489" s="283"/>
      <c r="K489" s="283"/>
      <c r="L489" s="283"/>
      <c r="M489" s="283"/>
      <c r="N489" s="283"/>
      <c r="O489" s="283"/>
      <c r="P489" s="283"/>
      <c r="Q489" s="283"/>
      <c r="R489" s="283"/>
      <c r="S489" s="283"/>
      <c r="T489" s="283"/>
      <c r="U489" s="283"/>
      <c r="V489" s="283"/>
      <c r="W489" s="283"/>
      <c r="X489" s="283"/>
      <c r="Y489" s="283"/>
      <c r="Z489" s="283"/>
    </row>
    <row r="490" spans="1:70" ht="14" thickBot="1">
      <c r="A490" s="283" t="s">
        <v>659</v>
      </c>
      <c r="B490" s="283"/>
      <c r="C490" s="283"/>
      <c r="D490" s="283"/>
      <c r="E490" s="283"/>
      <c r="F490" s="283"/>
      <c r="G490" s="283"/>
      <c r="H490" s="283"/>
      <c r="I490" s="283"/>
      <c r="J490" s="283"/>
      <c r="K490" s="283"/>
      <c r="L490" s="283"/>
      <c r="M490" s="283"/>
      <c r="N490" s="283"/>
      <c r="O490" s="283"/>
      <c r="P490" s="283"/>
      <c r="Q490" s="283"/>
      <c r="R490" s="283"/>
      <c r="S490" s="283"/>
      <c r="T490" s="283"/>
      <c r="U490" s="283"/>
      <c r="V490" s="283"/>
      <c r="W490" s="283"/>
      <c r="X490" s="283"/>
      <c r="Y490" s="283"/>
      <c r="Z490" s="283"/>
      <c r="AA490" s="265">
        <f>Z660+($AI$490-$Y$660)/10</f>
        <v>15.4577980437679</v>
      </c>
      <c r="AB490" s="265">
        <f t="shared" ref="AB490:AH490" si="63">AA490+($AI$490-$Y$660)/10</f>
        <v>15.88385635596555</v>
      </c>
      <c r="AC490" s="265">
        <f t="shared" si="63"/>
        <v>16.309914668163202</v>
      </c>
      <c r="AD490" s="265">
        <f t="shared" si="63"/>
        <v>16.735972980360852</v>
      </c>
      <c r="AE490" s="265">
        <f t="shared" si="63"/>
        <v>17.162031292558503</v>
      </c>
      <c r="AF490" s="265">
        <f t="shared" si="63"/>
        <v>17.588089604756153</v>
      </c>
      <c r="AG490" s="265">
        <f t="shared" si="63"/>
        <v>18.014147916953803</v>
      </c>
      <c r="AH490" s="265">
        <f t="shared" si="63"/>
        <v>18.440206229151453</v>
      </c>
      <c r="AI490" s="266">
        <f>T660*$E$744</f>
        <v>18.866264541349103</v>
      </c>
      <c r="AJ490" s="265">
        <f>AI490+($AX$490-$AI$490)/15</f>
        <v>19.065951034869943</v>
      </c>
      <c r="AK490" s="265">
        <f t="shared" ref="AK490:AW490" si="64">AJ490+($AX$490-$AI$490)/15</f>
        <v>19.265637528390783</v>
      </c>
      <c r="AL490" s="265">
        <f t="shared" si="64"/>
        <v>19.465324021911623</v>
      </c>
      <c r="AM490" s="265">
        <f t="shared" si="64"/>
        <v>19.665010515432463</v>
      </c>
      <c r="AN490" s="265">
        <f t="shared" si="64"/>
        <v>19.864697008953303</v>
      </c>
      <c r="AO490" s="265">
        <f t="shared" si="64"/>
        <v>20.064383502474143</v>
      </c>
      <c r="AP490" s="265">
        <f t="shared" si="64"/>
        <v>20.264069995994983</v>
      </c>
      <c r="AQ490" s="265">
        <f t="shared" si="64"/>
        <v>20.463756489515823</v>
      </c>
      <c r="AR490" s="265">
        <f t="shared" si="64"/>
        <v>20.663442983036663</v>
      </c>
      <c r="AS490" s="265">
        <f t="shared" si="64"/>
        <v>20.863129476557503</v>
      </c>
      <c r="AT490" s="265">
        <f t="shared" si="64"/>
        <v>21.062815970078343</v>
      </c>
      <c r="AU490" s="265">
        <f t="shared" si="64"/>
        <v>21.262502463599183</v>
      </c>
      <c r="AV490" s="265">
        <f t="shared" si="64"/>
        <v>21.462188957120024</v>
      </c>
      <c r="AW490" s="265">
        <f t="shared" si="64"/>
        <v>21.661875450640864</v>
      </c>
      <c r="AX490" s="266">
        <f>AI490*$B$744</f>
        <v>21.861561944161682</v>
      </c>
      <c r="AY490" s="265">
        <f>AX490+($BM$490-$AX$490)/15</f>
        <v>21.986041209538687</v>
      </c>
      <c r="AZ490" s="265">
        <f t="shared" ref="AZ490:BL490" si="65">AY490+($BM$490-$AX$490)/15</f>
        <v>22.110520474915692</v>
      </c>
      <c r="BA490" s="265">
        <f t="shared" si="65"/>
        <v>22.234999740292697</v>
      </c>
      <c r="BB490" s="265">
        <f t="shared" si="65"/>
        <v>22.359479005669701</v>
      </c>
      <c r="BC490" s="265">
        <f t="shared" si="65"/>
        <v>22.483958271046706</v>
      </c>
      <c r="BD490" s="265">
        <f t="shared" si="65"/>
        <v>22.608437536423711</v>
      </c>
      <c r="BE490" s="265">
        <f t="shared" si="65"/>
        <v>22.732916801800716</v>
      </c>
      <c r="BF490" s="265">
        <f t="shared" si="65"/>
        <v>22.857396067177721</v>
      </c>
      <c r="BG490" s="265">
        <f t="shared" si="65"/>
        <v>22.981875332554726</v>
      </c>
      <c r="BH490" s="265">
        <f t="shared" si="65"/>
        <v>23.10635459793173</v>
      </c>
      <c r="BI490" s="265">
        <f t="shared" si="65"/>
        <v>23.230833863308735</v>
      </c>
      <c r="BJ490" s="265">
        <f t="shared" si="65"/>
        <v>23.35531312868574</v>
      </c>
      <c r="BK490" s="265">
        <f t="shared" si="65"/>
        <v>23.479792394062745</v>
      </c>
      <c r="BL490" s="265">
        <f t="shared" si="65"/>
        <v>23.60427165943975</v>
      </c>
      <c r="BM490" s="266">
        <f>AX490*$C$744</f>
        <v>23.728750924816747</v>
      </c>
      <c r="BN490" s="265">
        <f>BM490+($BR$490-$BM$490)/5</f>
        <v>23.863861924249427</v>
      </c>
      <c r="BO490" s="265">
        <f>BN490+($BR$490-$BM$490)/5</f>
        <v>23.998972923682107</v>
      </c>
      <c r="BP490" s="265">
        <f>BO490+($BR$490-$BM$490)/5</f>
        <v>24.134083923114787</v>
      </c>
      <c r="BQ490" s="265">
        <f>BP490+($BR$490-$BM$490)/5</f>
        <v>24.269194922547467</v>
      </c>
      <c r="BR490" s="266">
        <f>BM490*$D$744</f>
        <v>24.404305921980139</v>
      </c>
    </row>
    <row r="491" spans="1:70">
      <c r="A491" s="283" t="s">
        <v>661</v>
      </c>
      <c r="B491" s="283"/>
      <c r="C491" s="283"/>
      <c r="D491" s="283"/>
      <c r="E491" s="283"/>
      <c r="F491" s="283"/>
      <c r="G491" s="283"/>
      <c r="H491" s="283"/>
      <c r="I491" s="283"/>
      <c r="J491" s="283"/>
      <c r="K491" s="283"/>
      <c r="L491" s="283"/>
      <c r="M491" s="283"/>
      <c r="N491" s="283"/>
      <c r="O491" s="283"/>
      <c r="P491" s="283"/>
      <c r="Q491" s="283"/>
      <c r="R491" s="283"/>
      <c r="S491" s="283"/>
      <c r="T491" s="283"/>
      <c r="U491" s="283"/>
      <c r="V491" s="283"/>
      <c r="W491" s="283"/>
      <c r="X491" s="283"/>
      <c r="Y491" s="283"/>
      <c r="Z491" s="283"/>
    </row>
    <row r="492" spans="1:70">
      <c r="A492" s="283" t="s">
        <v>923</v>
      </c>
      <c r="B492" s="283"/>
      <c r="C492" s="283"/>
      <c r="D492" s="283"/>
      <c r="E492" s="283"/>
      <c r="F492" s="283"/>
      <c r="G492" s="283"/>
      <c r="H492" s="283"/>
      <c r="I492" s="283"/>
      <c r="J492" s="283"/>
      <c r="K492" s="283"/>
      <c r="L492" s="283"/>
      <c r="M492" s="283"/>
      <c r="N492" s="283"/>
      <c r="O492" s="283"/>
      <c r="P492" s="283"/>
      <c r="Q492" s="283"/>
      <c r="R492" s="283"/>
      <c r="S492" s="283"/>
      <c r="T492" s="283"/>
      <c r="U492" s="283"/>
      <c r="V492" s="283"/>
      <c r="W492" s="283"/>
      <c r="X492" s="283"/>
      <c r="Y492" s="283"/>
      <c r="Z492" s="283"/>
    </row>
    <row r="493" spans="1:70" ht="14" thickBot="1">
      <c r="A493" s="283" t="s">
        <v>924</v>
      </c>
      <c r="B493" s="283"/>
      <c r="C493" s="283"/>
      <c r="D493" s="283"/>
      <c r="E493" s="283"/>
      <c r="F493" s="283"/>
      <c r="G493" s="283"/>
      <c r="H493" s="283"/>
      <c r="I493" s="283"/>
      <c r="J493" s="283"/>
      <c r="K493" s="283"/>
      <c r="L493" s="283"/>
      <c r="M493" s="283"/>
      <c r="N493" s="283"/>
      <c r="O493" s="283"/>
      <c r="P493" s="283"/>
      <c r="Q493" s="283"/>
      <c r="R493" s="283"/>
      <c r="S493" s="283"/>
      <c r="T493" s="283"/>
      <c r="U493" s="283"/>
      <c r="V493" s="283"/>
      <c r="W493" s="283"/>
      <c r="X493" s="283"/>
      <c r="Y493" s="283"/>
      <c r="Z493" s="283"/>
    </row>
    <row r="494" spans="1:70" ht="14" thickBot="1">
      <c r="A494" s="283" t="s">
        <v>946</v>
      </c>
      <c r="B494" s="283"/>
      <c r="C494" s="283"/>
      <c r="D494" s="283"/>
      <c r="E494" s="283"/>
      <c r="F494" s="283"/>
      <c r="G494" s="283"/>
      <c r="H494" s="283"/>
      <c r="I494" s="283"/>
      <c r="J494" s="283"/>
      <c r="K494" s="283"/>
      <c r="L494" s="283"/>
      <c r="M494" s="283"/>
      <c r="N494" s="283"/>
      <c r="O494" s="283"/>
      <c r="P494" s="283"/>
      <c r="Q494" s="283"/>
      <c r="R494" s="283"/>
      <c r="S494" s="283"/>
      <c r="T494" s="283"/>
      <c r="U494" s="283"/>
      <c r="V494" s="283"/>
      <c r="W494" s="283"/>
      <c r="X494" s="283"/>
      <c r="Y494" s="283"/>
      <c r="Z494" s="283"/>
      <c r="AA494" s="267">
        <f>Z664+($AI$494-$Y$664)/10</f>
        <v>19.493346965415647</v>
      </c>
      <c r="AB494" s="267">
        <f t="shared" ref="AB494:AH494" si="66">AA494+($AI$494-$Y$664)/10</f>
        <v>19.39274662152437</v>
      </c>
      <c r="AC494" s="267">
        <f t="shared" si="66"/>
        <v>19.292146277633094</v>
      </c>
      <c r="AD494" s="267">
        <f t="shared" si="66"/>
        <v>19.191545933741818</v>
      </c>
      <c r="AE494" s="267">
        <f t="shared" si="66"/>
        <v>19.090945589850541</v>
      </c>
      <c r="AF494" s="267">
        <f t="shared" si="66"/>
        <v>18.990345245959265</v>
      </c>
      <c r="AG494" s="267">
        <f t="shared" si="66"/>
        <v>18.889744902067989</v>
      </c>
      <c r="AH494" s="267">
        <f t="shared" si="66"/>
        <v>18.789144558176712</v>
      </c>
      <c r="AI494" s="268">
        <f>T664*$E$747</f>
        <v>18.68854421428545</v>
      </c>
      <c r="AJ494" s="267">
        <f>AI494+($AX$494-$AI$494)/15</f>
        <v>18.700972398006513</v>
      </c>
      <c r="AK494" s="267">
        <f t="shared" ref="AK494:AW494" si="67">AJ494+($AX$494-$AI$494)/15</f>
        <v>18.713400581727576</v>
      </c>
      <c r="AL494" s="267">
        <f t="shared" si="67"/>
        <v>18.72582876544864</v>
      </c>
      <c r="AM494" s="267">
        <f t="shared" si="67"/>
        <v>18.738256949169703</v>
      </c>
      <c r="AN494" s="267">
        <f t="shared" si="67"/>
        <v>18.750685132890766</v>
      </c>
      <c r="AO494" s="267">
        <f t="shared" si="67"/>
        <v>18.763113316611829</v>
      </c>
      <c r="AP494" s="267">
        <f t="shared" si="67"/>
        <v>18.775541500332892</v>
      </c>
      <c r="AQ494" s="267">
        <f t="shared" si="67"/>
        <v>18.787969684053955</v>
      </c>
      <c r="AR494" s="267">
        <f t="shared" si="67"/>
        <v>18.800397867775018</v>
      </c>
      <c r="AS494" s="267">
        <f t="shared" si="67"/>
        <v>18.812826051496081</v>
      </c>
      <c r="AT494" s="267">
        <f t="shared" si="67"/>
        <v>18.825254235217145</v>
      </c>
      <c r="AU494" s="267">
        <f t="shared" si="67"/>
        <v>18.837682418938208</v>
      </c>
      <c r="AV494" s="267">
        <f t="shared" si="67"/>
        <v>18.850110602659271</v>
      </c>
      <c r="AW494" s="267">
        <f t="shared" si="67"/>
        <v>18.862538786380334</v>
      </c>
      <c r="AX494" s="268">
        <f>AI494*$B$747</f>
        <v>18.874966970101411</v>
      </c>
      <c r="AY494" s="267">
        <f>AX494+($BM$494-$AX$494)/15</f>
        <v>18.881381252955478</v>
      </c>
      <c r="AZ494" s="267">
        <f t="shared" ref="AZ494:BL494" si="68">AY494+($BM$494-$AX$494)/15</f>
        <v>18.887795535809545</v>
      </c>
      <c r="BA494" s="267">
        <f t="shared" si="68"/>
        <v>18.894209818663612</v>
      </c>
      <c r="BB494" s="267">
        <f t="shared" si="68"/>
        <v>18.900624101517678</v>
      </c>
      <c r="BC494" s="267">
        <f t="shared" si="68"/>
        <v>18.907038384371745</v>
      </c>
      <c r="BD494" s="267">
        <f t="shared" si="68"/>
        <v>18.913452667225812</v>
      </c>
      <c r="BE494" s="267">
        <f t="shared" si="68"/>
        <v>18.919866950079879</v>
      </c>
      <c r="BF494" s="267">
        <f t="shared" si="68"/>
        <v>18.926281232933945</v>
      </c>
      <c r="BG494" s="267">
        <f t="shared" si="68"/>
        <v>18.932695515788012</v>
      </c>
      <c r="BH494" s="267">
        <f t="shared" si="68"/>
        <v>18.939109798642079</v>
      </c>
      <c r="BI494" s="267">
        <f t="shared" si="68"/>
        <v>18.945524081496146</v>
      </c>
      <c r="BJ494" s="267">
        <f t="shared" si="68"/>
        <v>18.951938364350212</v>
      </c>
      <c r="BK494" s="267">
        <f t="shared" si="68"/>
        <v>18.958352647204279</v>
      </c>
      <c r="BL494" s="267">
        <f t="shared" si="68"/>
        <v>18.964766930058346</v>
      </c>
      <c r="BM494" s="268">
        <f>AX494*$C$747</f>
        <v>18.971181212912409</v>
      </c>
      <c r="BN494" s="267">
        <f>BM494+($BR$494-$BM$494)/5</f>
        <v>18.97762819226703</v>
      </c>
      <c r="BO494" s="267">
        <f>BN494+($BR$494-$BM$494)/5</f>
        <v>18.984075171621651</v>
      </c>
      <c r="BP494" s="267">
        <f>BO494+($BR$494-$BM$494)/5</f>
        <v>18.990522150976272</v>
      </c>
      <c r="BQ494" s="267">
        <f>BP494+($BR$494-$BM$494)/5</f>
        <v>18.996969130330893</v>
      </c>
      <c r="BR494" s="268">
        <f>BM494*$D$747</f>
        <v>19.003416109685507</v>
      </c>
    </row>
    <row r="495" spans="1:70">
      <c r="A495" s="283" t="s">
        <v>947</v>
      </c>
      <c r="B495" s="283"/>
      <c r="C495" s="283"/>
      <c r="D495" s="283"/>
      <c r="E495" s="283"/>
      <c r="F495" s="283"/>
      <c r="G495" s="283"/>
      <c r="H495" s="283"/>
      <c r="I495" s="283"/>
      <c r="J495" s="283"/>
      <c r="K495" s="283"/>
      <c r="L495" s="283"/>
      <c r="M495" s="283"/>
      <c r="N495" s="283"/>
      <c r="O495" s="283"/>
      <c r="P495" s="283"/>
      <c r="Q495" s="283"/>
      <c r="R495" s="283"/>
      <c r="S495" s="283"/>
      <c r="T495" s="283"/>
      <c r="U495" s="283"/>
      <c r="V495" s="283"/>
      <c r="W495" s="283"/>
      <c r="X495" s="283"/>
      <c r="Y495" s="283"/>
      <c r="Z495" s="283"/>
    </row>
    <row r="496" spans="1:70">
      <c r="A496" s="283" t="s">
        <v>972</v>
      </c>
      <c r="B496" s="283"/>
      <c r="C496" s="283"/>
      <c r="D496" s="283"/>
      <c r="E496" s="283"/>
      <c r="F496" s="283"/>
      <c r="G496" s="283"/>
      <c r="H496" s="283"/>
      <c r="I496" s="283"/>
      <c r="J496" s="283"/>
      <c r="K496" s="283"/>
      <c r="L496" s="283"/>
      <c r="M496" s="283"/>
      <c r="N496" s="283"/>
      <c r="O496" s="283"/>
      <c r="P496" s="283"/>
      <c r="Q496" s="283"/>
      <c r="R496" s="283"/>
      <c r="S496" s="283"/>
      <c r="T496" s="283"/>
      <c r="U496" s="283"/>
      <c r="V496" s="283"/>
      <c r="W496" s="283"/>
      <c r="X496" s="283"/>
      <c r="Y496" s="283"/>
      <c r="Z496" s="283"/>
    </row>
    <row r="499" spans="1:70" ht="14" thickBot="1"/>
    <row r="500" spans="1:70">
      <c r="A500" s="228" t="s">
        <v>440</v>
      </c>
      <c r="B500" s="229"/>
      <c r="C500" s="229"/>
      <c r="D500" s="230"/>
      <c r="E500" s="229"/>
      <c r="F500" s="229"/>
      <c r="G500" s="229"/>
      <c r="H500" s="229"/>
      <c r="I500" s="229"/>
      <c r="J500" s="229"/>
      <c r="K500" s="229"/>
      <c r="L500" s="229"/>
      <c r="M500" s="229"/>
      <c r="N500" s="229"/>
      <c r="O500" s="229"/>
      <c r="P500" s="229"/>
      <c r="Q500" s="229"/>
      <c r="R500" s="229"/>
      <c r="S500" s="229"/>
      <c r="T500" s="229"/>
      <c r="U500" s="229"/>
      <c r="V500" s="229"/>
      <c r="W500" s="229"/>
      <c r="X500" s="229"/>
      <c r="Y500" s="229"/>
    </row>
    <row r="501" spans="1:70">
      <c r="A501" s="231" t="s">
        <v>441</v>
      </c>
      <c r="B501" s="232"/>
      <c r="C501" s="232"/>
      <c r="D501" s="232"/>
      <c r="E501" s="232"/>
      <c r="F501" s="232"/>
      <c r="G501" s="232"/>
      <c r="H501" s="232"/>
      <c r="I501" s="232"/>
      <c r="J501" s="232"/>
      <c r="K501" s="232"/>
      <c r="L501" s="232"/>
      <c r="M501" s="232"/>
      <c r="N501" s="232"/>
      <c r="O501" s="232"/>
      <c r="P501" s="232"/>
      <c r="Q501" s="232"/>
      <c r="R501" s="232"/>
      <c r="S501" s="232"/>
      <c r="T501" s="232"/>
      <c r="U501" s="232"/>
      <c r="V501" s="232"/>
      <c r="W501" s="232"/>
      <c r="X501" s="232"/>
      <c r="Y501" s="232"/>
    </row>
    <row r="502" spans="1:70">
      <c r="A502" s="231" t="s">
        <v>856</v>
      </c>
      <c r="B502" s="232"/>
      <c r="C502" s="232"/>
      <c r="D502" s="232"/>
      <c r="E502" s="232"/>
      <c r="F502" s="232"/>
      <c r="G502" s="232"/>
      <c r="H502" s="232"/>
      <c r="I502" s="232"/>
      <c r="J502" s="232"/>
      <c r="K502" s="232"/>
      <c r="L502" s="232"/>
      <c r="M502" s="232"/>
      <c r="N502" s="232"/>
      <c r="O502" s="232"/>
      <c r="P502" s="232"/>
      <c r="Q502" s="232"/>
      <c r="R502" s="232"/>
      <c r="S502" s="232"/>
      <c r="T502" s="232"/>
      <c r="U502" s="232"/>
      <c r="V502" s="232"/>
      <c r="W502" s="232"/>
      <c r="X502" s="232"/>
      <c r="Y502" s="232"/>
    </row>
    <row r="503" spans="1:70">
      <c r="A503" s="231" t="s">
        <v>857</v>
      </c>
      <c r="B503" s="232"/>
      <c r="C503" s="232"/>
      <c r="D503" s="232"/>
      <c r="E503" s="232"/>
      <c r="F503" s="232"/>
      <c r="G503" s="232"/>
      <c r="H503" s="232"/>
      <c r="I503" s="232"/>
      <c r="J503" s="232"/>
      <c r="K503" s="232"/>
      <c r="L503" s="232"/>
      <c r="M503" s="232"/>
      <c r="N503" s="232"/>
      <c r="O503" s="232"/>
      <c r="P503" s="232"/>
      <c r="Q503" s="232"/>
      <c r="R503" s="232"/>
      <c r="S503" s="232"/>
      <c r="T503" s="232"/>
      <c r="U503" s="232"/>
      <c r="V503" s="232"/>
      <c r="W503" s="232"/>
      <c r="X503" s="232"/>
      <c r="Y503" s="232"/>
    </row>
    <row r="504" spans="1:70">
      <c r="A504" s="231" t="s">
        <v>442</v>
      </c>
      <c r="B504" s="232"/>
      <c r="C504" s="232"/>
      <c r="D504" s="232"/>
      <c r="E504" s="232"/>
      <c r="F504" s="232"/>
      <c r="G504" s="232"/>
      <c r="H504" s="232"/>
      <c r="I504" s="232"/>
      <c r="J504" s="232"/>
      <c r="K504" s="232"/>
      <c r="L504" s="232"/>
      <c r="M504" s="232"/>
      <c r="N504" s="232"/>
      <c r="O504" s="232"/>
      <c r="P504" s="232"/>
      <c r="Q504" s="232"/>
      <c r="R504" s="232"/>
      <c r="S504" s="232"/>
      <c r="T504" s="232"/>
      <c r="U504" s="232"/>
      <c r="V504" s="232"/>
      <c r="W504" s="232"/>
      <c r="X504" s="232"/>
      <c r="Y504" s="232"/>
    </row>
    <row r="505" spans="1:70" ht="14" thickBot="1">
      <c r="A505" s="231" t="s">
        <v>443</v>
      </c>
      <c r="B505" s="232"/>
      <c r="C505" s="232"/>
      <c r="D505" s="232"/>
      <c r="E505" s="232"/>
      <c r="F505" s="232"/>
      <c r="G505" s="232"/>
      <c r="H505" s="232"/>
      <c r="I505" s="232"/>
      <c r="J505" s="232"/>
      <c r="K505" s="232"/>
      <c r="L505" s="232"/>
      <c r="M505" s="232"/>
      <c r="N505" s="232"/>
      <c r="O505" s="232"/>
      <c r="P505" s="232"/>
      <c r="Q505" s="232"/>
      <c r="R505" s="232"/>
      <c r="S505" s="232"/>
      <c r="T505" s="232"/>
      <c r="U505" s="232"/>
      <c r="V505" s="232"/>
      <c r="W505" s="232"/>
      <c r="X505" s="232"/>
      <c r="Y505" s="232"/>
    </row>
    <row r="506" spans="1:70" ht="14" thickBot="1">
      <c r="A506" s="233" t="s">
        <v>444</v>
      </c>
      <c r="B506" s="232"/>
      <c r="C506" s="232"/>
      <c r="D506" s="232"/>
      <c r="E506" s="232"/>
      <c r="F506" s="232"/>
      <c r="G506" s="232"/>
      <c r="H506" s="232"/>
      <c r="I506" s="232"/>
      <c r="J506" s="232"/>
      <c r="K506" s="232"/>
      <c r="L506" s="232"/>
      <c r="M506" s="232"/>
      <c r="N506" s="232"/>
      <c r="O506" s="232"/>
      <c r="P506" s="232"/>
      <c r="Q506" s="232"/>
      <c r="R506" s="232"/>
      <c r="S506" s="232"/>
      <c r="T506" s="232"/>
      <c r="U506" s="232"/>
      <c r="V506" s="232"/>
      <c r="W506" s="232"/>
      <c r="X506" s="232"/>
      <c r="Y506" s="232"/>
      <c r="AA506" s="261">
        <f>Z676+($AI$506-$Y$676)/10</f>
        <v>5.5529965108452508</v>
      </c>
      <c r="AB506" s="261">
        <f t="shared" ref="AB506:AH506" si="69">AA506+($AI$506-$Y$676)/10</f>
        <v>5.5809474506703411</v>
      </c>
      <c r="AC506" s="261">
        <f t="shared" si="69"/>
        <v>5.6088983904954315</v>
      </c>
      <c r="AD506" s="261">
        <f t="shared" si="69"/>
        <v>5.6368493303205218</v>
      </c>
      <c r="AE506" s="261">
        <f t="shared" si="69"/>
        <v>5.6648002701456122</v>
      </c>
      <c r="AF506" s="261">
        <f t="shared" si="69"/>
        <v>5.6927512099707025</v>
      </c>
      <c r="AG506" s="261">
        <f t="shared" si="69"/>
        <v>5.7207021497957928</v>
      </c>
      <c r="AH506" s="261">
        <f t="shared" si="69"/>
        <v>5.7486530896208832</v>
      </c>
      <c r="AI506" s="262">
        <f>T676*$E$742</f>
        <v>5.77660402944597</v>
      </c>
      <c r="AJ506" s="261">
        <f>AI506+($AX$506-$AI$506)/15</f>
        <v>5.8419909425225587</v>
      </c>
      <c r="AK506" s="261">
        <f t="shared" ref="AK506:AW506" si="70">AJ506+($AX$506-$AI$506)/15</f>
        <v>5.9073778555991474</v>
      </c>
      <c r="AL506" s="261">
        <f t="shared" si="70"/>
        <v>5.9727647686757361</v>
      </c>
      <c r="AM506" s="261">
        <f t="shared" si="70"/>
        <v>6.0381516817523249</v>
      </c>
      <c r="AN506" s="261">
        <f t="shared" si="70"/>
        <v>6.1035385948289136</v>
      </c>
      <c r="AO506" s="261">
        <f t="shared" si="70"/>
        <v>6.1689255079055023</v>
      </c>
      <c r="AP506" s="261">
        <f t="shared" si="70"/>
        <v>6.234312420982091</v>
      </c>
      <c r="AQ506" s="261">
        <f t="shared" si="70"/>
        <v>6.2996993340586798</v>
      </c>
      <c r="AR506" s="261">
        <f t="shared" si="70"/>
        <v>6.3650862471352685</v>
      </c>
      <c r="AS506" s="261">
        <f t="shared" si="70"/>
        <v>6.4304731602118572</v>
      </c>
      <c r="AT506" s="261">
        <f t="shared" si="70"/>
        <v>6.4958600732884459</v>
      </c>
      <c r="AU506" s="261">
        <f t="shared" si="70"/>
        <v>6.5612469863650347</v>
      </c>
      <c r="AV506" s="261">
        <f t="shared" si="70"/>
        <v>6.6266338994416234</v>
      </c>
      <c r="AW506" s="261">
        <f t="shared" si="70"/>
        <v>6.6920208125182121</v>
      </c>
      <c r="AX506" s="262">
        <f>AI506*$B$742</f>
        <v>6.7574077255948062</v>
      </c>
      <c r="AY506" s="261">
        <f>AX506+($BM$506-$AX$506)/15</f>
        <v>6.8243179096825601</v>
      </c>
      <c r="AZ506" s="261">
        <f t="shared" ref="AZ506:BL506" si="71">AY506+($BM$506-$AX$506)/15</f>
        <v>6.8912280937703141</v>
      </c>
      <c r="BA506" s="261">
        <f t="shared" si="71"/>
        <v>6.958138277858068</v>
      </c>
      <c r="BB506" s="261">
        <f t="shared" si="71"/>
        <v>7.025048461945822</v>
      </c>
      <c r="BC506" s="261">
        <f t="shared" si="71"/>
        <v>7.091958646033576</v>
      </c>
      <c r="BD506" s="261">
        <f t="shared" si="71"/>
        <v>7.1588688301213299</v>
      </c>
      <c r="BE506" s="261">
        <f t="shared" si="71"/>
        <v>7.2257790142090839</v>
      </c>
      <c r="BF506" s="261">
        <f t="shared" si="71"/>
        <v>7.2926891982968378</v>
      </c>
      <c r="BG506" s="261">
        <f t="shared" si="71"/>
        <v>7.3595993823845918</v>
      </c>
      <c r="BH506" s="261">
        <f t="shared" si="71"/>
        <v>7.4265095664723457</v>
      </c>
      <c r="BI506" s="261">
        <f t="shared" si="71"/>
        <v>7.4934197505600997</v>
      </c>
      <c r="BJ506" s="261">
        <f t="shared" si="71"/>
        <v>7.5603299346478536</v>
      </c>
      <c r="BK506" s="261">
        <f t="shared" si="71"/>
        <v>7.6272401187356076</v>
      </c>
      <c r="BL506" s="261">
        <f t="shared" si="71"/>
        <v>7.6941503028233615</v>
      </c>
      <c r="BM506" s="262">
        <f>AX506*$C$742</f>
        <v>7.7610604869111093</v>
      </c>
      <c r="BN506" s="261">
        <f>BM506+($BR$506-$BM$506)/5</f>
        <v>7.8379085930167243</v>
      </c>
      <c r="BO506" s="261">
        <f>BN506+($BR$506-$BM$506)/5</f>
        <v>7.9147566991223393</v>
      </c>
      <c r="BP506" s="261">
        <f>BO506+($BR$506-$BM$506)/5</f>
        <v>7.9916048052279542</v>
      </c>
      <c r="BQ506" s="261">
        <f>BP506+($BR$506-$BM$506)/5</f>
        <v>8.0684529113335692</v>
      </c>
      <c r="BR506" s="262">
        <f>BM506*$D$742</f>
        <v>8.1453010174391842</v>
      </c>
    </row>
    <row r="507" spans="1:70" ht="14" thickBot="1">
      <c r="A507" s="231"/>
      <c r="B507" s="232"/>
      <c r="C507" s="232"/>
      <c r="D507" s="232"/>
      <c r="E507" s="232"/>
      <c r="F507" s="232"/>
      <c r="G507" s="232"/>
      <c r="H507" s="232"/>
      <c r="I507" s="232"/>
      <c r="J507" s="232"/>
      <c r="K507" s="232"/>
      <c r="L507" s="232"/>
      <c r="M507" s="232"/>
      <c r="N507" s="232"/>
      <c r="O507" s="232"/>
      <c r="P507" s="232"/>
      <c r="Q507" s="232"/>
      <c r="R507" s="232"/>
      <c r="S507" s="232"/>
      <c r="T507" s="232"/>
      <c r="U507" s="232"/>
      <c r="V507" s="232"/>
      <c r="W507" s="232"/>
      <c r="X507" s="232"/>
      <c r="Y507" s="232"/>
      <c r="AA507" s="269">
        <f>Z677+($AI$507-$Y$677)/10</f>
        <v>1.3364941226202385</v>
      </c>
      <c r="AB507" s="269">
        <f t="shared" ref="AB507:AH507" si="72">AA507+($AI$507-$Y$677)/10</f>
        <v>1.3402060190972878</v>
      </c>
      <c r="AC507" s="269">
        <f t="shared" si="72"/>
        <v>1.343917915574337</v>
      </c>
      <c r="AD507" s="269">
        <f t="shared" si="72"/>
        <v>1.3476298120513863</v>
      </c>
      <c r="AE507" s="269">
        <f t="shared" si="72"/>
        <v>1.3513417085284356</v>
      </c>
      <c r="AF507" s="269">
        <f t="shared" si="72"/>
        <v>1.3550536050054849</v>
      </c>
      <c r="AG507" s="269">
        <f t="shared" si="72"/>
        <v>1.3587655014825342</v>
      </c>
      <c r="AH507" s="269">
        <f t="shared" si="72"/>
        <v>1.3624773979595834</v>
      </c>
      <c r="AI507" s="270">
        <f>T677*$E$740</f>
        <v>1.3661892944366323</v>
      </c>
      <c r="AJ507" s="269">
        <f>AI507+($AX$507-$AI$507)/15</f>
        <v>1.3701947313799723</v>
      </c>
      <c r="AK507" s="269">
        <f t="shared" ref="AK507:AW507" si="73">AJ507+($AX$507-$AI$507)/15</f>
        <v>1.3742001683233123</v>
      </c>
      <c r="AL507" s="269">
        <f t="shared" si="73"/>
        <v>1.3782056052666523</v>
      </c>
      <c r="AM507" s="269">
        <f t="shared" si="73"/>
        <v>1.3822110422099922</v>
      </c>
      <c r="AN507" s="269">
        <f t="shared" si="73"/>
        <v>1.3862164791533322</v>
      </c>
      <c r="AO507" s="269">
        <f t="shared" si="73"/>
        <v>1.3902219160966722</v>
      </c>
      <c r="AP507" s="269">
        <f t="shared" si="73"/>
        <v>1.3942273530400122</v>
      </c>
      <c r="AQ507" s="269">
        <f t="shared" si="73"/>
        <v>1.3982327899833522</v>
      </c>
      <c r="AR507" s="269">
        <f t="shared" si="73"/>
        <v>1.4022382269266922</v>
      </c>
      <c r="AS507" s="269">
        <f t="shared" si="73"/>
        <v>1.4062436638700322</v>
      </c>
      <c r="AT507" s="269">
        <f t="shared" si="73"/>
        <v>1.4102491008133722</v>
      </c>
      <c r="AU507" s="269">
        <f t="shared" si="73"/>
        <v>1.4142545377567122</v>
      </c>
      <c r="AV507" s="269">
        <f t="shared" si="73"/>
        <v>1.4182599747000522</v>
      </c>
      <c r="AW507" s="269">
        <f t="shared" si="73"/>
        <v>1.4222654116433922</v>
      </c>
      <c r="AX507" s="270">
        <f>AI507*$B$740</f>
        <v>1.4262708485867317</v>
      </c>
      <c r="AY507" s="269">
        <f>AX507+($BM$507-$AX$507)/15</f>
        <v>1.428975877834666</v>
      </c>
      <c r="AZ507" s="269">
        <f t="shared" ref="AZ507:BL507" si="74">AY507+($BM$507-$AX$507)/15</f>
        <v>1.4316809070826002</v>
      </c>
      <c r="BA507" s="269">
        <f t="shared" si="74"/>
        <v>1.4343859363305345</v>
      </c>
      <c r="BB507" s="269">
        <f t="shared" si="74"/>
        <v>1.4370909655784687</v>
      </c>
      <c r="BC507" s="269">
        <f t="shared" si="74"/>
        <v>1.439795994826403</v>
      </c>
      <c r="BD507" s="269">
        <f t="shared" si="74"/>
        <v>1.4425010240743372</v>
      </c>
      <c r="BE507" s="269">
        <f t="shared" si="74"/>
        <v>1.4452060533222715</v>
      </c>
      <c r="BF507" s="269">
        <f t="shared" si="74"/>
        <v>1.4479110825702057</v>
      </c>
      <c r="BG507" s="269">
        <f t="shared" si="74"/>
        <v>1.45061611181814</v>
      </c>
      <c r="BH507" s="269">
        <f t="shared" si="74"/>
        <v>1.4533211410660742</v>
      </c>
      <c r="BI507" s="269">
        <f t="shared" si="74"/>
        <v>1.4560261703140085</v>
      </c>
      <c r="BJ507" s="269">
        <f t="shared" si="74"/>
        <v>1.4587311995619427</v>
      </c>
      <c r="BK507" s="269">
        <f t="shared" si="74"/>
        <v>1.461436228809877</v>
      </c>
      <c r="BL507" s="269">
        <f t="shared" si="74"/>
        <v>1.4641412580578113</v>
      </c>
      <c r="BM507" s="270">
        <f>AX507*$C$740</f>
        <v>1.4668462873057471</v>
      </c>
      <c r="BN507" s="269">
        <f>BM507+($BR$507-$BM$507)/5</f>
        <v>1.4696282709053681</v>
      </c>
      <c r="BO507" s="269">
        <f>BN507+($BR$507-$BM$507)/5</f>
        <v>1.4724102545049891</v>
      </c>
      <c r="BP507" s="269">
        <f>BO507+($BR$507-$BM$507)/5</f>
        <v>1.4751922381046101</v>
      </c>
      <c r="BQ507" s="269">
        <f>BP507+($BR$507-$BM$507)/5</f>
        <v>1.4779742217042311</v>
      </c>
      <c r="BR507" s="270">
        <f>BM507*$D$740</f>
        <v>1.4807562053038525</v>
      </c>
    </row>
    <row r="508" spans="1:70">
      <c r="A508" s="234" t="s">
        <v>445</v>
      </c>
      <c r="B508" s="232"/>
      <c r="C508" s="232"/>
      <c r="D508" s="232"/>
      <c r="E508" s="232"/>
      <c r="F508" s="232"/>
      <c r="G508" s="232"/>
      <c r="H508" s="232"/>
      <c r="I508" s="232"/>
      <c r="J508" s="232"/>
      <c r="K508" s="232"/>
      <c r="L508" s="232"/>
      <c r="M508" s="232"/>
      <c r="N508" s="232"/>
      <c r="O508" s="232"/>
      <c r="P508" s="232"/>
      <c r="Q508" s="232"/>
      <c r="R508" s="232"/>
      <c r="S508" s="232"/>
      <c r="T508" s="232"/>
      <c r="U508" s="232"/>
      <c r="V508" s="232"/>
      <c r="W508" s="232"/>
      <c r="X508" s="232"/>
      <c r="Y508" s="232"/>
    </row>
    <row r="509" spans="1:70">
      <c r="A509" s="234" t="s">
        <v>446</v>
      </c>
      <c r="B509" s="232"/>
      <c r="C509" s="232"/>
      <c r="D509" s="232"/>
      <c r="E509" s="232"/>
      <c r="F509" s="232"/>
      <c r="G509" s="232"/>
      <c r="H509" s="232"/>
      <c r="I509" s="232"/>
      <c r="J509" s="232"/>
      <c r="K509" s="232"/>
      <c r="L509" s="232"/>
      <c r="M509" s="232"/>
      <c r="N509" s="232"/>
      <c r="O509" s="232"/>
      <c r="P509" s="232"/>
      <c r="Q509" s="232"/>
      <c r="R509" s="232"/>
      <c r="S509" s="232"/>
      <c r="T509" s="232"/>
      <c r="U509" s="232"/>
      <c r="V509" s="232"/>
      <c r="W509" s="232"/>
      <c r="X509" s="232"/>
      <c r="Y509" s="232"/>
    </row>
    <row r="510" spans="1:70">
      <c r="A510" s="234"/>
      <c r="B510" s="232"/>
      <c r="C510" s="232"/>
      <c r="D510" s="232"/>
      <c r="E510" s="232"/>
      <c r="F510" s="232"/>
      <c r="G510" s="232"/>
      <c r="H510" s="232"/>
      <c r="I510" s="232"/>
      <c r="J510" s="232"/>
      <c r="K510" s="232"/>
      <c r="L510" s="232"/>
      <c r="M510" s="232"/>
      <c r="N510" s="232"/>
      <c r="O510" s="232"/>
      <c r="P510" s="232"/>
      <c r="Q510" s="232"/>
      <c r="R510" s="232"/>
      <c r="S510" s="232"/>
      <c r="T510" s="232"/>
      <c r="U510" s="232"/>
      <c r="V510" s="232"/>
      <c r="W510" s="232"/>
      <c r="X510" s="232"/>
      <c r="Y510" s="232"/>
    </row>
    <row r="511" spans="1:70">
      <c r="A511" s="231" t="s">
        <v>438</v>
      </c>
      <c r="B511" s="232" t="s">
        <v>447</v>
      </c>
      <c r="C511" s="232" t="s">
        <v>448</v>
      </c>
      <c r="D511" s="232" t="s">
        <v>449</v>
      </c>
      <c r="E511" s="232" t="s">
        <v>450</v>
      </c>
      <c r="F511" s="232" t="s">
        <v>451</v>
      </c>
      <c r="G511" s="232" t="s">
        <v>452</v>
      </c>
      <c r="H511" s="232" t="s">
        <v>453</v>
      </c>
      <c r="I511" s="232" t="s">
        <v>454</v>
      </c>
      <c r="J511" s="232" t="s">
        <v>455</v>
      </c>
      <c r="K511" s="232" t="s">
        <v>456</v>
      </c>
      <c r="L511" s="232" t="s">
        <v>457</v>
      </c>
      <c r="M511" s="232" t="s">
        <v>458</v>
      </c>
      <c r="N511" s="232" t="s">
        <v>459</v>
      </c>
      <c r="O511" s="232" t="s">
        <v>460</v>
      </c>
      <c r="P511" s="232" t="s">
        <v>461</v>
      </c>
      <c r="Q511" s="232" t="s">
        <v>462</v>
      </c>
      <c r="R511" s="232" t="s">
        <v>463</v>
      </c>
      <c r="S511" s="232" t="s">
        <v>464</v>
      </c>
      <c r="T511" s="232" t="s">
        <v>465</v>
      </c>
      <c r="U511" s="232" t="s">
        <v>466</v>
      </c>
      <c r="V511" s="232" t="s">
        <v>467</v>
      </c>
      <c r="W511" s="232" t="s">
        <v>468</v>
      </c>
      <c r="X511" s="232" t="s">
        <v>469</v>
      </c>
      <c r="Y511" s="232" t="s">
        <v>470</v>
      </c>
      <c r="Z511">
        <v>2026</v>
      </c>
    </row>
    <row r="512" spans="1:70">
      <c r="A512" s="231" t="s">
        <v>438</v>
      </c>
      <c r="B512" s="232" t="s">
        <v>438</v>
      </c>
      <c r="C512" s="232" t="s">
        <v>438</v>
      </c>
      <c r="D512" s="232" t="s">
        <v>438</v>
      </c>
      <c r="E512" s="232" t="s">
        <v>438</v>
      </c>
      <c r="F512" s="232" t="s">
        <v>438</v>
      </c>
      <c r="G512" s="232" t="s">
        <v>438</v>
      </c>
      <c r="H512" s="232" t="s">
        <v>438</v>
      </c>
      <c r="I512" s="232" t="s">
        <v>438</v>
      </c>
      <c r="J512" s="232" t="s">
        <v>438</v>
      </c>
      <c r="K512" s="232" t="s">
        <v>438</v>
      </c>
      <c r="L512" s="232" t="s">
        <v>438</v>
      </c>
      <c r="M512" s="232" t="s">
        <v>438</v>
      </c>
      <c r="N512" s="232" t="s">
        <v>438</v>
      </c>
      <c r="O512" s="232" t="s">
        <v>438</v>
      </c>
      <c r="P512" s="232" t="s">
        <v>438</v>
      </c>
      <c r="Q512" s="232" t="s">
        <v>438</v>
      </c>
      <c r="R512" s="232" t="s">
        <v>438</v>
      </c>
      <c r="S512" s="232" t="s">
        <v>438</v>
      </c>
      <c r="T512" s="232" t="s">
        <v>438</v>
      </c>
      <c r="U512" s="232" t="s">
        <v>438</v>
      </c>
      <c r="V512" s="232" t="s">
        <v>438</v>
      </c>
      <c r="W512" s="232" t="s">
        <v>438</v>
      </c>
      <c r="X512" s="232" t="s">
        <v>438</v>
      </c>
      <c r="Y512" s="232" t="s">
        <v>438</v>
      </c>
    </row>
    <row r="513" spans="1:26">
      <c r="A513" s="231" t="s">
        <v>438</v>
      </c>
      <c r="B513" s="232" t="s">
        <v>438</v>
      </c>
      <c r="C513" s="232" t="s">
        <v>438</v>
      </c>
      <c r="D513" s="232" t="s">
        <v>438</v>
      </c>
      <c r="E513" s="232" t="s">
        <v>438</v>
      </c>
      <c r="F513" s="232" t="s">
        <v>438</v>
      </c>
      <c r="G513" s="232" t="s">
        <v>438</v>
      </c>
      <c r="H513" s="232" t="s">
        <v>438</v>
      </c>
      <c r="I513" s="232" t="s">
        <v>438</v>
      </c>
      <c r="J513" s="232" t="s">
        <v>438</v>
      </c>
      <c r="K513" s="232" t="s">
        <v>438</v>
      </c>
      <c r="L513" s="232" t="s">
        <v>438</v>
      </c>
      <c r="M513" s="232" t="s">
        <v>438</v>
      </c>
      <c r="N513" s="232" t="s">
        <v>438</v>
      </c>
      <c r="O513" s="232" t="s">
        <v>438</v>
      </c>
      <c r="P513" s="232" t="s">
        <v>438</v>
      </c>
      <c r="Q513" s="232" t="s">
        <v>438</v>
      </c>
      <c r="R513" s="232" t="s">
        <v>438</v>
      </c>
      <c r="S513" s="232" t="s">
        <v>438</v>
      </c>
      <c r="T513" s="232" t="s">
        <v>438</v>
      </c>
      <c r="U513" s="232" t="s">
        <v>438</v>
      </c>
      <c r="V513" s="232" t="s">
        <v>438</v>
      </c>
      <c r="W513" s="232" t="s">
        <v>438</v>
      </c>
      <c r="X513" s="232" t="s">
        <v>438</v>
      </c>
      <c r="Y513" s="232" t="s">
        <v>438</v>
      </c>
    </row>
    <row r="514" spans="1:26">
      <c r="A514" s="231" t="s">
        <v>471</v>
      </c>
      <c r="B514" s="235">
        <v>15.0220499038696</v>
      </c>
      <c r="C514" s="235">
        <v>15.811363220214799</v>
      </c>
      <c r="D514" s="235">
        <v>16.4251308441162</v>
      </c>
      <c r="E514" s="235">
        <v>16.464759826660199</v>
      </c>
      <c r="F514" s="235">
        <v>15.680528640747101</v>
      </c>
      <c r="G514" s="235">
        <v>15.0112085342407</v>
      </c>
      <c r="H514" s="235">
        <v>14.5817928314209</v>
      </c>
      <c r="I514" s="235">
        <v>14.458288192749</v>
      </c>
      <c r="J514" s="235">
        <v>14.326377868652299</v>
      </c>
      <c r="K514" s="235">
        <v>14.293612480163601</v>
      </c>
      <c r="L514" s="235">
        <v>14.4205980300903</v>
      </c>
      <c r="M514" s="235">
        <v>14.6031141281128</v>
      </c>
      <c r="N514" s="235">
        <v>14.8352861404419</v>
      </c>
      <c r="O514" s="235">
        <v>14.979790687561</v>
      </c>
      <c r="P514" s="235">
        <v>15.0010738372803</v>
      </c>
      <c r="Q514" s="235">
        <v>15.073490142822299</v>
      </c>
      <c r="R514" s="235">
        <v>15.2468109130859</v>
      </c>
      <c r="S514" s="235">
        <v>15.482013702392599</v>
      </c>
      <c r="T514" s="235">
        <v>15.6422672271729</v>
      </c>
      <c r="U514" s="235">
        <v>15.809124946594199</v>
      </c>
      <c r="V514" s="235">
        <v>15.869408607482899</v>
      </c>
      <c r="W514" s="235">
        <v>15.910493850708001</v>
      </c>
      <c r="X514" s="235">
        <v>16.000511169433601</v>
      </c>
      <c r="Y514" s="235">
        <v>16.127393722534201</v>
      </c>
    </row>
    <row r="515" spans="1:26">
      <c r="A515" s="231" t="s">
        <v>472</v>
      </c>
      <c r="B515" s="235">
        <v>8.3285751342773402</v>
      </c>
      <c r="C515" s="235">
        <v>9.67810153961182</v>
      </c>
      <c r="D515" s="235">
        <v>10.6516561508179</v>
      </c>
      <c r="E515" s="235">
        <v>10.5737972259521</v>
      </c>
      <c r="F515" s="235">
        <v>9.7301187515258807</v>
      </c>
      <c r="G515" s="235">
        <v>9.2126417160034197</v>
      </c>
      <c r="H515" s="235">
        <v>8.7946681976318395</v>
      </c>
      <c r="I515" s="235">
        <v>8.5506849288940394</v>
      </c>
      <c r="J515" s="235">
        <v>8.3542766571044904</v>
      </c>
      <c r="K515" s="235">
        <v>8.2684001922607404</v>
      </c>
      <c r="L515" s="235">
        <v>8.3419942855834996</v>
      </c>
      <c r="M515" s="235">
        <v>8.4596767425537092</v>
      </c>
      <c r="N515" s="235">
        <v>8.6078786849975604</v>
      </c>
      <c r="O515" s="235">
        <v>8.7398357391357404</v>
      </c>
      <c r="P515" s="235">
        <v>8.7483062744140607</v>
      </c>
      <c r="Q515" s="235">
        <v>8.7686567306518608</v>
      </c>
      <c r="R515" s="235">
        <v>8.8867673873901403</v>
      </c>
      <c r="S515" s="235">
        <v>9.0631914138793892</v>
      </c>
      <c r="T515" s="235">
        <v>9.2055320739746094</v>
      </c>
      <c r="U515" s="235">
        <v>9.3421277999877894</v>
      </c>
      <c r="V515" s="235">
        <v>9.4150266647338903</v>
      </c>
      <c r="W515" s="235">
        <v>9.4582109451293892</v>
      </c>
      <c r="X515" s="235">
        <v>9.5390539169311506</v>
      </c>
      <c r="Y515" s="235">
        <v>9.6245632171630895</v>
      </c>
    </row>
    <row r="516" spans="1:26">
      <c r="A516" s="231" t="s">
        <v>473</v>
      </c>
      <c r="B516" s="235">
        <v>10.0436496734619</v>
      </c>
      <c r="C516" s="235">
        <v>11.266843795776399</v>
      </c>
      <c r="D516" s="235">
        <v>13.0600261688232</v>
      </c>
      <c r="E516" s="235">
        <v>12.5262813568115</v>
      </c>
      <c r="F516" s="235">
        <v>11.260459899902299</v>
      </c>
      <c r="G516" s="235">
        <v>10.814398765564</v>
      </c>
      <c r="H516" s="235">
        <v>10.6458578109741</v>
      </c>
      <c r="I516" s="235">
        <v>10.453662872314499</v>
      </c>
      <c r="J516" s="235">
        <v>10.443992614746101</v>
      </c>
      <c r="K516" s="235">
        <v>10.420529365539601</v>
      </c>
      <c r="L516" s="235">
        <v>10.4911556243896</v>
      </c>
      <c r="M516" s="235">
        <v>10.5971431732178</v>
      </c>
      <c r="N516" s="235">
        <v>10.650529861450201</v>
      </c>
      <c r="O516" s="235">
        <v>10.7566242218018</v>
      </c>
      <c r="P516" s="235">
        <v>10.8697347640991</v>
      </c>
      <c r="Q516" s="235">
        <v>10.955939292907701</v>
      </c>
      <c r="R516" s="235">
        <v>11.0780487060547</v>
      </c>
      <c r="S516" s="235">
        <v>11.222780227661101</v>
      </c>
      <c r="T516" s="235">
        <v>11.364427566528301</v>
      </c>
      <c r="U516" s="235">
        <v>11.5109758377075</v>
      </c>
      <c r="V516" s="235">
        <v>11.6184797286987</v>
      </c>
      <c r="W516" s="235">
        <v>11.7467203140259</v>
      </c>
      <c r="X516" s="235">
        <v>11.8437652587891</v>
      </c>
      <c r="Y516" s="235">
        <v>11.9311771392822</v>
      </c>
    </row>
    <row r="517" spans="1:26">
      <c r="A517" s="231" t="s">
        <v>474</v>
      </c>
      <c r="B517" s="235">
        <v>8.3698368072509801</v>
      </c>
      <c r="C517" s="235">
        <v>9.5702075958252006</v>
      </c>
      <c r="D517" s="235">
        <v>10.537187576293899</v>
      </c>
      <c r="E517" s="235">
        <v>10.120927810668899</v>
      </c>
      <c r="F517" s="235">
        <v>9.0704116821289098</v>
      </c>
      <c r="G517" s="235">
        <v>8.6811342239379901</v>
      </c>
      <c r="H517" s="235">
        <v>8.4951152801513707</v>
      </c>
      <c r="I517" s="235">
        <v>8.3145399093627894</v>
      </c>
      <c r="J517" s="235">
        <v>8.2864685058593803</v>
      </c>
      <c r="K517" s="235">
        <v>8.2537784576415998</v>
      </c>
      <c r="L517" s="235">
        <v>8.2966070175170898</v>
      </c>
      <c r="M517" s="235">
        <v>8.3739995956420898</v>
      </c>
      <c r="N517" s="235">
        <v>8.4385089874267596</v>
      </c>
      <c r="O517" s="235">
        <v>8.4884243011474592</v>
      </c>
      <c r="P517" s="235">
        <v>8.5346355438232404</v>
      </c>
      <c r="Q517" s="235">
        <v>8.5863618850708008</v>
      </c>
      <c r="R517" s="235">
        <v>8.7058753967285192</v>
      </c>
      <c r="S517" s="235">
        <v>8.7835302352905291</v>
      </c>
      <c r="T517" s="235">
        <v>8.8462095260620099</v>
      </c>
      <c r="U517" s="235">
        <v>8.9105930328369105</v>
      </c>
      <c r="V517" s="235">
        <v>8.9716310501098597</v>
      </c>
      <c r="W517" s="235">
        <v>9.0270709991455096</v>
      </c>
      <c r="X517" s="235">
        <v>9.0740833282470703</v>
      </c>
      <c r="Y517" s="235">
        <v>9.1169166564941406</v>
      </c>
    </row>
    <row r="518" spans="1:26">
      <c r="A518" s="231" t="s">
        <v>475</v>
      </c>
      <c r="B518" s="235">
        <v>12.976583480835</v>
      </c>
      <c r="C518" s="235">
        <v>14.582922935485801</v>
      </c>
      <c r="D518" s="235">
        <v>17.5701904296875</v>
      </c>
      <c r="E518" s="235">
        <v>17.073207855224599</v>
      </c>
      <c r="F518" s="235">
        <v>15.3619232177734</v>
      </c>
      <c r="G518" s="235">
        <v>14.740796089172401</v>
      </c>
      <c r="H518" s="235">
        <v>14.555371284484901</v>
      </c>
      <c r="I518" s="235">
        <v>14.281338691711399</v>
      </c>
      <c r="J518" s="235">
        <v>14.253823280334499</v>
      </c>
      <c r="K518" s="235">
        <v>14.190848350524901</v>
      </c>
      <c r="L518" s="235">
        <v>14.252662658691399</v>
      </c>
      <c r="M518" s="235">
        <v>14.348473548889199</v>
      </c>
      <c r="N518" s="235">
        <v>14.316626548767101</v>
      </c>
      <c r="O518" s="235">
        <v>14.447472572326699</v>
      </c>
      <c r="P518" s="235">
        <v>14.6025552749634</v>
      </c>
      <c r="Q518" s="235">
        <v>14.6705665588379</v>
      </c>
      <c r="R518" s="235">
        <v>14.712552070617701</v>
      </c>
      <c r="S518" s="235">
        <v>14.8757133483887</v>
      </c>
      <c r="T518" s="235">
        <v>15.056845664978001</v>
      </c>
      <c r="U518" s="235">
        <v>15.2477731704712</v>
      </c>
      <c r="V518" s="235">
        <v>15.3445425033569</v>
      </c>
      <c r="W518" s="235">
        <v>15.4947566986084</v>
      </c>
      <c r="X518" s="235">
        <v>15.580441474914601</v>
      </c>
      <c r="Y518" s="235">
        <v>15.645468711853001</v>
      </c>
    </row>
    <row r="519" spans="1:26">
      <c r="A519" s="231" t="s">
        <v>476</v>
      </c>
      <c r="B519" s="235">
        <v>7.8179483413696298</v>
      </c>
      <c r="C519" s="235">
        <v>9.2187824249267596</v>
      </c>
      <c r="D519" s="235">
        <v>9.9373922348022496</v>
      </c>
      <c r="E519" s="235">
        <v>10.0359506607056</v>
      </c>
      <c r="F519" s="235">
        <v>9.3121318817138707</v>
      </c>
      <c r="G519" s="235">
        <v>8.7750911712646502</v>
      </c>
      <c r="H519" s="235">
        <v>8.2899227142334002</v>
      </c>
      <c r="I519" s="235">
        <v>8.0357856750488299</v>
      </c>
      <c r="J519" s="235">
        <v>7.7935147285461399</v>
      </c>
      <c r="K519" s="235">
        <v>7.6957306861877397</v>
      </c>
      <c r="L519" s="235">
        <v>7.7737927436828604</v>
      </c>
      <c r="M519" s="235">
        <v>7.89709520339966</v>
      </c>
      <c r="N519" s="235">
        <v>8.0722961425781303</v>
      </c>
      <c r="O519" s="235">
        <v>8.21258449554443</v>
      </c>
      <c r="P519" s="235">
        <v>8.1957035064697301</v>
      </c>
      <c r="Q519" s="235">
        <v>8.2030982971191406</v>
      </c>
      <c r="R519" s="235">
        <v>8.3247480392456108</v>
      </c>
      <c r="S519" s="235">
        <v>8.5131444931030291</v>
      </c>
      <c r="T519" s="235">
        <v>8.6595201492309606</v>
      </c>
      <c r="U519" s="235">
        <v>8.7975921630859393</v>
      </c>
      <c r="V519" s="235">
        <v>8.8660669326782209</v>
      </c>
      <c r="W519" s="235">
        <v>8.8930187225341797</v>
      </c>
      <c r="X519" s="235">
        <v>8.9751634597778303</v>
      </c>
      <c r="Y519" s="235">
        <v>9.0651559829711896</v>
      </c>
    </row>
    <row r="520" spans="1:26">
      <c r="A520" s="231" t="s">
        <v>477</v>
      </c>
      <c r="B520" s="235">
        <v>25.222642898559599</v>
      </c>
      <c r="C520" s="235">
        <v>25.415189743041999</v>
      </c>
      <c r="D520" s="235">
        <v>25.1893119812012</v>
      </c>
      <c r="E520" s="235">
        <v>25.147850036621101</v>
      </c>
      <c r="F520" s="235">
        <v>24.3894958496094</v>
      </c>
      <c r="G520" s="235">
        <v>23.460399627685501</v>
      </c>
      <c r="H520" s="235">
        <v>22.990982055664102</v>
      </c>
      <c r="I520" s="235">
        <v>23.018142700195298</v>
      </c>
      <c r="J520" s="235">
        <v>22.960025787353501</v>
      </c>
      <c r="K520" s="235">
        <v>22.974227905273398</v>
      </c>
      <c r="L520" s="235">
        <v>23.1215305328369</v>
      </c>
      <c r="M520" s="235">
        <v>23.312740325927699</v>
      </c>
      <c r="N520" s="235">
        <v>23.5714206695557</v>
      </c>
      <c r="O520" s="235">
        <v>23.632020950317401</v>
      </c>
      <c r="P520" s="235">
        <v>23.589054107666001</v>
      </c>
      <c r="Q520" s="235">
        <v>23.650138854980501</v>
      </c>
      <c r="R520" s="235">
        <v>23.8146667480469</v>
      </c>
      <c r="S520" s="235">
        <v>24.0346794128418</v>
      </c>
      <c r="T520" s="235">
        <v>24.122148513793899</v>
      </c>
      <c r="U520" s="235">
        <v>24.230636596679702</v>
      </c>
      <c r="V520" s="235">
        <v>24.181154251098601</v>
      </c>
      <c r="W520" s="235">
        <v>24.130558013916001</v>
      </c>
      <c r="X520" s="235">
        <v>24.148235321044901</v>
      </c>
      <c r="Y520" s="235">
        <v>24.238166809081999</v>
      </c>
    </row>
    <row r="521" spans="1:26">
      <c r="A521" s="231" t="s">
        <v>438</v>
      </c>
      <c r="B521" s="235" t="s">
        <v>438</v>
      </c>
      <c r="C521" s="235" t="s">
        <v>438</v>
      </c>
      <c r="D521" s="235" t="s">
        <v>438</v>
      </c>
      <c r="E521" s="235" t="s">
        <v>438</v>
      </c>
      <c r="F521" s="235" t="s">
        <v>438</v>
      </c>
      <c r="G521" s="235" t="s">
        <v>438</v>
      </c>
      <c r="H521" s="235" t="s">
        <v>438</v>
      </c>
      <c r="I521" s="235" t="s">
        <v>438</v>
      </c>
      <c r="J521" s="235" t="s">
        <v>438</v>
      </c>
      <c r="K521" s="235" t="s">
        <v>438</v>
      </c>
      <c r="L521" s="235" t="s">
        <v>438</v>
      </c>
      <c r="M521" s="235" t="s">
        <v>438</v>
      </c>
      <c r="N521" s="235" t="s">
        <v>438</v>
      </c>
      <c r="O521" s="235" t="s">
        <v>438</v>
      </c>
      <c r="P521" s="235" t="s">
        <v>438</v>
      </c>
      <c r="Q521" s="235" t="s">
        <v>438</v>
      </c>
      <c r="R521" s="235" t="s">
        <v>438</v>
      </c>
      <c r="S521" s="235" t="s">
        <v>438</v>
      </c>
      <c r="T521" s="235" t="s">
        <v>438</v>
      </c>
      <c r="U521" s="235" t="s">
        <v>438</v>
      </c>
      <c r="V521" s="235" t="s">
        <v>438</v>
      </c>
      <c r="W521" s="235" t="s">
        <v>438</v>
      </c>
      <c r="X521" s="235" t="s">
        <v>438</v>
      </c>
      <c r="Y521" s="235" t="s">
        <v>438</v>
      </c>
    </row>
    <row r="522" spans="1:26">
      <c r="A522" s="231" t="s">
        <v>478</v>
      </c>
      <c r="B522" s="235">
        <v>15.064169883728001</v>
      </c>
      <c r="C522" s="235">
        <v>15.629265785217299</v>
      </c>
      <c r="D522" s="235">
        <v>15.835299491882299</v>
      </c>
      <c r="E522" s="235">
        <v>15.918291091918899</v>
      </c>
      <c r="F522" s="235">
        <v>15.0829524993896</v>
      </c>
      <c r="G522" s="235">
        <v>14.3196773529053</v>
      </c>
      <c r="H522" s="235">
        <v>13.910519599914601</v>
      </c>
      <c r="I522" s="235">
        <v>13.8424997329712</v>
      </c>
      <c r="J522" s="235">
        <v>13.762632369995099</v>
      </c>
      <c r="K522" s="235">
        <v>13.8186712265015</v>
      </c>
      <c r="L522" s="235">
        <v>14.058515548706101</v>
      </c>
      <c r="M522" s="235">
        <v>14.316973686218301</v>
      </c>
      <c r="N522" s="235">
        <v>14.661353111267101</v>
      </c>
      <c r="O522" s="235">
        <v>14.869439125061</v>
      </c>
      <c r="P522" s="235">
        <v>14.9301090240479</v>
      </c>
      <c r="Q522" s="235">
        <v>15.044508934021</v>
      </c>
      <c r="R522" s="235">
        <v>15.2485342025757</v>
      </c>
      <c r="S522" s="235">
        <v>15.517853736877401</v>
      </c>
      <c r="T522" s="235">
        <v>15.7009220123291</v>
      </c>
      <c r="U522" s="235">
        <v>15.889198303222701</v>
      </c>
      <c r="V522" s="235">
        <v>15.933961868286101</v>
      </c>
      <c r="W522" s="235">
        <v>15.975202560424799</v>
      </c>
      <c r="X522" s="235">
        <v>16.0630493164063</v>
      </c>
      <c r="Y522" s="235">
        <v>16.195989608764599</v>
      </c>
    </row>
    <row r="523" spans="1:26">
      <c r="A523" s="231" t="s">
        <v>472</v>
      </c>
      <c r="B523" s="235">
        <v>6.5697088241577104</v>
      </c>
      <c r="C523" s="235">
        <v>7.9157042503356898</v>
      </c>
      <c r="D523" s="235">
        <v>8.3734645843505895</v>
      </c>
      <c r="E523" s="235">
        <v>8.3683490753173793</v>
      </c>
      <c r="F523" s="235">
        <v>7.7444124221801802</v>
      </c>
      <c r="G523" s="235">
        <v>7.3380589485168501</v>
      </c>
      <c r="H523" s="235">
        <v>7.0368156433105504</v>
      </c>
      <c r="I523" s="235">
        <v>6.9020848274231001</v>
      </c>
      <c r="J523" s="235">
        <v>6.8100509643554696</v>
      </c>
      <c r="K523" s="235">
        <v>6.84179735183716</v>
      </c>
      <c r="L523" s="235">
        <v>6.8974781036376998</v>
      </c>
      <c r="M523" s="235">
        <v>6.9808845520019496</v>
      </c>
      <c r="N523" s="235">
        <v>7.1057710647582999</v>
      </c>
      <c r="O523" s="235">
        <v>7.20139837265015</v>
      </c>
      <c r="P523" s="235">
        <v>7.18692874908447</v>
      </c>
      <c r="Q523" s="235">
        <v>7.1932849884033203</v>
      </c>
      <c r="R523" s="235">
        <v>7.2944316864013699</v>
      </c>
      <c r="S523" s="235">
        <v>7.4377117156982404</v>
      </c>
      <c r="T523" s="235">
        <v>7.5399260520935103</v>
      </c>
      <c r="U523" s="235">
        <v>7.6392593383789098</v>
      </c>
      <c r="V523" s="235">
        <v>7.6873850822448704</v>
      </c>
      <c r="W523" s="235">
        <v>7.6958703994751003</v>
      </c>
      <c r="X523" s="235">
        <v>7.7559337615966797</v>
      </c>
      <c r="Y523" s="235">
        <v>7.8220491409301802</v>
      </c>
    </row>
    <row r="524" spans="1:26">
      <c r="A524" s="231" t="s">
        <v>473</v>
      </c>
      <c r="B524" s="235">
        <v>6.9482707977294904</v>
      </c>
      <c r="C524" s="235">
        <v>8.0266513824462908</v>
      </c>
      <c r="D524" s="235">
        <v>8.9197750091552699</v>
      </c>
      <c r="E524" s="235">
        <v>8.6532449722290004</v>
      </c>
      <c r="F524" s="235">
        <v>7.9109911918640101</v>
      </c>
      <c r="G524" s="235">
        <v>7.48618364334106</v>
      </c>
      <c r="H524" s="235">
        <v>7.32971286773682</v>
      </c>
      <c r="I524" s="235">
        <v>7.1282916069030797</v>
      </c>
      <c r="J524" s="235">
        <v>7.1344366073608398</v>
      </c>
      <c r="K524" s="235">
        <v>7.2035880088806197</v>
      </c>
      <c r="L524" s="235">
        <v>7.21549415588379</v>
      </c>
      <c r="M524" s="235">
        <v>7.2433881759643599</v>
      </c>
      <c r="N524" s="235">
        <v>7.2548027038574201</v>
      </c>
      <c r="O524" s="235">
        <v>7.2826437950134304</v>
      </c>
      <c r="P524" s="235">
        <v>7.3254833221435502</v>
      </c>
      <c r="Q524" s="235">
        <v>7.3667011260986301</v>
      </c>
      <c r="R524" s="235">
        <v>7.4382300376892099</v>
      </c>
      <c r="S524" s="235">
        <v>7.5099358558654803</v>
      </c>
      <c r="T524" s="235">
        <v>7.5474686622619602</v>
      </c>
      <c r="U524" s="235">
        <v>7.6315479278564498</v>
      </c>
      <c r="V524" s="235">
        <v>7.69354152679443</v>
      </c>
      <c r="W524" s="235">
        <v>7.7161302566528303</v>
      </c>
      <c r="X524" s="235">
        <v>7.7569241523742702</v>
      </c>
      <c r="Y524" s="235">
        <v>7.8363184928893999</v>
      </c>
    </row>
    <row r="525" spans="1:26">
      <c r="A525" s="231" t="s">
        <v>474</v>
      </c>
      <c r="B525" s="235">
        <v>6.1493649482727104</v>
      </c>
      <c r="C525" s="235">
        <v>7.03082323074341</v>
      </c>
      <c r="D525" s="235">
        <v>7.7272844314575204</v>
      </c>
      <c r="E525" s="235">
        <v>7.4210705757141104</v>
      </c>
      <c r="F525" s="235">
        <v>6.8826036453247097</v>
      </c>
      <c r="G525" s="235">
        <v>6.5409913063049299</v>
      </c>
      <c r="H525" s="235">
        <v>6.4167842864990199</v>
      </c>
      <c r="I525" s="235">
        <v>6.2535924911498997</v>
      </c>
      <c r="J525" s="235">
        <v>6.2965154647827104</v>
      </c>
      <c r="K525" s="235">
        <v>6.4007697105407697</v>
      </c>
      <c r="L525" s="235">
        <v>6.4218788146972701</v>
      </c>
      <c r="M525" s="235">
        <v>6.4483299255371103</v>
      </c>
      <c r="N525" s="235">
        <v>6.4679012298584002</v>
      </c>
      <c r="O525" s="235">
        <v>6.4912290573120099</v>
      </c>
      <c r="P525" s="235">
        <v>6.52826023101807</v>
      </c>
      <c r="Q525" s="235">
        <v>6.5738272666931197</v>
      </c>
      <c r="R525" s="235">
        <v>6.6604804992675799</v>
      </c>
      <c r="S525" s="235">
        <v>6.7330570220947301</v>
      </c>
      <c r="T525" s="235">
        <v>6.75683689117432</v>
      </c>
      <c r="U525" s="235">
        <v>6.8434348106384304</v>
      </c>
      <c r="V525" s="235">
        <v>6.9099073410034197</v>
      </c>
      <c r="W525" s="235">
        <v>6.9186587333679199</v>
      </c>
      <c r="X525" s="235">
        <v>6.9633812904357901</v>
      </c>
      <c r="Y525" s="235">
        <v>7.0585165023803702</v>
      </c>
    </row>
    <row r="526" spans="1:26">
      <c r="A526" s="231" t="s">
        <v>479</v>
      </c>
      <c r="B526" s="235">
        <v>4.2683343887329102</v>
      </c>
      <c r="C526" s="235">
        <v>4.9646224975585902</v>
      </c>
      <c r="D526" s="235">
        <v>5.0606441497802699</v>
      </c>
      <c r="E526" s="235">
        <v>5.3499689102172896</v>
      </c>
      <c r="F526" s="235">
        <v>5.0606269836425799</v>
      </c>
      <c r="G526" s="235">
        <v>4.6454811096191397</v>
      </c>
      <c r="H526" s="235">
        <v>4.44089698791504</v>
      </c>
      <c r="I526" s="235">
        <v>4.3064308166503897</v>
      </c>
      <c r="J526" s="235">
        <v>4.2577414512634304</v>
      </c>
      <c r="K526" s="235">
        <v>4.3118896484375</v>
      </c>
      <c r="L526" s="235">
        <v>4.3638815879821804</v>
      </c>
      <c r="M526" s="235">
        <v>4.4166550636291504</v>
      </c>
      <c r="N526" s="235">
        <v>4.4711151123046902</v>
      </c>
      <c r="O526" s="235">
        <v>4.5238728523254403</v>
      </c>
      <c r="P526" s="235">
        <v>4.5756058692932102</v>
      </c>
      <c r="Q526" s="235">
        <v>4.6275658607482901</v>
      </c>
      <c r="R526" s="235">
        <v>4.6890521049499503</v>
      </c>
      <c r="S526" s="235">
        <v>4.7516570091247603</v>
      </c>
      <c r="T526" s="235">
        <v>4.8052668571472203</v>
      </c>
      <c r="U526" s="235">
        <v>4.8599562644958496</v>
      </c>
      <c r="V526" s="235">
        <v>4.9139251708984402</v>
      </c>
      <c r="W526" s="235">
        <v>4.9674754142761204</v>
      </c>
      <c r="X526" s="235">
        <v>5.0218071937561</v>
      </c>
      <c r="Y526" s="235">
        <v>5.0773591995239302</v>
      </c>
    </row>
    <row r="527" spans="1:26">
      <c r="A527" s="253" t="s">
        <v>476</v>
      </c>
      <c r="B527" s="235">
        <v>6.6170339584350604</v>
      </c>
      <c r="C527" s="235">
        <v>8.0769119262695295</v>
      </c>
      <c r="D527" s="235">
        <v>8.4474086761474592</v>
      </c>
      <c r="E527" s="235">
        <v>8.5042705535888707</v>
      </c>
      <c r="F527" s="235">
        <v>7.8856530189514196</v>
      </c>
      <c r="G527" s="235">
        <v>7.4673976898193404</v>
      </c>
      <c r="H527" s="235">
        <v>7.1177520751953098</v>
      </c>
      <c r="I527" s="235">
        <v>6.9923906326293901</v>
      </c>
      <c r="J527" s="235">
        <v>6.8716683387756303</v>
      </c>
      <c r="K527" s="235">
        <v>6.8934268951415998</v>
      </c>
      <c r="L527" s="235">
        <v>6.9598770141601598</v>
      </c>
      <c r="M527" s="235">
        <v>7.0576272010803196</v>
      </c>
      <c r="N527" s="235">
        <v>7.21203565597534</v>
      </c>
      <c r="O527" s="235">
        <v>7.32529544830322</v>
      </c>
      <c r="P527" s="235">
        <v>7.2944836616516104</v>
      </c>
      <c r="Q527" s="235">
        <v>7.2903637886047399</v>
      </c>
      <c r="R527" s="235">
        <v>7.3995337486267099</v>
      </c>
      <c r="S527" s="235">
        <v>7.56237888336182</v>
      </c>
      <c r="T527" s="235">
        <v>7.6814393997192401</v>
      </c>
      <c r="U527" s="235">
        <v>7.78521823883057</v>
      </c>
      <c r="V527" s="235">
        <v>7.8287162780761701</v>
      </c>
      <c r="W527" s="235">
        <v>7.8313083648681596</v>
      </c>
      <c r="X527" s="235">
        <v>7.8953433036804199</v>
      </c>
      <c r="Y527" s="235">
        <v>7.9576945304870597</v>
      </c>
      <c r="Z527" s="261">
        <f>Y527+($AI$357-$Y$527)/10</f>
        <v>8.0099991534203383</v>
      </c>
    </row>
    <row r="528" spans="1:26">
      <c r="A528" s="254" t="s">
        <v>477</v>
      </c>
      <c r="B528" s="235">
        <v>23.353584289550799</v>
      </c>
      <c r="C528" s="235">
        <v>23.2374382019043</v>
      </c>
      <c r="D528" s="235">
        <v>23.0415229797363</v>
      </c>
      <c r="E528" s="235">
        <v>22.938554763793899</v>
      </c>
      <c r="F528" s="235">
        <v>21.8424968719482</v>
      </c>
      <c r="G528" s="235">
        <v>20.6924953460693</v>
      </c>
      <c r="H528" s="235">
        <v>20.1292018890381</v>
      </c>
      <c r="I528" s="235">
        <v>20.063879013061499</v>
      </c>
      <c r="J528" s="235">
        <v>19.9343872070313</v>
      </c>
      <c r="K528" s="235">
        <v>19.938108444213899</v>
      </c>
      <c r="L528" s="235">
        <v>20.262083053588899</v>
      </c>
      <c r="M528" s="235">
        <v>20.589830398559599</v>
      </c>
      <c r="N528" s="235">
        <v>21.038742065429702</v>
      </c>
      <c r="O528" s="235">
        <v>21.2544975280762</v>
      </c>
      <c r="P528" s="235">
        <v>21.300868988037099</v>
      </c>
      <c r="Q528" s="235">
        <v>21.4323215484619</v>
      </c>
      <c r="R528" s="235">
        <v>21.647081375122099</v>
      </c>
      <c r="S528" s="235">
        <v>21.937980651855501</v>
      </c>
      <c r="T528" s="235">
        <v>22.104045867919901</v>
      </c>
      <c r="U528" s="235">
        <v>22.281753540039102</v>
      </c>
      <c r="V528" s="235">
        <v>22.24875831604</v>
      </c>
      <c r="W528" s="235">
        <v>22.2471523284912</v>
      </c>
      <c r="X528" s="235">
        <v>22.287950515747099</v>
      </c>
      <c r="Y528" s="235">
        <v>22.4030246734619</v>
      </c>
      <c r="Z528" s="263">
        <f>Y528+($AI$358-$Y$528)/10</f>
        <v>22.313820934181763</v>
      </c>
    </row>
    <row r="529" spans="1:70">
      <c r="A529" s="231" t="s">
        <v>438</v>
      </c>
      <c r="B529" s="235" t="s">
        <v>438</v>
      </c>
      <c r="C529" s="235" t="s">
        <v>438</v>
      </c>
      <c r="D529" s="235" t="s">
        <v>438</v>
      </c>
      <c r="E529" s="235" t="s">
        <v>438</v>
      </c>
      <c r="F529" s="235" t="s">
        <v>438</v>
      </c>
      <c r="G529" s="235" t="s">
        <v>438</v>
      </c>
      <c r="H529" s="235" t="s">
        <v>438</v>
      </c>
      <c r="I529" s="235" t="s">
        <v>438</v>
      </c>
      <c r="J529" s="235" t="s">
        <v>438</v>
      </c>
      <c r="K529" s="235" t="s">
        <v>438</v>
      </c>
      <c r="L529" s="235" t="s">
        <v>438</v>
      </c>
      <c r="M529" s="235" t="s">
        <v>438</v>
      </c>
      <c r="N529" s="235" t="s">
        <v>438</v>
      </c>
      <c r="O529" s="235" t="s">
        <v>438</v>
      </c>
      <c r="P529" s="235" t="s">
        <v>438</v>
      </c>
      <c r="Q529" s="235" t="s">
        <v>438</v>
      </c>
      <c r="R529" s="235" t="s">
        <v>438</v>
      </c>
      <c r="S529" s="235" t="s">
        <v>438</v>
      </c>
      <c r="T529" s="235" t="s">
        <v>438</v>
      </c>
      <c r="U529" s="235" t="s">
        <v>438</v>
      </c>
      <c r="V529" s="235" t="s">
        <v>438</v>
      </c>
      <c r="W529" s="235" t="s">
        <v>438</v>
      </c>
      <c r="X529" s="235" t="s">
        <v>438</v>
      </c>
      <c r="Y529" s="235" t="s">
        <v>438</v>
      </c>
    </row>
    <row r="530" spans="1:70" ht="14" thickBot="1">
      <c r="A530" s="231" t="s">
        <v>480</v>
      </c>
      <c r="B530" s="235">
        <v>6.3922061920165998</v>
      </c>
      <c r="C530" s="235">
        <v>7.7839651107788104</v>
      </c>
      <c r="D530" s="235">
        <v>8.7301359176635707</v>
      </c>
      <c r="E530" s="235">
        <v>8.5276689529418892</v>
      </c>
      <c r="F530" s="235">
        <v>7.7321057319641104</v>
      </c>
      <c r="G530" s="235">
        <v>7.2916359901428196</v>
      </c>
      <c r="H530" s="235">
        <v>7.0938224792480504</v>
      </c>
      <c r="I530" s="235">
        <v>6.9649901390075701</v>
      </c>
      <c r="J530" s="235">
        <v>6.8520793914794904</v>
      </c>
      <c r="K530" s="235">
        <v>6.8315567970275897</v>
      </c>
      <c r="L530" s="235">
        <v>6.8953166007995597</v>
      </c>
      <c r="M530" s="235">
        <v>6.99013376235962</v>
      </c>
      <c r="N530" s="235">
        <v>7.1103782653808603</v>
      </c>
      <c r="O530" s="235">
        <v>7.2379879951477104</v>
      </c>
      <c r="P530" s="235">
        <v>7.276611328125</v>
      </c>
      <c r="Q530" s="235">
        <v>7.3343372344970703</v>
      </c>
      <c r="R530" s="235">
        <v>7.4634890556335396</v>
      </c>
      <c r="S530" s="235">
        <v>7.6215224266052202</v>
      </c>
      <c r="T530" s="235">
        <v>7.7529444694518999</v>
      </c>
      <c r="U530" s="235">
        <v>7.8803434371948198</v>
      </c>
      <c r="V530" s="235">
        <v>7.9471721649169904</v>
      </c>
      <c r="W530" s="235">
        <v>7.99715328216553</v>
      </c>
      <c r="X530" s="235">
        <v>8.05676174163818</v>
      </c>
      <c r="Y530" s="235">
        <v>8.1260271072387695</v>
      </c>
    </row>
    <row r="531" spans="1:70" ht="14" thickBot="1">
      <c r="A531" s="231" t="s">
        <v>481</v>
      </c>
      <c r="B531" s="235">
        <v>4.9298634529113796</v>
      </c>
      <c r="C531" s="235">
        <v>6.4939708709716797</v>
      </c>
      <c r="D531" s="235">
        <v>7.4592456817626998</v>
      </c>
      <c r="E531" s="235">
        <v>7.2321572303771999</v>
      </c>
      <c r="F531" s="235">
        <v>6.3973078727722203</v>
      </c>
      <c r="G531" s="235">
        <v>5.9808039665222203</v>
      </c>
      <c r="H531" s="235">
        <v>5.7940292358398402</v>
      </c>
      <c r="I531" s="235">
        <v>5.64864206314087</v>
      </c>
      <c r="J531" s="235">
        <v>5.54791307449341</v>
      </c>
      <c r="K531" s="235">
        <v>5.5448842048645002</v>
      </c>
      <c r="L531" s="235">
        <v>5.5862631797790501</v>
      </c>
      <c r="M531" s="235">
        <v>5.6484580039978001</v>
      </c>
      <c r="N531" s="235">
        <v>5.7157526016235396</v>
      </c>
      <c r="O531" s="235">
        <v>5.8273496627807599</v>
      </c>
      <c r="P531" s="235">
        <v>5.8644676208496103</v>
      </c>
      <c r="Q531" s="235">
        <v>5.9049983024597203</v>
      </c>
      <c r="R531" s="235">
        <v>6.0105843544006303</v>
      </c>
      <c r="S531" s="235">
        <v>6.1420850753784197</v>
      </c>
      <c r="T531" s="235">
        <v>6.2661328315734899</v>
      </c>
      <c r="U531" s="235">
        <v>6.3902029991149902</v>
      </c>
      <c r="V531" s="235">
        <v>6.4639844894409197</v>
      </c>
      <c r="W531" s="235">
        <v>6.5222811698913601</v>
      </c>
      <c r="X531" s="235">
        <v>6.5781168937683097</v>
      </c>
      <c r="Y531" s="235">
        <v>6.6401424407959002</v>
      </c>
      <c r="AA531" s="273">
        <f>Z701+($AI$531-$Y$701)/10</f>
        <v>1.6707610713595051</v>
      </c>
      <c r="AB531" s="273">
        <f t="shared" ref="AB531:AH531" si="75">AA531+($AI$531-$Y$701)/10</f>
        <v>1.7872284374395671</v>
      </c>
      <c r="AC531" s="273">
        <f t="shared" si="75"/>
        <v>1.903695803519629</v>
      </c>
      <c r="AD531" s="273">
        <f t="shared" si="75"/>
        <v>2.0201631695996909</v>
      </c>
      <c r="AE531" s="273">
        <f t="shared" si="75"/>
        <v>2.1366305356797528</v>
      </c>
      <c r="AF531" s="273">
        <f t="shared" si="75"/>
        <v>2.2530979017598147</v>
      </c>
      <c r="AG531" s="273">
        <f t="shared" si="75"/>
        <v>2.3695652678398766</v>
      </c>
      <c r="AH531" s="273">
        <f t="shared" si="75"/>
        <v>2.4860326339199386</v>
      </c>
      <c r="AI531" s="278">
        <v>2.6025</v>
      </c>
      <c r="AJ531" s="273">
        <f>AI531+($BM$531-$AI$531)/30</f>
        <v>2.6824166666666667</v>
      </c>
      <c r="AK531" s="273">
        <f t="shared" ref="AK531:BR531" si="76">AJ531+($BM$531-$AI$531)/30</f>
        <v>2.7623333333333333</v>
      </c>
      <c r="AL531" s="273">
        <f t="shared" si="76"/>
        <v>2.8422499999999999</v>
      </c>
      <c r="AM531" s="273">
        <f t="shared" si="76"/>
        <v>2.9221666666666666</v>
      </c>
      <c r="AN531" s="273">
        <f t="shared" si="76"/>
        <v>3.0020833333333332</v>
      </c>
      <c r="AO531" s="273">
        <f t="shared" si="76"/>
        <v>3.0819999999999999</v>
      </c>
      <c r="AP531" s="273">
        <f t="shared" si="76"/>
        <v>3.1619166666666665</v>
      </c>
      <c r="AQ531" s="273">
        <f t="shared" si="76"/>
        <v>3.2418333333333331</v>
      </c>
      <c r="AR531" s="273">
        <f t="shared" si="76"/>
        <v>3.3217499999999998</v>
      </c>
      <c r="AS531" s="273">
        <f t="shared" si="76"/>
        <v>3.4016666666666664</v>
      </c>
      <c r="AT531" s="273">
        <f t="shared" si="76"/>
        <v>3.481583333333333</v>
      </c>
      <c r="AU531" s="273">
        <f t="shared" si="76"/>
        <v>3.5614999999999997</v>
      </c>
      <c r="AV531" s="273">
        <f t="shared" si="76"/>
        <v>3.6414166666666663</v>
      </c>
      <c r="AW531" s="273">
        <f t="shared" si="76"/>
        <v>3.7213333333333329</v>
      </c>
      <c r="AX531" s="273">
        <f t="shared" si="76"/>
        <v>3.8012499999999996</v>
      </c>
      <c r="AY531" s="273">
        <f t="shared" si="76"/>
        <v>3.8811666666666662</v>
      </c>
      <c r="AZ531" s="273">
        <f t="shared" si="76"/>
        <v>3.9610833333333328</v>
      </c>
      <c r="BA531" s="273">
        <f t="shared" si="76"/>
        <v>4.0409999999999995</v>
      </c>
      <c r="BB531" s="273">
        <f t="shared" si="76"/>
        <v>4.1209166666666661</v>
      </c>
      <c r="BC531" s="273">
        <f t="shared" si="76"/>
        <v>4.2008333333333328</v>
      </c>
      <c r="BD531" s="273">
        <f t="shared" si="76"/>
        <v>4.2807499999999994</v>
      </c>
      <c r="BE531" s="273">
        <f t="shared" si="76"/>
        <v>4.360666666666666</v>
      </c>
      <c r="BF531" s="273">
        <f t="shared" si="76"/>
        <v>4.4405833333333327</v>
      </c>
      <c r="BG531" s="273">
        <f t="shared" si="76"/>
        <v>4.5204999999999993</v>
      </c>
      <c r="BH531" s="273">
        <f t="shared" si="76"/>
        <v>4.6004166666666659</v>
      </c>
      <c r="BI531" s="273">
        <f t="shared" si="76"/>
        <v>4.6803333333333326</v>
      </c>
      <c r="BJ531" s="273">
        <f t="shared" si="76"/>
        <v>4.7602499999999992</v>
      </c>
      <c r="BK531" s="273">
        <f t="shared" si="76"/>
        <v>4.8401666666666658</v>
      </c>
      <c r="BL531" s="273">
        <f t="shared" si="76"/>
        <v>4.9200833333333325</v>
      </c>
      <c r="BM531" s="276">
        <v>5</v>
      </c>
      <c r="BN531" s="273">
        <f t="shared" si="76"/>
        <v>5.0799166666666666</v>
      </c>
      <c r="BO531" s="273">
        <f t="shared" si="76"/>
        <v>5.1598333333333333</v>
      </c>
      <c r="BP531" s="273">
        <f t="shared" si="76"/>
        <v>5.2397499999999999</v>
      </c>
      <c r="BQ531" s="273">
        <f t="shared" si="76"/>
        <v>5.3196666666666665</v>
      </c>
      <c r="BR531" s="273">
        <f t="shared" si="76"/>
        <v>5.3995833333333332</v>
      </c>
    </row>
    <row r="532" spans="1:70">
      <c r="A532" s="231" t="s">
        <v>473</v>
      </c>
      <c r="B532" s="235">
        <v>6.5291514396667498</v>
      </c>
      <c r="C532" s="235">
        <v>8.2850980758666992</v>
      </c>
      <c r="D532" s="235">
        <v>9.8001232147216797</v>
      </c>
      <c r="E532" s="235">
        <v>9.3072748184204102</v>
      </c>
      <c r="F532" s="235">
        <v>8.1255960464477504</v>
      </c>
      <c r="G532" s="235">
        <v>7.6394152641296396</v>
      </c>
      <c r="H532" s="235">
        <v>7.5353851318359402</v>
      </c>
      <c r="I532" s="235">
        <v>7.29905128479004</v>
      </c>
      <c r="J532" s="235">
        <v>7.2437157630920401</v>
      </c>
      <c r="K532" s="235">
        <v>7.2615475654602104</v>
      </c>
      <c r="L532" s="235">
        <v>7.28952884674072</v>
      </c>
      <c r="M532" s="235">
        <v>7.3323044776916504</v>
      </c>
      <c r="N532" s="235">
        <v>7.3129158020019496</v>
      </c>
      <c r="O532" s="235">
        <v>7.4180650711059597</v>
      </c>
      <c r="P532" s="235">
        <v>7.5101509094238299</v>
      </c>
      <c r="Q532" s="235">
        <v>7.5518846511840803</v>
      </c>
      <c r="R532" s="235">
        <v>7.6326026916503897</v>
      </c>
      <c r="S532" s="235">
        <v>7.7444272041320801</v>
      </c>
      <c r="T532" s="235">
        <v>7.8752341270446804</v>
      </c>
      <c r="U532" s="235">
        <v>8.0334920883178693</v>
      </c>
      <c r="V532" s="235">
        <v>8.1469945907592791</v>
      </c>
      <c r="W532" s="235">
        <v>8.2539978027343803</v>
      </c>
      <c r="X532" s="235">
        <v>8.3047761917114293</v>
      </c>
      <c r="Y532" s="235">
        <v>8.3638219833374006</v>
      </c>
      <c r="AA532" s="276">
        <v>8.7353999999999985</v>
      </c>
      <c r="AB532" s="276">
        <v>8.7353999999999985</v>
      </c>
      <c r="AC532" s="276">
        <v>8.7353999999999985</v>
      </c>
      <c r="AD532" s="276">
        <v>8.7353999999999985</v>
      </c>
      <c r="AE532" s="276">
        <v>8.7353999999999985</v>
      </c>
      <c r="AF532" s="276">
        <v>8.7353999999999985</v>
      </c>
      <c r="AG532" s="276">
        <v>8.7353999999999985</v>
      </c>
      <c r="AH532" s="276">
        <v>8.2799999999999994</v>
      </c>
      <c r="AI532" s="276">
        <v>8.2799999999999994</v>
      </c>
      <c r="AJ532" s="267">
        <f>AI532+($AX$532-$AI$532)/15</f>
        <v>8.2855063337213686</v>
      </c>
      <c r="AK532" s="267">
        <f t="shared" ref="AK532:AW532" si="77">AJ532+($AX$532-$AI$532)/15</f>
        <v>8.2910126674427378</v>
      </c>
      <c r="AL532" s="267">
        <f t="shared" si="77"/>
        <v>8.296519001164107</v>
      </c>
      <c r="AM532" s="267">
        <f t="shared" si="77"/>
        <v>8.3020253348854762</v>
      </c>
      <c r="AN532" s="267">
        <f t="shared" si="77"/>
        <v>8.3075316686068454</v>
      </c>
      <c r="AO532" s="267">
        <f t="shared" si="77"/>
        <v>8.3130380023282147</v>
      </c>
      <c r="AP532" s="267">
        <f t="shared" si="77"/>
        <v>8.3185443360495839</v>
      </c>
      <c r="AQ532" s="267">
        <f t="shared" si="77"/>
        <v>8.3240506697709531</v>
      </c>
      <c r="AR532" s="267">
        <f t="shared" si="77"/>
        <v>8.3295570034923223</v>
      </c>
      <c r="AS532" s="267">
        <f t="shared" si="77"/>
        <v>8.3350633372136915</v>
      </c>
      <c r="AT532" s="267">
        <f t="shared" si="77"/>
        <v>8.3405696709350607</v>
      </c>
      <c r="AU532" s="267">
        <f t="shared" si="77"/>
        <v>8.34607600465643</v>
      </c>
      <c r="AV532" s="267">
        <f t="shared" si="77"/>
        <v>8.3515823383777992</v>
      </c>
      <c r="AW532" s="267">
        <f t="shared" si="77"/>
        <v>8.3570886720991684</v>
      </c>
      <c r="AX532" s="272">
        <f>AI532*$B$747</f>
        <v>8.3625950058205305</v>
      </c>
      <c r="AY532" s="267">
        <f>AX532+($BM$532-$AX$532)/15</f>
        <v>8.3654368677345836</v>
      </c>
      <c r="AZ532" s="267">
        <f t="shared" ref="AZ532:BL532" si="78">AY532+($BM$532-$AX$532)/15</f>
        <v>8.3682787296486367</v>
      </c>
      <c r="BA532" s="267">
        <f t="shared" si="78"/>
        <v>8.3711205915626898</v>
      </c>
      <c r="BB532" s="267">
        <f t="shared" si="78"/>
        <v>8.373962453476743</v>
      </c>
      <c r="BC532" s="267">
        <f t="shared" si="78"/>
        <v>8.3768043153907961</v>
      </c>
      <c r="BD532" s="267">
        <f t="shared" si="78"/>
        <v>8.3796461773048492</v>
      </c>
      <c r="BE532" s="267">
        <f t="shared" si="78"/>
        <v>8.3824880392189023</v>
      </c>
      <c r="BF532" s="267">
        <f t="shared" si="78"/>
        <v>8.3853299011329554</v>
      </c>
      <c r="BG532" s="267">
        <f t="shared" si="78"/>
        <v>8.3881717630470085</v>
      </c>
      <c r="BH532" s="267">
        <f t="shared" si="78"/>
        <v>8.3910136249610616</v>
      </c>
      <c r="BI532" s="267">
        <f t="shared" si="78"/>
        <v>8.3938554868751147</v>
      </c>
      <c r="BJ532" s="267">
        <f t="shared" si="78"/>
        <v>8.3966973487891678</v>
      </c>
      <c r="BK532" s="267">
        <f t="shared" si="78"/>
        <v>8.399539210703221</v>
      </c>
      <c r="BL532" s="267">
        <f t="shared" si="78"/>
        <v>8.4023810726172741</v>
      </c>
      <c r="BM532" s="272">
        <f>AX532*$C$747</f>
        <v>8.4052229345313236</v>
      </c>
      <c r="BN532" s="267">
        <f>BM532+($BR$532-$BM$532)/5</f>
        <v>8.4080792827007791</v>
      </c>
      <c r="BO532" s="267">
        <f>BN532+($BR$532-$BM$532)/5</f>
        <v>8.4109356308702345</v>
      </c>
      <c r="BP532" s="267">
        <f>BO532+($BR$532-$BM$532)/5</f>
        <v>8.41379197903969</v>
      </c>
      <c r="BQ532" s="267">
        <f>BP532+($BR$532-$BM$532)/5</f>
        <v>8.4166483272091455</v>
      </c>
      <c r="BR532" s="272">
        <f>BM532*$D$747</f>
        <v>8.4195046753785974</v>
      </c>
    </row>
    <row r="533" spans="1:70">
      <c r="A533" s="231" t="s">
        <v>474</v>
      </c>
      <c r="B533" s="235">
        <v>6.3323707580566397</v>
      </c>
      <c r="C533" s="235">
        <v>7.2384452819824201</v>
      </c>
      <c r="D533" s="235">
        <v>7.96527099609375</v>
      </c>
      <c r="E533" s="235">
        <v>7.6527137756347701</v>
      </c>
      <c r="F533" s="235">
        <v>7.15256595611572</v>
      </c>
      <c r="G533" s="235">
        <v>6.8207654953002903</v>
      </c>
      <c r="H533" s="235">
        <v>6.8779778480529803</v>
      </c>
      <c r="I533" s="235">
        <v>6.7174663543701199</v>
      </c>
      <c r="J533" s="235">
        <v>6.78255271911621</v>
      </c>
      <c r="K533" s="235">
        <v>7.1339807510376003</v>
      </c>
      <c r="L533" s="235">
        <v>7.1601362228393599</v>
      </c>
      <c r="M533" s="235">
        <v>7.1876134872436497</v>
      </c>
      <c r="N533" s="235">
        <v>7.1760501861572301</v>
      </c>
      <c r="O533" s="235">
        <v>7.19400835037231</v>
      </c>
      <c r="P533" s="235">
        <v>7.2192950248718297</v>
      </c>
      <c r="Q533" s="235">
        <v>7.2771706581115696</v>
      </c>
      <c r="R533" s="235">
        <v>7.32332468032837</v>
      </c>
      <c r="S533" s="235">
        <v>7.37906789779663</v>
      </c>
      <c r="T533" s="235">
        <v>7.3721222877502397</v>
      </c>
      <c r="U533" s="235">
        <v>7.4461221694946298</v>
      </c>
      <c r="V533" s="235">
        <v>7.5145907402038601</v>
      </c>
      <c r="W533" s="235">
        <v>7.4954967498779297</v>
      </c>
      <c r="X533" s="235">
        <v>7.5633401870727504</v>
      </c>
      <c r="Y533" s="235">
        <v>7.7325506210327104</v>
      </c>
      <c r="AA533" s="277">
        <v>4.78</v>
      </c>
      <c r="AB533" s="277">
        <v>4.78</v>
      </c>
      <c r="AC533" s="277">
        <v>4.78</v>
      </c>
      <c r="AD533" s="277">
        <v>4.78</v>
      </c>
      <c r="AE533" s="277">
        <v>4.78</v>
      </c>
      <c r="AF533" s="277">
        <v>4.78</v>
      </c>
      <c r="AG533" s="277">
        <v>4.78</v>
      </c>
      <c r="AH533" s="277">
        <v>4.78</v>
      </c>
      <c r="AI533" s="277">
        <v>4.78</v>
      </c>
      <c r="AJ533" s="277">
        <v>4.78</v>
      </c>
      <c r="AK533" s="277">
        <v>4.78</v>
      </c>
      <c r="AL533" s="277">
        <v>4.78</v>
      </c>
      <c r="AM533" s="277">
        <v>4.78</v>
      </c>
      <c r="AN533" s="277">
        <v>4.78</v>
      </c>
      <c r="AO533" s="277">
        <v>4.78</v>
      </c>
      <c r="AP533" s="277">
        <v>4.78</v>
      </c>
      <c r="AQ533" s="277">
        <v>4.78</v>
      </c>
      <c r="AR533" s="277">
        <v>4.78</v>
      </c>
      <c r="AS533" s="277">
        <v>4.78</v>
      </c>
      <c r="AT533" s="277">
        <v>4.78</v>
      </c>
      <c r="AU533" s="277">
        <v>4.78</v>
      </c>
      <c r="AV533" s="277">
        <v>4.78</v>
      </c>
      <c r="AW533" s="277">
        <v>4.78</v>
      </c>
      <c r="AX533" s="277">
        <v>4.78</v>
      </c>
      <c r="AY533" s="277">
        <v>4.78</v>
      </c>
      <c r="AZ533" s="277">
        <v>4.78</v>
      </c>
      <c r="BA533" s="277">
        <v>4.78</v>
      </c>
      <c r="BB533" s="277">
        <v>4.78</v>
      </c>
      <c r="BC533" s="277">
        <v>4.78</v>
      </c>
      <c r="BD533" s="277">
        <v>4.78</v>
      </c>
      <c r="BE533" s="277">
        <v>4.78</v>
      </c>
      <c r="BF533" s="277">
        <v>4.78</v>
      </c>
      <c r="BG533" s="277">
        <v>4.78</v>
      </c>
      <c r="BH533" s="277">
        <v>4.78</v>
      </c>
      <c r="BI533" s="277">
        <v>4.78</v>
      </c>
      <c r="BJ533" s="277">
        <v>4.78</v>
      </c>
      <c r="BK533" s="277">
        <v>4.78</v>
      </c>
      <c r="BL533" s="277">
        <v>4.78</v>
      </c>
      <c r="BM533" s="277">
        <v>4.78</v>
      </c>
      <c r="BN533" s="277">
        <v>4.78</v>
      </c>
      <c r="BO533" s="277">
        <v>4.78</v>
      </c>
      <c r="BP533" s="277">
        <v>4.78</v>
      </c>
      <c r="BQ533" s="277">
        <v>4.78</v>
      </c>
      <c r="BR533" s="277">
        <v>4.78</v>
      </c>
    </row>
    <row r="534" spans="1:70">
      <c r="A534" s="231" t="s">
        <v>475</v>
      </c>
      <c r="B534" s="235">
        <v>8.4833917617797905</v>
      </c>
      <c r="C534" s="235">
        <v>12.566796302795399</v>
      </c>
      <c r="D534" s="235">
        <v>15.1470994949341</v>
      </c>
      <c r="E534" s="235">
        <v>13.2375335693359</v>
      </c>
      <c r="F534" s="235">
        <v>11.1595468521118</v>
      </c>
      <c r="G534" s="235">
        <v>10.509430885314901</v>
      </c>
      <c r="H534" s="235">
        <v>10.3245944976807</v>
      </c>
      <c r="I534" s="235">
        <v>10.044970512390099</v>
      </c>
      <c r="J534" s="235">
        <v>10.0157480239868</v>
      </c>
      <c r="K534" s="235">
        <v>9.9449577331543004</v>
      </c>
      <c r="L534" s="235">
        <v>10.002993583679199</v>
      </c>
      <c r="M534" s="235">
        <v>10.097089767456101</v>
      </c>
      <c r="N534" s="235">
        <v>10.020875930786101</v>
      </c>
      <c r="O534" s="235">
        <v>10.2241611480713</v>
      </c>
      <c r="P534" s="235">
        <v>10.3367824554443</v>
      </c>
      <c r="Q534" s="235">
        <v>10.319104194641101</v>
      </c>
      <c r="R534" s="235">
        <v>10.409514427185099</v>
      </c>
      <c r="S534" s="235">
        <v>10.552604675293001</v>
      </c>
      <c r="T534" s="235">
        <v>10.737306594848601</v>
      </c>
      <c r="U534" s="235">
        <v>10.9299325942993</v>
      </c>
      <c r="V534" s="235">
        <v>11.0452260971069</v>
      </c>
      <c r="W534" s="235">
        <v>11.198148727416999</v>
      </c>
      <c r="X534" s="235">
        <v>11.303442955017101</v>
      </c>
      <c r="Y534" s="235">
        <v>11.352322578430201</v>
      </c>
      <c r="AA534" s="276" t="e">
        <f t="shared" ref="AA534:AG534" si="79">AA533*GJ_p_MMBtu</f>
        <v>#NAME?</v>
      </c>
      <c r="AB534" s="276" t="e">
        <f t="shared" si="79"/>
        <v>#NAME?</v>
      </c>
      <c r="AC534" s="276" t="e">
        <f t="shared" si="79"/>
        <v>#NAME?</v>
      </c>
      <c r="AD534" s="276" t="e">
        <f t="shared" si="79"/>
        <v>#NAME?</v>
      </c>
      <c r="AE534" s="276" t="e">
        <f t="shared" si="79"/>
        <v>#NAME?</v>
      </c>
      <c r="AF534" s="276" t="e">
        <f t="shared" si="79"/>
        <v>#NAME?</v>
      </c>
      <c r="AG534" s="276" t="e">
        <f t="shared" si="79"/>
        <v>#NAME?</v>
      </c>
      <c r="AH534" s="276" t="e">
        <f t="shared" ref="AH534:BM534" si="80">AH533*GJ_p_MMBtu</f>
        <v>#NAME?</v>
      </c>
      <c r="AI534" s="276" t="e">
        <f t="shared" si="80"/>
        <v>#NAME?</v>
      </c>
      <c r="AJ534" s="276" t="e">
        <f t="shared" si="80"/>
        <v>#NAME?</v>
      </c>
      <c r="AK534" s="276" t="e">
        <f t="shared" si="80"/>
        <v>#NAME?</v>
      </c>
      <c r="AL534" s="276" t="e">
        <f t="shared" si="80"/>
        <v>#NAME?</v>
      </c>
      <c r="AM534" s="276" t="e">
        <f t="shared" si="80"/>
        <v>#NAME?</v>
      </c>
      <c r="AN534" s="276" t="e">
        <f t="shared" si="80"/>
        <v>#NAME?</v>
      </c>
      <c r="AO534" s="276" t="e">
        <f t="shared" si="80"/>
        <v>#NAME?</v>
      </c>
      <c r="AP534" s="276" t="e">
        <f t="shared" si="80"/>
        <v>#NAME?</v>
      </c>
      <c r="AQ534" s="276" t="e">
        <f t="shared" si="80"/>
        <v>#NAME?</v>
      </c>
      <c r="AR534" s="276" t="e">
        <f t="shared" si="80"/>
        <v>#NAME?</v>
      </c>
      <c r="AS534" s="276" t="e">
        <f t="shared" si="80"/>
        <v>#NAME?</v>
      </c>
      <c r="AT534" s="276" t="e">
        <f t="shared" si="80"/>
        <v>#NAME?</v>
      </c>
      <c r="AU534" s="276" t="e">
        <f t="shared" si="80"/>
        <v>#NAME?</v>
      </c>
      <c r="AV534" s="276" t="e">
        <f t="shared" si="80"/>
        <v>#NAME?</v>
      </c>
      <c r="AW534" s="276" t="e">
        <f t="shared" si="80"/>
        <v>#NAME?</v>
      </c>
      <c r="AX534" s="276" t="e">
        <f t="shared" si="80"/>
        <v>#NAME?</v>
      </c>
      <c r="AY534" s="276" t="e">
        <f t="shared" si="80"/>
        <v>#NAME?</v>
      </c>
      <c r="AZ534" s="276" t="e">
        <f t="shared" si="80"/>
        <v>#NAME?</v>
      </c>
      <c r="BA534" s="276" t="e">
        <f t="shared" si="80"/>
        <v>#NAME?</v>
      </c>
      <c r="BB534" s="276" t="e">
        <f t="shared" si="80"/>
        <v>#NAME?</v>
      </c>
      <c r="BC534" s="276" t="e">
        <f t="shared" si="80"/>
        <v>#NAME?</v>
      </c>
      <c r="BD534" s="276" t="e">
        <f t="shared" si="80"/>
        <v>#NAME?</v>
      </c>
      <c r="BE534" s="276" t="e">
        <f t="shared" si="80"/>
        <v>#NAME?</v>
      </c>
      <c r="BF534" s="276" t="e">
        <f t="shared" si="80"/>
        <v>#NAME?</v>
      </c>
      <c r="BG534" s="276" t="e">
        <f t="shared" si="80"/>
        <v>#NAME?</v>
      </c>
      <c r="BH534" s="276" t="e">
        <f t="shared" si="80"/>
        <v>#NAME?</v>
      </c>
      <c r="BI534" s="276" t="e">
        <f t="shared" si="80"/>
        <v>#NAME?</v>
      </c>
      <c r="BJ534" s="276" t="e">
        <f t="shared" si="80"/>
        <v>#NAME?</v>
      </c>
      <c r="BK534" s="276" t="e">
        <f t="shared" si="80"/>
        <v>#NAME?</v>
      </c>
      <c r="BL534" s="276" t="e">
        <f t="shared" si="80"/>
        <v>#NAME?</v>
      </c>
      <c r="BM534" s="276" t="e">
        <f t="shared" si="80"/>
        <v>#NAME?</v>
      </c>
      <c r="BN534" s="276" t="e">
        <f>BN533*GJ_p_MMBtu</f>
        <v>#NAME?</v>
      </c>
      <c r="BO534" s="276" t="e">
        <f>BO533*GJ_p_MMBtu</f>
        <v>#NAME?</v>
      </c>
      <c r="BP534" s="276" t="e">
        <f>BP533*GJ_p_MMBtu</f>
        <v>#NAME?</v>
      </c>
      <c r="BQ534" s="276" t="e">
        <f>BQ533*GJ_p_MMBtu</f>
        <v>#NAME?</v>
      </c>
      <c r="BR534" s="276" t="e">
        <f>BR533*GJ_p_MMBtu</f>
        <v>#NAME?</v>
      </c>
    </row>
    <row r="535" spans="1:70" ht="51" customHeight="1">
      <c r="A535" s="231" t="s">
        <v>479</v>
      </c>
      <c r="B535" s="235">
        <v>3.9384419918060298</v>
      </c>
      <c r="C535" s="235">
        <v>4.5867881774902299</v>
      </c>
      <c r="D535" s="235">
        <v>4.6800308227539098</v>
      </c>
      <c r="E535" s="235">
        <v>4.9388971328735396</v>
      </c>
      <c r="F535" s="235">
        <v>4.6724338531494096</v>
      </c>
      <c r="G535" s="235">
        <v>4.2573971748352104</v>
      </c>
      <c r="H535" s="235">
        <v>4.0660681724548304</v>
      </c>
      <c r="I535" s="235">
        <v>3.9201312065124498</v>
      </c>
      <c r="J535" s="235">
        <v>3.8699574470520002</v>
      </c>
      <c r="K535" s="235">
        <v>3.9242179393768302</v>
      </c>
      <c r="L535" s="235">
        <v>3.9701111316680899</v>
      </c>
      <c r="M535" s="235">
        <v>4.0123748779296902</v>
      </c>
      <c r="N535" s="235">
        <v>4.03127193450928</v>
      </c>
      <c r="O535" s="235">
        <v>4.0987625122070304</v>
      </c>
      <c r="P535" s="235">
        <v>4.1393604278564498</v>
      </c>
      <c r="Q535" s="235">
        <v>4.1877317428588903</v>
      </c>
      <c r="R535" s="235">
        <v>4.2278647422790501</v>
      </c>
      <c r="S535" s="235">
        <v>4.2813539505004901</v>
      </c>
      <c r="T535" s="235">
        <v>4.3376803398132298</v>
      </c>
      <c r="U535" s="235">
        <v>4.4096555709838903</v>
      </c>
      <c r="V535" s="235">
        <v>4.4638853073120099</v>
      </c>
      <c r="W535" s="235">
        <v>4.5156707763671902</v>
      </c>
      <c r="X535" s="235">
        <v>4.5648870468139604</v>
      </c>
      <c r="Y535" s="235">
        <v>4.6165790557861301</v>
      </c>
      <c r="AA535" s="235"/>
      <c r="AB535" s="235"/>
      <c r="AC535" s="235"/>
      <c r="AD535" s="235"/>
      <c r="AE535" s="235"/>
      <c r="AF535" s="235"/>
      <c r="AG535" s="235"/>
      <c r="AH535" s="235"/>
    </row>
    <row r="536" spans="1:70">
      <c r="A536" s="253" t="s">
        <v>482</v>
      </c>
      <c r="B536" s="235">
        <v>3.88655662536621</v>
      </c>
      <c r="C536" s="235">
        <v>5.55936574935913</v>
      </c>
      <c r="D536" s="235">
        <v>6.0491561889648402</v>
      </c>
      <c r="E536" s="235">
        <v>6.0767245292663601</v>
      </c>
      <c r="F536" s="235">
        <v>5.4288315773010298</v>
      </c>
      <c r="G536" s="235">
        <v>4.9784579277038601</v>
      </c>
      <c r="H536" s="235">
        <v>4.6095819473266602</v>
      </c>
      <c r="I536" s="235">
        <v>4.5152282714843803</v>
      </c>
      <c r="J536" s="235">
        <v>4.3734540939331099</v>
      </c>
      <c r="K536" s="235">
        <v>4.3719940185546902</v>
      </c>
      <c r="L536" s="235">
        <v>4.4435229301452601</v>
      </c>
      <c r="M536" s="235">
        <v>4.5411396026611301</v>
      </c>
      <c r="N536" s="235">
        <v>4.7005810737609899</v>
      </c>
      <c r="O536" s="235">
        <v>4.81768798828125</v>
      </c>
      <c r="P536" s="235">
        <v>4.7900476455688503</v>
      </c>
      <c r="Q536" s="235">
        <v>4.8231658935546902</v>
      </c>
      <c r="R536" s="235">
        <v>4.9558763504028303</v>
      </c>
      <c r="S536" s="235">
        <v>5.1147346496581996</v>
      </c>
      <c r="T536" s="235">
        <v>5.2329874038696298</v>
      </c>
      <c r="U536" s="235">
        <v>5.3250308036804199</v>
      </c>
      <c r="V536" s="235">
        <v>5.3559622764587402</v>
      </c>
      <c r="W536" s="235">
        <v>5.3499736785888699</v>
      </c>
      <c r="X536" s="235">
        <v>5.4079699516296396</v>
      </c>
      <c r="Y536" s="235">
        <v>5.4724006652831996</v>
      </c>
      <c r="Z536" s="261">
        <f>Y536+($AI$366-$Y$536)/10</f>
        <v>5.502911815190215</v>
      </c>
    </row>
    <row r="537" spans="1:70">
      <c r="A537" s="231" t="s">
        <v>483</v>
      </c>
      <c r="B537" s="235">
        <v>1.88388228416443</v>
      </c>
      <c r="C537" s="235">
        <v>1.8499996662139899</v>
      </c>
      <c r="D537" s="235">
        <v>1.9631321430206301</v>
      </c>
      <c r="E537" s="235">
        <v>1.9065624475479099</v>
      </c>
      <c r="F537" s="235">
        <v>1.8876701593398999</v>
      </c>
      <c r="G537" s="235">
        <v>1.8568421602249101</v>
      </c>
      <c r="H537" s="235">
        <v>1.8503668308258101</v>
      </c>
      <c r="I537" s="235">
        <v>1.8461718559265099</v>
      </c>
      <c r="J537" s="235">
        <v>1.81827020645142</v>
      </c>
      <c r="K537" s="235">
        <v>1.79229772090912</v>
      </c>
      <c r="L537" s="235">
        <v>1.7775920629501301</v>
      </c>
      <c r="M537" s="235">
        <v>1.7720992565155</v>
      </c>
      <c r="N537" s="235">
        <v>1.7673192024230999</v>
      </c>
      <c r="O537" s="235">
        <v>1.76388168334961</v>
      </c>
      <c r="P537" s="235">
        <v>1.7582092285156301</v>
      </c>
      <c r="Q537" s="235">
        <v>1.7531107664108301</v>
      </c>
      <c r="R537" s="235">
        <v>1.7537478208541899</v>
      </c>
      <c r="S537" s="235">
        <v>1.7550060749053999</v>
      </c>
      <c r="T537" s="235">
        <v>1.75110328197479</v>
      </c>
      <c r="U537" s="235">
        <v>1.741095662117</v>
      </c>
      <c r="V537" s="235">
        <v>1.72283828258514</v>
      </c>
      <c r="W537" s="235">
        <v>1.7066173553466799</v>
      </c>
      <c r="X537" s="235">
        <v>1.6973831653595</v>
      </c>
      <c r="Y537" s="235">
        <v>1.68216860294342</v>
      </c>
    </row>
    <row r="538" spans="1:70">
      <c r="A538" s="231" t="s">
        <v>484</v>
      </c>
      <c r="B538" s="235">
        <v>1.5976041555404701</v>
      </c>
      <c r="C538" s="235">
        <v>1.5543407201767001</v>
      </c>
      <c r="D538" s="235">
        <v>1.5665656328201301</v>
      </c>
      <c r="E538" s="235">
        <v>1.6037170886993399</v>
      </c>
      <c r="F538" s="235">
        <v>1.59409379959106</v>
      </c>
      <c r="G538" s="235">
        <v>1.5766631364822401</v>
      </c>
      <c r="H538" s="235">
        <v>1.5775339603424099</v>
      </c>
      <c r="I538" s="235">
        <v>1.5708864927291899</v>
      </c>
      <c r="J538" s="235">
        <v>1.5649564266204801</v>
      </c>
      <c r="K538" s="235">
        <v>1.56413578987122</v>
      </c>
      <c r="L538" s="235">
        <v>1.5547889471054099</v>
      </c>
      <c r="M538" s="235">
        <v>1.54732978343964</v>
      </c>
      <c r="N538" s="235">
        <v>1.54787278175354</v>
      </c>
      <c r="O538" s="235">
        <v>1.5495419502258301</v>
      </c>
      <c r="P538" s="235">
        <v>1.5494637489318801</v>
      </c>
      <c r="Q538" s="235">
        <v>1.5568271875381501</v>
      </c>
      <c r="R538" s="235">
        <v>1.55967605113983</v>
      </c>
      <c r="S538" s="235">
        <v>1.5613601207733201</v>
      </c>
      <c r="T538" s="235">
        <v>1.5625598430633501</v>
      </c>
      <c r="U538" s="235">
        <v>1.5681461095809901</v>
      </c>
      <c r="V538" s="235">
        <v>1.5708984136581401</v>
      </c>
      <c r="W538" s="235">
        <v>1.6035954952239999</v>
      </c>
      <c r="X538" s="235">
        <v>1.60524129867554</v>
      </c>
      <c r="Y538" s="235">
        <v>1.6024739742279099</v>
      </c>
    </row>
    <row r="539" spans="1:70">
      <c r="A539" s="254" t="s">
        <v>477</v>
      </c>
      <c r="B539" s="235">
        <v>14.734835624694799</v>
      </c>
      <c r="C539" s="235">
        <v>15.0261535644531</v>
      </c>
      <c r="D539" s="235">
        <v>15.7151737213135</v>
      </c>
      <c r="E539" s="235">
        <v>15.5977983474731</v>
      </c>
      <c r="F539" s="235">
        <v>15.0554456710815</v>
      </c>
      <c r="G539" s="235">
        <v>14.415571212768601</v>
      </c>
      <c r="H539" s="235">
        <v>14.123340606689499</v>
      </c>
      <c r="I539" s="235">
        <v>14.033378601074199</v>
      </c>
      <c r="J539" s="235">
        <v>13.8423414230347</v>
      </c>
      <c r="K539" s="235">
        <v>13.6992740631104</v>
      </c>
      <c r="L539" s="235">
        <v>13.8484916687012</v>
      </c>
      <c r="M539" s="235">
        <v>14.089280128479</v>
      </c>
      <c r="N539" s="235">
        <v>14.438159942626999</v>
      </c>
      <c r="O539" s="235">
        <v>14.622407913208001</v>
      </c>
      <c r="P539" s="235">
        <v>14.680962562561</v>
      </c>
      <c r="Q539" s="235">
        <v>14.817166328430201</v>
      </c>
      <c r="R539" s="235">
        <v>15.035754203796399</v>
      </c>
      <c r="S539" s="235">
        <v>15.3131446838379</v>
      </c>
      <c r="T539" s="235">
        <v>15.467190742492701</v>
      </c>
      <c r="U539" s="235">
        <v>15.608844757080099</v>
      </c>
      <c r="V539" s="235">
        <v>15.623446464538601</v>
      </c>
      <c r="W539" s="235">
        <v>15.6070909500122</v>
      </c>
      <c r="X539" s="235">
        <v>15.6627254486084</v>
      </c>
      <c r="Y539" s="235">
        <v>15.7515544891357</v>
      </c>
      <c r="Z539" s="263">
        <f>Y539+($AI$369-$Y$539)/10</f>
        <v>15.681619149325263</v>
      </c>
    </row>
    <row r="540" spans="1:70">
      <c r="A540" s="231" t="s">
        <v>438</v>
      </c>
      <c r="B540" s="235" t="s">
        <v>438</v>
      </c>
      <c r="C540" s="235" t="s">
        <v>438</v>
      </c>
      <c r="D540" s="235" t="s">
        <v>438</v>
      </c>
      <c r="E540" s="235" t="s">
        <v>438</v>
      </c>
      <c r="F540" s="235" t="s">
        <v>438</v>
      </c>
      <c r="G540" s="235" t="s">
        <v>438</v>
      </c>
      <c r="H540" s="235" t="s">
        <v>438</v>
      </c>
      <c r="I540" s="235" t="s">
        <v>438</v>
      </c>
      <c r="J540" s="235" t="s">
        <v>438</v>
      </c>
      <c r="K540" s="235" t="s">
        <v>438</v>
      </c>
      <c r="L540" s="235" t="s">
        <v>438</v>
      </c>
      <c r="M540" s="235" t="s">
        <v>438</v>
      </c>
      <c r="N540" s="235" t="s">
        <v>438</v>
      </c>
      <c r="O540" s="235" t="s">
        <v>438</v>
      </c>
      <c r="P540" s="235" t="s">
        <v>438</v>
      </c>
      <c r="Q540" s="235" t="s">
        <v>438</v>
      </c>
      <c r="R540" s="235" t="s">
        <v>438</v>
      </c>
      <c r="S540" s="235" t="s">
        <v>438</v>
      </c>
      <c r="T540" s="235" t="s">
        <v>438</v>
      </c>
      <c r="U540" s="235" t="s">
        <v>438</v>
      </c>
      <c r="V540" s="235" t="s">
        <v>438</v>
      </c>
      <c r="W540" s="235" t="s">
        <v>438</v>
      </c>
      <c r="X540" s="235" t="s">
        <v>438</v>
      </c>
      <c r="Y540" s="235" t="s">
        <v>438</v>
      </c>
    </row>
    <row r="541" spans="1:70">
      <c r="A541" s="231" t="s">
        <v>485</v>
      </c>
      <c r="B541" s="235">
        <v>10.068477630615201</v>
      </c>
      <c r="C541" s="235">
        <v>11.4567165374756</v>
      </c>
      <c r="D541" s="235">
        <v>12.984972000122101</v>
      </c>
      <c r="E541" s="235">
        <v>12.646059036254901</v>
      </c>
      <c r="F541" s="235">
        <v>12.0215864181519</v>
      </c>
      <c r="G541" s="235">
        <v>11.451254844665501</v>
      </c>
      <c r="H541" s="235">
        <v>11.2903280258179</v>
      </c>
      <c r="I541" s="235">
        <v>11.054517745971699</v>
      </c>
      <c r="J541" s="235">
        <v>10.953487396240201</v>
      </c>
      <c r="K541" s="235">
        <v>10.9616088867188</v>
      </c>
      <c r="L541" s="235">
        <v>10.9120273590088</v>
      </c>
      <c r="M541" s="235">
        <v>10.9370317459106</v>
      </c>
      <c r="N541" s="235">
        <v>10.932166099548301</v>
      </c>
      <c r="O541" s="235">
        <v>10.949841499328601</v>
      </c>
      <c r="P541" s="235">
        <v>10.9948740005493</v>
      </c>
      <c r="Q541" s="235">
        <v>11.046938896179199</v>
      </c>
      <c r="R541" s="235">
        <v>11.074780464172401</v>
      </c>
      <c r="S541" s="235">
        <v>11.117128372192401</v>
      </c>
      <c r="T541" s="235">
        <v>11.155697822570801</v>
      </c>
      <c r="U541" s="235">
        <v>11.209436416626</v>
      </c>
      <c r="V541" s="235">
        <v>11.2737817764282</v>
      </c>
      <c r="W541" s="235">
        <v>11.3331050872803</v>
      </c>
      <c r="X541" s="235">
        <v>11.350456237793001</v>
      </c>
      <c r="Y541" s="235">
        <v>11.462995529174799</v>
      </c>
    </row>
    <row r="542" spans="1:70">
      <c r="A542" s="231" t="s">
        <v>481</v>
      </c>
      <c r="B542" s="235">
        <v>10.0396184921265</v>
      </c>
      <c r="C542" s="235">
        <v>11.4297380447388</v>
      </c>
      <c r="D542" s="235">
        <v>12.961000442504901</v>
      </c>
      <c r="E542" s="235">
        <v>12.6219329833984</v>
      </c>
      <c r="F542" s="235">
        <v>11.9984340667725</v>
      </c>
      <c r="G542" s="235">
        <v>11.4290685653687</v>
      </c>
      <c r="H542" s="235">
        <v>11.2685947418213</v>
      </c>
      <c r="I542" s="235">
        <v>11.0320892333984</v>
      </c>
      <c r="J542" s="235">
        <v>10.930870056152299</v>
      </c>
      <c r="K542" s="235">
        <v>10.938961982727101</v>
      </c>
      <c r="L542" s="235">
        <v>10.8886499404907</v>
      </c>
      <c r="M542" s="235">
        <v>10.913072586059601</v>
      </c>
      <c r="N542" s="235">
        <v>10.9073333740234</v>
      </c>
      <c r="O542" s="235">
        <v>10.9247722625732</v>
      </c>
      <c r="P542" s="235">
        <v>10.969937324523899</v>
      </c>
      <c r="Q542" s="235">
        <v>11.021965980529799</v>
      </c>
      <c r="R542" s="235">
        <v>11.049379348754901</v>
      </c>
      <c r="S542" s="235">
        <v>11.0911350250244</v>
      </c>
      <c r="T542" s="235">
        <v>11.129392623901399</v>
      </c>
      <c r="U542" s="235">
        <v>11.182910919189499</v>
      </c>
      <c r="V542" s="235">
        <v>11.247509956359901</v>
      </c>
      <c r="W542" s="235">
        <v>11.307147026061999</v>
      </c>
      <c r="X542" s="235">
        <v>11.324338912963899</v>
      </c>
      <c r="Y542" s="235">
        <v>11.436959266662599</v>
      </c>
    </row>
    <row r="543" spans="1:70">
      <c r="A543" s="231" t="s">
        <v>473</v>
      </c>
      <c r="B543" s="235">
        <v>10.0409812927246</v>
      </c>
      <c r="C543" s="235">
        <v>11.431476593017599</v>
      </c>
      <c r="D543" s="235">
        <v>12.9638833999634</v>
      </c>
      <c r="E543" s="235">
        <v>12.6248769760132</v>
      </c>
      <c r="F543" s="235">
        <v>12.0015964508057</v>
      </c>
      <c r="G543" s="235">
        <v>11.432228088378899</v>
      </c>
      <c r="H543" s="235">
        <v>11.2722625732422</v>
      </c>
      <c r="I543" s="235">
        <v>11.0358724594116</v>
      </c>
      <c r="J543" s="235">
        <v>10.934929847717299</v>
      </c>
      <c r="K543" s="235">
        <v>10.9432172775269</v>
      </c>
      <c r="L543" s="235">
        <v>10.892875671386699</v>
      </c>
      <c r="M543" s="235">
        <v>10.9173030853271</v>
      </c>
      <c r="N543" s="235">
        <v>10.911340713501</v>
      </c>
      <c r="O543" s="235">
        <v>10.928663253784199</v>
      </c>
      <c r="P543" s="235">
        <v>10.9740562438965</v>
      </c>
      <c r="Q543" s="235">
        <v>11.026309967041</v>
      </c>
      <c r="R543" s="235">
        <v>11.0536193847656</v>
      </c>
      <c r="S543" s="235">
        <v>11.0952548980713</v>
      </c>
      <c r="T543" s="235">
        <v>11.1333513259888</v>
      </c>
      <c r="U543" s="235">
        <v>11.1867895126343</v>
      </c>
      <c r="V543" s="235">
        <v>11.251508712768601</v>
      </c>
      <c r="W543" s="235">
        <v>11.3113117218018</v>
      </c>
      <c r="X543" s="235">
        <v>11.328408241271999</v>
      </c>
      <c r="Y543" s="235">
        <v>11.4412240982056</v>
      </c>
    </row>
    <row r="544" spans="1:70">
      <c r="A544" s="258" t="s">
        <v>486</v>
      </c>
      <c r="B544" s="235">
        <v>9.5535230636596697</v>
      </c>
      <c r="C544" s="235">
        <v>10.9202365875244</v>
      </c>
      <c r="D544" s="235">
        <v>12.0208587646484</v>
      </c>
      <c r="E544" s="235">
        <v>11.5461339950562</v>
      </c>
      <c r="F544" s="235">
        <v>11.286841392517101</v>
      </c>
      <c r="G544" s="235">
        <v>11.003821372985801</v>
      </c>
      <c r="H544" s="235">
        <v>10.8476676940918</v>
      </c>
      <c r="I544" s="235">
        <v>10.675346374511699</v>
      </c>
      <c r="J544" s="235">
        <v>10.7599039077759</v>
      </c>
      <c r="K544" s="235">
        <v>10.8244476318359</v>
      </c>
      <c r="L544" s="235">
        <v>10.807107925415</v>
      </c>
      <c r="M544" s="235">
        <v>10.788902282714799</v>
      </c>
      <c r="N544" s="235">
        <v>10.7359352111816</v>
      </c>
      <c r="O544" s="235">
        <v>10.7108716964722</v>
      </c>
      <c r="P544" s="235">
        <v>10.6978845596313</v>
      </c>
      <c r="Q544" s="235">
        <v>10.720422744751</v>
      </c>
      <c r="R544" s="235">
        <v>10.715018272399901</v>
      </c>
      <c r="S544" s="235">
        <v>10.7237329483032</v>
      </c>
      <c r="T544" s="235">
        <v>10.658562660217299</v>
      </c>
      <c r="U544" s="235">
        <v>10.6896152496338</v>
      </c>
      <c r="V544" s="235">
        <v>10.7133436203003</v>
      </c>
      <c r="W544" s="235">
        <v>10.6396188735962</v>
      </c>
      <c r="X544" s="235">
        <v>10.6814889907837</v>
      </c>
      <c r="Y544" s="235">
        <v>10.8466644287109</v>
      </c>
      <c r="Z544" s="265">
        <f>Y544+($AI$374-$Y$544)/10</f>
        <v>11.215393895691953</v>
      </c>
    </row>
    <row r="545" spans="1:26">
      <c r="A545" s="231" t="s">
        <v>487</v>
      </c>
      <c r="B545" s="235">
        <v>6.0538434982299796</v>
      </c>
      <c r="C545" s="235">
        <v>6.4578518867492702</v>
      </c>
      <c r="D545" s="235">
        <v>8.1168746948242205</v>
      </c>
      <c r="E545" s="235">
        <v>7.6875572204589799</v>
      </c>
      <c r="F545" s="235">
        <v>7.0150871276855504</v>
      </c>
      <c r="G545" s="235">
        <v>6.5790328979492196</v>
      </c>
      <c r="H545" s="235">
        <v>6.5712537765502903</v>
      </c>
      <c r="I545" s="235">
        <v>6.42602443695068</v>
      </c>
      <c r="J545" s="235">
        <v>6.2476048469543501</v>
      </c>
      <c r="K545" s="235">
        <v>6.2184038162231401</v>
      </c>
      <c r="L545" s="235">
        <v>6.2436552047729501</v>
      </c>
      <c r="M545" s="235">
        <v>6.2858424186706499</v>
      </c>
      <c r="N545" s="235">
        <v>6.2737250328064</v>
      </c>
      <c r="O545" s="235">
        <v>6.2926135063171396</v>
      </c>
      <c r="P545" s="235">
        <v>6.3336305618286097</v>
      </c>
      <c r="Q545" s="235">
        <v>6.3623290061950701</v>
      </c>
      <c r="R545" s="235">
        <v>6.4419050216674796</v>
      </c>
      <c r="S545" s="235">
        <v>6.5377755165100098</v>
      </c>
      <c r="T545" s="235">
        <v>6.5789065361022896</v>
      </c>
      <c r="U545" s="235">
        <v>6.7034192085266104</v>
      </c>
      <c r="V545" s="235">
        <v>6.8036813735961896</v>
      </c>
      <c r="W545" s="235">
        <v>6.8691210746765101</v>
      </c>
      <c r="X545" s="235">
        <v>6.8930430412292498</v>
      </c>
      <c r="Y545" s="235">
        <v>6.9258189201354998</v>
      </c>
    </row>
    <row r="546" spans="1:26">
      <c r="A546" s="258" t="s">
        <v>488</v>
      </c>
      <c r="B546" s="235">
        <v>11.3207235336304</v>
      </c>
      <c r="C546" s="235">
        <v>12.9284992218018</v>
      </c>
      <c r="D546" s="235">
        <v>14.6530704498291</v>
      </c>
      <c r="E546" s="235">
        <v>14.346965789794901</v>
      </c>
      <c r="F546" s="235">
        <v>13.634911537170399</v>
      </c>
      <c r="G546" s="235">
        <v>12.9354457855225</v>
      </c>
      <c r="H546" s="235">
        <v>12.7248182296753</v>
      </c>
      <c r="I546" s="235">
        <v>12.444727897644</v>
      </c>
      <c r="J546" s="235">
        <v>12.3216390609741</v>
      </c>
      <c r="K546" s="235">
        <v>12.333900451660201</v>
      </c>
      <c r="L546" s="235">
        <v>12.228641510009799</v>
      </c>
      <c r="M546" s="235">
        <v>12.2244319915771</v>
      </c>
      <c r="N546" s="235">
        <v>12.232741355896</v>
      </c>
      <c r="O546" s="235">
        <v>12.2594261169434</v>
      </c>
      <c r="P546" s="235">
        <v>12.3207359313965</v>
      </c>
      <c r="Q546" s="235">
        <v>12.3872022628784</v>
      </c>
      <c r="R546" s="235">
        <v>12.4125566482544</v>
      </c>
      <c r="S546" s="235">
        <v>12.451280593872101</v>
      </c>
      <c r="T546" s="235">
        <v>12.520702362060501</v>
      </c>
      <c r="U546" s="235">
        <v>12.5581102371216</v>
      </c>
      <c r="V546" s="235">
        <v>12.622034072876</v>
      </c>
      <c r="W546" s="235">
        <v>12.7203483581543</v>
      </c>
      <c r="X546" s="235">
        <v>12.7153625488281</v>
      </c>
      <c r="Y546" s="235">
        <v>12.8139133453369</v>
      </c>
      <c r="Z546" s="265">
        <f>Y546+($AI$376-$Y$546)/10</f>
        <v>13.239838295522954</v>
      </c>
    </row>
    <row r="547" spans="1:26">
      <c r="A547" s="231" t="s">
        <v>479</v>
      </c>
      <c r="B547" s="235">
        <v>3.83150410652161</v>
      </c>
      <c r="C547" s="235">
        <v>4.4939312934875497</v>
      </c>
      <c r="D547" s="235">
        <v>4.5839381217956499</v>
      </c>
      <c r="E547" s="235">
        <v>4.8374905586242702</v>
      </c>
      <c r="F547" s="235">
        <v>4.5451078414917001</v>
      </c>
      <c r="G547" s="235">
        <v>4.1204147338867196</v>
      </c>
      <c r="H547" s="235">
        <v>3.9213058948516801</v>
      </c>
      <c r="I547" s="235">
        <v>3.7859048843383798</v>
      </c>
      <c r="J547" s="235">
        <v>3.7380118370056201</v>
      </c>
      <c r="K547" s="235">
        <v>3.79148626327515</v>
      </c>
      <c r="L547" s="235">
        <v>3.8454215526580802</v>
      </c>
      <c r="M547" s="235">
        <v>3.8996179103851301</v>
      </c>
      <c r="N547" s="235">
        <v>3.9557838439941402</v>
      </c>
      <c r="O547" s="235">
        <v>4.0096635818481401</v>
      </c>
      <c r="P547" s="235">
        <v>4.0587000846862802</v>
      </c>
      <c r="Q547" s="235">
        <v>4.1115031242370597</v>
      </c>
      <c r="R547" s="235">
        <v>4.1679596900939897</v>
      </c>
      <c r="S547" s="235">
        <v>4.2270021438598597</v>
      </c>
      <c r="T547" s="235">
        <v>4.2823433876037598</v>
      </c>
      <c r="U547" s="235">
        <v>4.3368558883667001</v>
      </c>
      <c r="V547" s="235">
        <v>4.3924484252929696</v>
      </c>
      <c r="W547" s="235">
        <v>4.4465680122375497</v>
      </c>
      <c r="X547" s="235">
        <v>4.5027370452880904</v>
      </c>
      <c r="Y547" s="235">
        <v>4.5619544982910201</v>
      </c>
    </row>
    <row r="548" spans="1:26">
      <c r="A548" s="231" t="s">
        <v>489</v>
      </c>
      <c r="B548" s="235">
        <v>15.146578788757299</v>
      </c>
      <c r="C548" s="235">
        <v>16.654964447021499</v>
      </c>
      <c r="D548" s="235">
        <v>20.603065490722699</v>
      </c>
      <c r="E548" s="235">
        <v>20.419296264648398</v>
      </c>
      <c r="F548" s="235">
        <v>16.382719039916999</v>
      </c>
      <c r="G548" s="235">
        <v>15.8189392089844</v>
      </c>
      <c r="H548" s="235">
        <v>15.6014108657837</v>
      </c>
      <c r="I548" s="235">
        <v>15.311073303222701</v>
      </c>
      <c r="J548" s="235">
        <v>15.2448682785034</v>
      </c>
      <c r="K548" s="235">
        <v>15.179443359375</v>
      </c>
      <c r="L548" s="235">
        <v>15.2014074325562</v>
      </c>
      <c r="M548" s="235">
        <v>15.2481698989868</v>
      </c>
      <c r="N548" s="235">
        <v>15.181710243225099</v>
      </c>
      <c r="O548" s="235">
        <v>15.278540611267101</v>
      </c>
      <c r="P548" s="235">
        <v>15.3825387954712</v>
      </c>
      <c r="Q548" s="235">
        <v>15.370577812194799</v>
      </c>
      <c r="R548" s="235">
        <v>15.3893880844116</v>
      </c>
      <c r="S548" s="235">
        <v>15.510032653808601</v>
      </c>
      <c r="T548" s="235">
        <v>15.6597127914429</v>
      </c>
      <c r="U548" s="235">
        <v>15.774450302124</v>
      </c>
      <c r="V548" s="235">
        <v>15.847083091735801</v>
      </c>
      <c r="W548" s="235">
        <v>16.037206649780298</v>
      </c>
      <c r="X548" s="235">
        <v>16.107362747192401</v>
      </c>
      <c r="Y548" s="235">
        <v>16.244932174682599</v>
      </c>
    </row>
    <row r="549" spans="1:26">
      <c r="A549" s="231" t="s">
        <v>490</v>
      </c>
      <c r="B549" s="235">
        <v>7.2317700386047399</v>
      </c>
      <c r="C549" s="235">
        <v>9.0444478988647496</v>
      </c>
      <c r="D549" s="235">
        <v>9.7142534255981392</v>
      </c>
      <c r="E549" s="235">
        <v>9.7951860427856392</v>
      </c>
      <c r="F549" s="235">
        <v>9.2951183319091797</v>
      </c>
      <c r="G549" s="235">
        <v>8.9833269119262695</v>
      </c>
      <c r="H549" s="235">
        <v>8.7195968627929705</v>
      </c>
      <c r="I549" s="235">
        <v>8.6326360702514595</v>
      </c>
      <c r="J549" s="235">
        <v>8.5613536834716797</v>
      </c>
      <c r="K549" s="235">
        <v>8.6190090179443395</v>
      </c>
      <c r="L549" s="235">
        <v>8.7080965042114293</v>
      </c>
      <c r="M549" s="235">
        <v>8.8271207809448207</v>
      </c>
      <c r="N549" s="235">
        <v>8.9910020828247106</v>
      </c>
      <c r="O549" s="235">
        <v>9.1132879257202095</v>
      </c>
      <c r="P549" s="235">
        <v>9.1042909622192401</v>
      </c>
      <c r="Q549" s="235">
        <v>9.1039905548095703</v>
      </c>
      <c r="R549" s="235">
        <v>9.2009325027465803</v>
      </c>
      <c r="S549" s="235">
        <v>9.3432521820068395</v>
      </c>
      <c r="T549" s="235">
        <v>9.4465293884277308</v>
      </c>
      <c r="U549" s="235">
        <v>9.5402717590331996</v>
      </c>
      <c r="V549" s="235">
        <v>9.5791873931884801</v>
      </c>
      <c r="W549" s="235">
        <v>9.5845136642456108</v>
      </c>
      <c r="X549" s="235">
        <v>9.6436891555786097</v>
      </c>
      <c r="Y549" s="235">
        <v>9.694091796875</v>
      </c>
    </row>
    <row r="550" spans="1:26">
      <c r="A550" s="260" t="s">
        <v>495</v>
      </c>
      <c r="B550" s="235">
        <v>14.6543264389038</v>
      </c>
      <c r="C550" s="235">
        <v>16.232709884643601</v>
      </c>
      <c r="D550" s="235">
        <v>19.6646022796631</v>
      </c>
      <c r="E550" s="235">
        <v>19.5902194976807</v>
      </c>
      <c r="F550" s="235">
        <v>19.473403930664102</v>
      </c>
      <c r="G550" s="235">
        <v>18.312351226806602</v>
      </c>
      <c r="H550" s="235">
        <v>18.154972076416001</v>
      </c>
      <c r="I550" s="235">
        <v>17.744245529174801</v>
      </c>
      <c r="J550" s="235">
        <v>17.108533859252901</v>
      </c>
      <c r="K550" s="235">
        <v>16.985416412353501</v>
      </c>
      <c r="L550" s="235">
        <v>16.891477584838899</v>
      </c>
      <c r="M550" s="235">
        <v>17.106473922729499</v>
      </c>
      <c r="N550" s="235">
        <v>17.298709869384801</v>
      </c>
      <c r="O550" s="235">
        <v>17.370653152465799</v>
      </c>
      <c r="P550" s="235">
        <v>17.404756546020501</v>
      </c>
      <c r="Q550" s="235">
        <v>17.4316711425781</v>
      </c>
      <c r="R550" s="235">
        <v>17.495216369628899</v>
      </c>
      <c r="S550" s="235">
        <v>17.111986160278299</v>
      </c>
      <c r="T550" s="235">
        <v>17.221326828002901</v>
      </c>
      <c r="U550" s="235">
        <v>17.6731853485107</v>
      </c>
      <c r="V550" s="235">
        <v>17.676996231079102</v>
      </c>
      <c r="W550" s="235">
        <v>17.866504669189499</v>
      </c>
      <c r="X550" s="235">
        <v>17.993064880371101</v>
      </c>
      <c r="Y550" s="235">
        <v>18.128524780273398</v>
      </c>
      <c r="Z550" s="267">
        <f>Y550+($AI$380-$Y$550)/10</f>
        <v>18.036478922002154</v>
      </c>
    </row>
    <row r="551" spans="1:26">
      <c r="A551" s="231" t="s">
        <v>477</v>
      </c>
      <c r="B551" s="235">
        <v>20.034517288208001</v>
      </c>
      <c r="C551" s="235">
        <v>20.636144638061499</v>
      </c>
      <c r="D551" s="235">
        <v>21.1998176574707</v>
      </c>
      <c r="E551" s="235">
        <v>20.923387527465799</v>
      </c>
      <c r="F551" s="235">
        <v>19.967187881469702</v>
      </c>
      <c r="G551" s="235">
        <v>19.089002609252901</v>
      </c>
      <c r="H551" s="235">
        <v>18.799640655517599</v>
      </c>
      <c r="I551" s="235">
        <v>18.828804016113299</v>
      </c>
      <c r="J551" s="235">
        <v>18.807792663574201</v>
      </c>
      <c r="K551" s="235">
        <v>18.831340789794901</v>
      </c>
      <c r="L551" s="235">
        <v>19.0241508483887</v>
      </c>
      <c r="M551" s="235">
        <v>19.232509613037099</v>
      </c>
      <c r="N551" s="235">
        <v>19.521226882934599</v>
      </c>
      <c r="O551" s="235">
        <v>19.590469360351602</v>
      </c>
      <c r="P551" s="235">
        <v>19.544775009155298</v>
      </c>
      <c r="Q551" s="235">
        <v>19.5792236328125</v>
      </c>
      <c r="R551" s="235">
        <v>19.706111907958999</v>
      </c>
      <c r="S551" s="235">
        <v>19.899772644043001</v>
      </c>
      <c r="T551" s="235">
        <v>19.988050460815401</v>
      </c>
      <c r="U551" s="235">
        <v>20.054973602294901</v>
      </c>
      <c r="V551" s="235">
        <v>19.979206085205099</v>
      </c>
      <c r="W551" s="235">
        <v>19.890190124511701</v>
      </c>
      <c r="X551" s="235">
        <v>19.9172687530518</v>
      </c>
      <c r="Y551" s="235">
        <v>19.9590148925781</v>
      </c>
    </row>
    <row r="552" spans="1:26">
      <c r="A552" s="231" t="s">
        <v>438</v>
      </c>
      <c r="B552" s="235" t="s">
        <v>438</v>
      </c>
      <c r="C552" s="235" t="s">
        <v>438</v>
      </c>
      <c r="D552" s="235" t="s">
        <v>438</v>
      </c>
      <c r="E552" s="235" t="s">
        <v>438</v>
      </c>
      <c r="F552" s="235" t="s">
        <v>438</v>
      </c>
      <c r="G552" s="235" t="s">
        <v>438</v>
      </c>
      <c r="H552" s="235" t="s">
        <v>438</v>
      </c>
      <c r="I552" s="235" t="s">
        <v>438</v>
      </c>
      <c r="J552" s="235" t="s">
        <v>438</v>
      </c>
      <c r="K552" s="235" t="s">
        <v>438</v>
      </c>
      <c r="L552" s="235" t="s">
        <v>438</v>
      </c>
      <c r="M552" s="235" t="s">
        <v>438</v>
      </c>
      <c r="N552" s="235" t="s">
        <v>438</v>
      </c>
      <c r="O552" s="235" t="s">
        <v>438</v>
      </c>
      <c r="P552" s="235" t="s">
        <v>438</v>
      </c>
      <c r="Q552" s="235" t="s">
        <v>438</v>
      </c>
      <c r="R552" s="235" t="s">
        <v>438</v>
      </c>
      <c r="S552" s="235" t="s">
        <v>438</v>
      </c>
      <c r="T552" s="235" t="s">
        <v>438</v>
      </c>
      <c r="U552" s="235" t="s">
        <v>438</v>
      </c>
      <c r="V552" s="235" t="s">
        <v>438</v>
      </c>
      <c r="W552" s="235" t="s">
        <v>438</v>
      </c>
      <c r="X552" s="235" t="s">
        <v>438</v>
      </c>
      <c r="Y552" s="235" t="s">
        <v>438</v>
      </c>
    </row>
    <row r="553" spans="1:26">
      <c r="A553" s="231" t="s">
        <v>496</v>
      </c>
      <c r="B553" s="235">
        <v>10.2607097625732</v>
      </c>
      <c r="C553" s="235">
        <v>11.4965677261353</v>
      </c>
      <c r="D553" s="235">
        <v>12.498481750488301</v>
      </c>
      <c r="E553" s="235">
        <v>12.3126974105835</v>
      </c>
      <c r="F553" s="235">
        <v>11.5857706069946</v>
      </c>
      <c r="G553" s="235">
        <v>11.0374755859375</v>
      </c>
      <c r="H553" s="235">
        <v>10.8027191162109</v>
      </c>
      <c r="I553" s="235">
        <v>10.6485815048218</v>
      </c>
      <c r="J553" s="235">
        <v>10.5555610656738</v>
      </c>
      <c r="K553" s="235">
        <v>10.564617156982401</v>
      </c>
      <c r="L553" s="235">
        <v>10.6249675750732</v>
      </c>
      <c r="M553" s="235">
        <v>10.7333173751831</v>
      </c>
      <c r="N553" s="235">
        <v>10.851320266723601</v>
      </c>
      <c r="O553" s="235">
        <v>10.9544372558594</v>
      </c>
      <c r="P553" s="235">
        <v>11.0046529769897</v>
      </c>
      <c r="Q553" s="235">
        <v>11.070010185241699</v>
      </c>
      <c r="R553" s="235">
        <v>11.175311088561999</v>
      </c>
      <c r="S553" s="235">
        <v>11.313448905944799</v>
      </c>
      <c r="T553" s="235">
        <v>11.4217777252197</v>
      </c>
      <c r="U553" s="235">
        <v>11.534593582153301</v>
      </c>
      <c r="V553" s="235">
        <v>11.6029949188232</v>
      </c>
      <c r="W553" s="235">
        <v>11.660957336425801</v>
      </c>
      <c r="X553" s="235">
        <v>11.7183265686035</v>
      </c>
      <c r="Y553" s="235">
        <v>11.827390670776399</v>
      </c>
    </row>
    <row r="554" spans="1:26">
      <c r="A554" s="231" t="s">
        <v>481</v>
      </c>
      <c r="B554" s="235">
        <v>7.8488264083862296</v>
      </c>
      <c r="C554" s="235">
        <v>9.3171482086181605</v>
      </c>
      <c r="D554" s="235">
        <v>10.5270042419434</v>
      </c>
      <c r="E554" s="235">
        <v>10.2914838790894</v>
      </c>
      <c r="F554" s="235">
        <v>9.5772314071655291</v>
      </c>
      <c r="G554" s="235">
        <v>9.0944671630859393</v>
      </c>
      <c r="H554" s="235">
        <v>8.8957033157348597</v>
      </c>
      <c r="I554" s="235">
        <v>8.7092790603637695</v>
      </c>
      <c r="J554" s="235">
        <v>8.6138839721679705</v>
      </c>
      <c r="K554" s="235">
        <v>8.6225843429565394</v>
      </c>
      <c r="L554" s="235">
        <v>8.6363019943237305</v>
      </c>
      <c r="M554" s="235">
        <v>8.7009534835815394</v>
      </c>
      <c r="N554" s="235">
        <v>8.7555856704711896</v>
      </c>
      <c r="O554" s="235">
        <v>8.8331260681152308</v>
      </c>
      <c r="P554" s="235">
        <v>8.8750228881835902</v>
      </c>
      <c r="Q554" s="235">
        <v>8.9212465286254901</v>
      </c>
      <c r="R554" s="235">
        <v>8.9933633804321307</v>
      </c>
      <c r="S554" s="235">
        <v>9.0904560089111293</v>
      </c>
      <c r="T554" s="235">
        <v>9.1763067245483398</v>
      </c>
      <c r="U554" s="235">
        <v>9.2688179016113299</v>
      </c>
      <c r="V554" s="235">
        <v>9.3425512313842791</v>
      </c>
      <c r="W554" s="235">
        <v>9.4030828475952095</v>
      </c>
      <c r="X554" s="235">
        <v>9.4481410980224592</v>
      </c>
      <c r="Y554" s="235">
        <v>9.5455484390258807</v>
      </c>
    </row>
    <row r="555" spans="1:26">
      <c r="A555" s="231" t="s">
        <v>477</v>
      </c>
      <c r="B555" s="235">
        <v>21.599882125854499</v>
      </c>
      <c r="C555" s="235">
        <v>21.735733032226602</v>
      </c>
      <c r="D555" s="235">
        <v>21.728578567504901</v>
      </c>
      <c r="E555" s="235">
        <v>21.659519195556602</v>
      </c>
      <c r="F555" s="235">
        <v>20.859115600585898</v>
      </c>
      <c r="G555" s="235">
        <v>19.947565078735401</v>
      </c>
      <c r="H555" s="235">
        <v>19.5044040679932</v>
      </c>
      <c r="I555" s="235">
        <v>19.468164443969702</v>
      </c>
      <c r="J555" s="235">
        <v>19.363897323608398</v>
      </c>
      <c r="K555" s="235">
        <v>19.340778350830099</v>
      </c>
      <c r="L555" s="235">
        <v>19.565423965454102</v>
      </c>
      <c r="M555" s="235">
        <v>19.829431533813501</v>
      </c>
      <c r="N555" s="235">
        <v>20.184032440185501</v>
      </c>
      <c r="O555" s="235">
        <v>20.348131179809599</v>
      </c>
      <c r="P555" s="235">
        <v>20.384618759155298</v>
      </c>
      <c r="Q555" s="235">
        <v>20.4941310882568</v>
      </c>
      <c r="R555" s="235">
        <v>20.6934413909912</v>
      </c>
      <c r="S555" s="235">
        <v>20.961088180541999</v>
      </c>
      <c r="T555" s="235">
        <v>21.1064147949219</v>
      </c>
      <c r="U555" s="235">
        <v>21.2582683563232</v>
      </c>
      <c r="V555" s="235">
        <v>21.2429523468018</v>
      </c>
      <c r="W555" s="235">
        <v>21.2300205230713</v>
      </c>
      <c r="X555" s="235">
        <v>21.277418136596701</v>
      </c>
      <c r="Y555" s="235">
        <v>21.3841457366943</v>
      </c>
    </row>
    <row r="556" spans="1:26">
      <c r="A556" s="231" t="s">
        <v>438</v>
      </c>
      <c r="B556" s="235" t="s">
        <v>438</v>
      </c>
      <c r="C556" s="235" t="s">
        <v>438</v>
      </c>
      <c r="D556" s="235" t="s">
        <v>438</v>
      </c>
      <c r="E556" s="235" t="s">
        <v>438</v>
      </c>
      <c r="F556" s="235" t="s">
        <v>438</v>
      </c>
      <c r="G556" s="235" t="s">
        <v>438</v>
      </c>
      <c r="H556" s="235" t="s">
        <v>438</v>
      </c>
      <c r="I556" s="235" t="s">
        <v>438</v>
      </c>
      <c r="J556" s="235" t="s">
        <v>438</v>
      </c>
      <c r="K556" s="235" t="s">
        <v>438</v>
      </c>
      <c r="L556" s="235" t="s">
        <v>438</v>
      </c>
      <c r="M556" s="235" t="s">
        <v>438</v>
      </c>
      <c r="N556" s="235" t="s">
        <v>438</v>
      </c>
      <c r="O556" s="235" t="s">
        <v>438</v>
      </c>
      <c r="P556" s="235" t="s">
        <v>438</v>
      </c>
      <c r="Q556" s="235" t="s">
        <v>438</v>
      </c>
      <c r="R556" s="235" t="s">
        <v>438</v>
      </c>
      <c r="S556" s="235" t="s">
        <v>438</v>
      </c>
      <c r="T556" s="235" t="s">
        <v>438</v>
      </c>
      <c r="U556" s="235" t="s">
        <v>438</v>
      </c>
      <c r="V556" s="235" t="s">
        <v>438</v>
      </c>
      <c r="W556" s="235" t="s">
        <v>438</v>
      </c>
      <c r="X556" s="235" t="s">
        <v>438</v>
      </c>
      <c r="Y556" s="235" t="s">
        <v>438</v>
      </c>
    </row>
    <row r="557" spans="1:26">
      <c r="A557" s="231" t="s">
        <v>497</v>
      </c>
      <c r="B557" s="235" t="s">
        <v>438</v>
      </c>
      <c r="C557" s="235" t="s">
        <v>438</v>
      </c>
      <c r="D557" s="235" t="s">
        <v>438</v>
      </c>
      <c r="E557" s="235" t="s">
        <v>438</v>
      </c>
      <c r="F557" s="235" t="s">
        <v>438</v>
      </c>
      <c r="G557" s="235" t="s">
        <v>438</v>
      </c>
      <c r="H557" s="235" t="s">
        <v>438</v>
      </c>
      <c r="I557" s="235" t="s">
        <v>438</v>
      </c>
      <c r="J557" s="235" t="s">
        <v>438</v>
      </c>
      <c r="K557" s="235" t="s">
        <v>438</v>
      </c>
      <c r="L557" s="235" t="s">
        <v>438</v>
      </c>
      <c r="M557" s="235" t="s">
        <v>438</v>
      </c>
      <c r="N557" s="235" t="s">
        <v>438</v>
      </c>
      <c r="O557" s="235" t="s">
        <v>438</v>
      </c>
      <c r="P557" s="235" t="s">
        <v>438</v>
      </c>
      <c r="Q557" s="235" t="s">
        <v>438</v>
      </c>
      <c r="R557" s="235" t="s">
        <v>438</v>
      </c>
      <c r="S557" s="235" t="s">
        <v>438</v>
      </c>
      <c r="T557" s="235" t="s">
        <v>438</v>
      </c>
      <c r="U557" s="235" t="s">
        <v>438</v>
      </c>
      <c r="V557" s="235" t="s">
        <v>438</v>
      </c>
      <c r="W557" s="235" t="s">
        <v>438</v>
      </c>
      <c r="X557" s="235" t="s">
        <v>438</v>
      </c>
      <c r="Y557" s="235" t="s">
        <v>438</v>
      </c>
    </row>
    <row r="558" spans="1:26">
      <c r="A558" s="231" t="s">
        <v>498</v>
      </c>
      <c r="B558" s="235">
        <v>1.8996955156326301</v>
      </c>
      <c r="C558" s="235">
        <v>2.2409727573394802</v>
      </c>
      <c r="D558" s="235">
        <v>2.4238619804382302</v>
      </c>
      <c r="E558" s="235">
        <v>2.3792355060577401</v>
      </c>
      <c r="F558" s="235">
        <v>2.2243471145629901</v>
      </c>
      <c r="G558" s="235">
        <v>2.11745405197144</v>
      </c>
      <c r="H558" s="235">
        <v>2.0720956325531001</v>
      </c>
      <c r="I558" s="235">
        <v>2.06648945808411</v>
      </c>
      <c r="J558" s="235">
        <v>2.0576293468475302</v>
      </c>
      <c r="K558" s="235">
        <v>2.0898380279540998</v>
      </c>
      <c r="L558" s="235">
        <v>2.13185787200928</v>
      </c>
      <c r="M558" s="235">
        <v>2.1827101707458501</v>
      </c>
      <c r="N558" s="235">
        <v>2.2442750930786102</v>
      </c>
      <c r="O558" s="235">
        <v>2.2846662998199498</v>
      </c>
      <c r="P558" s="235">
        <v>2.2886507511138898</v>
      </c>
      <c r="Q558" s="235">
        <v>2.31255102157593</v>
      </c>
      <c r="R558" s="235">
        <v>2.3658699989318799</v>
      </c>
      <c r="S558" s="235">
        <v>2.41897773742676</v>
      </c>
      <c r="T558" s="235">
        <v>2.4451649188995401</v>
      </c>
      <c r="U558" s="235">
        <v>2.4616906642913801</v>
      </c>
      <c r="V558" s="235">
        <v>2.4596512317657502</v>
      </c>
      <c r="W558" s="235">
        <v>2.4499151706695601</v>
      </c>
      <c r="X558" s="235">
        <v>2.46315670013428</v>
      </c>
      <c r="Y558" s="235">
        <v>2.4591720104217498</v>
      </c>
    </row>
    <row r="559" spans="1:26">
      <c r="A559" s="231" t="s">
        <v>500</v>
      </c>
      <c r="B559" s="235">
        <v>4.3748912811279297</v>
      </c>
      <c r="C559" s="235">
        <v>5.2786889076232901</v>
      </c>
      <c r="D559" s="235">
        <v>5.9517397880554199</v>
      </c>
      <c r="E559" s="235">
        <v>5.8145914077758798</v>
      </c>
      <c r="F559" s="235">
        <v>5.36482858657837</v>
      </c>
      <c r="G559" s="235">
        <v>4.9555935859680202</v>
      </c>
      <c r="H559" s="235">
        <v>4.76583051681519</v>
      </c>
      <c r="I559" s="235">
        <v>4.6106519699096697</v>
      </c>
      <c r="J559" s="235">
        <v>4.5544371604919398</v>
      </c>
      <c r="K559" s="235">
        <v>4.5760931968689</v>
      </c>
      <c r="L559" s="235">
        <v>4.6005949974060103</v>
      </c>
      <c r="M559" s="235">
        <v>4.65545606613159</v>
      </c>
      <c r="N559" s="235">
        <v>4.7050404548645002</v>
      </c>
      <c r="O559" s="235">
        <v>4.76641750335693</v>
      </c>
      <c r="P559" s="235">
        <v>4.8219771385192898</v>
      </c>
      <c r="Q559" s="235">
        <v>4.8744759559631303</v>
      </c>
      <c r="R559" s="235">
        <v>4.9555630683898899</v>
      </c>
      <c r="S559" s="235">
        <v>5.0235657691955602</v>
      </c>
      <c r="T559" s="235">
        <v>5.0990805625915501</v>
      </c>
      <c r="U559" s="235">
        <v>5.1768889427185103</v>
      </c>
      <c r="V559" s="235">
        <v>5.2447147369384801</v>
      </c>
      <c r="W559" s="235">
        <v>5.3197603225707999</v>
      </c>
      <c r="X559" s="235">
        <v>5.3696103096008301</v>
      </c>
      <c r="Y559" s="235">
        <v>5.4173326492309597</v>
      </c>
    </row>
    <row r="560" spans="1:26">
      <c r="A560" s="231" t="s">
        <v>474</v>
      </c>
      <c r="B560" s="235">
        <v>5.6938004493713397</v>
      </c>
      <c r="C560" s="235">
        <v>6.4773354530334499</v>
      </c>
      <c r="D560" s="235">
        <v>7.1750502586364702</v>
      </c>
      <c r="E560" s="235">
        <v>6.8899459838867196</v>
      </c>
      <c r="F560" s="235">
        <v>6.2672758102417001</v>
      </c>
      <c r="G560" s="235">
        <v>5.8609590530395499</v>
      </c>
      <c r="H560" s="235">
        <v>5.6430783271789604</v>
      </c>
      <c r="I560" s="235">
        <v>5.4534807205200204</v>
      </c>
      <c r="J560" s="235">
        <v>5.3617582321167001</v>
      </c>
      <c r="K560" s="235">
        <v>5.3288640975952104</v>
      </c>
      <c r="L560" s="235">
        <v>5.3712139129638699</v>
      </c>
      <c r="M560" s="235">
        <v>5.41644287109375</v>
      </c>
      <c r="N560" s="235">
        <v>5.4747476577758798</v>
      </c>
      <c r="O560" s="235">
        <v>5.5268063545227104</v>
      </c>
      <c r="P560" s="235">
        <v>5.5894103050231898</v>
      </c>
      <c r="Q560" s="235">
        <v>5.6297807693481401</v>
      </c>
      <c r="R560" s="235">
        <v>5.7926478385925302</v>
      </c>
      <c r="S560" s="235">
        <v>5.9167857170104998</v>
      </c>
      <c r="T560" s="235">
        <v>6.0082931518554696</v>
      </c>
      <c r="U560" s="235">
        <v>6.11431789398193</v>
      </c>
      <c r="V560" s="235">
        <v>6.21482229232788</v>
      </c>
      <c r="W560" s="235">
        <v>6.2930455207824698</v>
      </c>
      <c r="X560" s="235">
        <v>6.3174986839294398</v>
      </c>
      <c r="Y560" s="235">
        <v>6.3298768997192401</v>
      </c>
    </row>
    <row r="561" spans="1:26">
      <c r="A561" s="231" t="s">
        <v>479</v>
      </c>
      <c r="B561" s="235">
        <v>3.9850425720214799</v>
      </c>
      <c r="C561" s="235">
        <v>4.7911210060119602</v>
      </c>
      <c r="D561" s="235">
        <v>5.5054435729980504</v>
      </c>
      <c r="E561" s="235">
        <v>5.3836607933044398</v>
      </c>
      <c r="F561" s="235">
        <v>4.9928164482116699</v>
      </c>
      <c r="G561" s="235">
        <v>4.5735058784484899</v>
      </c>
      <c r="H561" s="235">
        <v>4.37508344650269</v>
      </c>
      <c r="I561" s="235">
        <v>4.2357888221740696</v>
      </c>
      <c r="J561" s="235">
        <v>4.1871180534362802</v>
      </c>
      <c r="K561" s="235">
        <v>4.2367839813232404</v>
      </c>
      <c r="L561" s="235">
        <v>4.2823972702026403</v>
      </c>
      <c r="M561" s="235">
        <v>4.3351020812988299</v>
      </c>
      <c r="N561" s="235">
        <v>4.38077735900879</v>
      </c>
      <c r="O561" s="235">
        <v>4.4392328262329102</v>
      </c>
      <c r="P561" s="235">
        <v>4.4927945137023899</v>
      </c>
      <c r="Q561" s="235">
        <v>4.5466628074645996</v>
      </c>
      <c r="R561" s="235">
        <v>4.5988087654113796</v>
      </c>
      <c r="S561" s="235">
        <v>4.6550941467285201</v>
      </c>
      <c r="T561" s="235">
        <v>4.7130184173584002</v>
      </c>
      <c r="U561" s="235">
        <v>4.7694864273071298</v>
      </c>
      <c r="V561" s="235">
        <v>4.8261427879333496</v>
      </c>
      <c r="W561" s="235">
        <v>4.8835220336914098</v>
      </c>
      <c r="X561" s="235">
        <v>4.9410810470581099</v>
      </c>
      <c r="Y561" s="235">
        <v>5.0030183792114302</v>
      </c>
    </row>
    <row r="562" spans="1:26">
      <c r="A562" s="253" t="s">
        <v>476</v>
      </c>
      <c r="B562" s="235">
        <v>3.6857740879058798</v>
      </c>
      <c r="C562" s="235">
        <v>5.4593739509582502</v>
      </c>
      <c r="D562" s="235">
        <v>5.9836626052856401</v>
      </c>
      <c r="E562" s="235">
        <v>5.9217834472656303</v>
      </c>
      <c r="F562" s="235">
        <v>5.2677536010742196</v>
      </c>
      <c r="G562" s="235">
        <v>4.83196926116943</v>
      </c>
      <c r="H562" s="235">
        <v>4.4959845542907697</v>
      </c>
      <c r="I562" s="235">
        <v>4.3869647979736301</v>
      </c>
      <c r="J562" s="235">
        <v>4.2738447189331099</v>
      </c>
      <c r="K562" s="235">
        <v>4.3073697090148899</v>
      </c>
      <c r="L562" s="235">
        <v>4.4138617515564</v>
      </c>
      <c r="M562" s="235">
        <v>4.5377993583679199</v>
      </c>
      <c r="N562" s="235">
        <v>4.6997785568237296</v>
      </c>
      <c r="O562" s="235">
        <v>4.8059244155883798</v>
      </c>
      <c r="P562" s="235">
        <v>4.7723231315612802</v>
      </c>
      <c r="Q562" s="235">
        <v>4.7962751388549796</v>
      </c>
      <c r="R562" s="235">
        <v>4.93237209320068</v>
      </c>
      <c r="S562" s="235">
        <v>5.0951194763183603</v>
      </c>
      <c r="T562" s="235">
        <v>5.2029786109924299</v>
      </c>
      <c r="U562" s="235">
        <v>5.2939982414245597</v>
      </c>
      <c r="V562" s="235">
        <v>5.3285460472106898</v>
      </c>
      <c r="W562" s="235">
        <v>5.3187093734741202</v>
      </c>
      <c r="X562" s="235">
        <v>5.3844461441040004</v>
      </c>
      <c r="Y562" s="235">
        <v>5.4420223236084002</v>
      </c>
      <c r="Z562" s="261">
        <f>Y562+($AI$392-$Y$562)/10</f>
        <v>5.4722581683132612</v>
      </c>
    </row>
    <row r="563" spans="1:26">
      <c r="A563" s="256" t="s">
        <v>484</v>
      </c>
      <c r="B563" s="235">
        <v>1.2699717283248899</v>
      </c>
      <c r="C563" s="235">
        <v>1.27919089794159</v>
      </c>
      <c r="D563" s="235">
        <v>1.2833664417266799</v>
      </c>
      <c r="E563" s="235">
        <v>1.28942894935608</v>
      </c>
      <c r="F563" s="235">
        <v>1.29215919971466</v>
      </c>
      <c r="G563" s="235">
        <v>1.28011155128479</v>
      </c>
      <c r="H563" s="235">
        <v>1.2771430015564</v>
      </c>
      <c r="I563" s="235">
        <v>1.2664887905120801</v>
      </c>
      <c r="J563" s="235">
        <v>1.2516112327575699</v>
      </c>
      <c r="K563" s="235">
        <v>1.2440552711486801</v>
      </c>
      <c r="L563" s="235">
        <v>1.2386393547058101</v>
      </c>
      <c r="M563" s="235">
        <v>1.23525643348694</v>
      </c>
      <c r="N563" s="235">
        <v>1.23468470573425</v>
      </c>
      <c r="O563" s="235">
        <v>1.2341449260711701</v>
      </c>
      <c r="P563" s="235">
        <v>1.23174548149109</v>
      </c>
      <c r="Q563" s="235">
        <v>1.2347780466079701</v>
      </c>
      <c r="R563" s="235">
        <v>1.23870933055878</v>
      </c>
      <c r="S563" s="235">
        <v>1.2427853345871001</v>
      </c>
      <c r="T563" s="235">
        <v>1.24646520614624</v>
      </c>
      <c r="U563" s="235">
        <v>1.2552444934845</v>
      </c>
      <c r="V563" s="235">
        <v>1.26424860954285</v>
      </c>
      <c r="W563" s="235">
        <v>1.2944931983947801</v>
      </c>
      <c r="X563" s="235">
        <v>1.3030458688736</v>
      </c>
      <c r="Y563" s="235">
        <v>1.30599772930145</v>
      </c>
      <c r="Z563" s="269">
        <f>Y563+($AI$393-$Y$563)/10</f>
        <v>1.3088234854404943</v>
      </c>
    </row>
    <row r="564" spans="1:26">
      <c r="A564" s="231" t="s">
        <v>438</v>
      </c>
      <c r="B564" s="235" t="s">
        <v>438</v>
      </c>
      <c r="C564" s="235" t="s">
        <v>438</v>
      </c>
      <c r="D564" s="235" t="s">
        <v>438</v>
      </c>
      <c r="E564" s="235" t="s">
        <v>438</v>
      </c>
      <c r="F564" s="235" t="s">
        <v>438</v>
      </c>
      <c r="G564" s="235" t="s">
        <v>438</v>
      </c>
      <c r="H564" s="235" t="s">
        <v>438</v>
      </c>
      <c r="I564" s="235" t="s">
        <v>438</v>
      </c>
      <c r="J564" s="235" t="s">
        <v>438</v>
      </c>
      <c r="K564" s="235" t="s">
        <v>438</v>
      </c>
      <c r="L564" s="235" t="s">
        <v>438</v>
      </c>
      <c r="M564" s="235" t="s">
        <v>438</v>
      </c>
      <c r="N564" s="235" t="s">
        <v>438</v>
      </c>
      <c r="O564" s="235" t="s">
        <v>438</v>
      </c>
      <c r="P564" s="235" t="s">
        <v>438</v>
      </c>
      <c r="Q564" s="235" t="s">
        <v>438</v>
      </c>
      <c r="R564" s="235" t="s">
        <v>438</v>
      </c>
      <c r="S564" s="235" t="s">
        <v>438</v>
      </c>
      <c r="T564" s="235" t="s">
        <v>438</v>
      </c>
      <c r="U564" s="235" t="s">
        <v>438</v>
      </c>
      <c r="V564" s="235" t="s">
        <v>438</v>
      </c>
      <c r="W564" s="235" t="s">
        <v>438</v>
      </c>
      <c r="X564" s="235" t="s">
        <v>438</v>
      </c>
      <c r="Y564" s="235" t="s">
        <v>438</v>
      </c>
    </row>
    <row r="565" spans="1:26">
      <c r="A565" s="231" t="s">
        <v>501</v>
      </c>
      <c r="B565" s="235" t="s">
        <v>438</v>
      </c>
      <c r="C565" s="235" t="s">
        <v>438</v>
      </c>
      <c r="D565" s="235" t="s">
        <v>438</v>
      </c>
      <c r="E565" s="235" t="s">
        <v>438</v>
      </c>
      <c r="F565" s="235" t="s">
        <v>438</v>
      </c>
      <c r="G565" s="235" t="s">
        <v>438</v>
      </c>
      <c r="H565" s="235" t="s">
        <v>438</v>
      </c>
      <c r="I565" s="235" t="s">
        <v>438</v>
      </c>
      <c r="J565" s="235" t="s">
        <v>438</v>
      </c>
      <c r="K565" s="235" t="s">
        <v>438</v>
      </c>
      <c r="L565" s="235" t="s">
        <v>438</v>
      </c>
      <c r="M565" s="235" t="s">
        <v>438</v>
      </c>
      <c r="N565" s="235" t="s">
        <v>438</v>
      </c>
      <c r="O565" s="235" t="s">
        <v>438</v>
      </c>
      <c r="P565" s="235" t="s">
        <v>438</v>
      </c>
      <c r="Q565" s="235" t="s">
        <v>438</v>
      </c>
      <c r="R565" s="235" t="s">
        <v>438</v>
      </c>
      <c r="S565" s="235" t="s">
        <v>438</v>
      </c>
      <c r="T565" s="235" t="s">
        <v>438</v>
      </c>
      <c r="U565" s="235" t="s">
        <v>438</v>
      </c>
      <c r="V565" s="235" t="s">
        <v>438</v>
      </c>
      <c r="W565" s="235" t="s">
        <v>438</v>
      </c>
      <c r="X565" s="235" t="s">
        <v>438</v>
      </c>
      <c r="Y565" s="235" t="s">
        <v>438</v>
      </c>
    </row>
    <row r="566" spans="1:26">
      <c r="A566" s="231" t="s">
        <v>502</v>
      </c>
      <c r="B566" s="235">
        <v>9.0916013717651403</v>
      </c>
      <c r="C566" s="235">
        <v>10.5092258453369</v>
      </c>
      <c r="D566" s="235">
        <v>12.005053520202599</v>
      </c>
      <c r="E566" s="235">
        <v>11.630154609680201</v>
      </c>
      <c r="F566" s="235">
        <v>10.867414474487299</v>
      </c>
      <c r="G566" s="235">
        <v>10.341483116149901</v>
      </c>
      <c r="H566" s="235">
        <v>10.206826210021999</v>
      </c>
      <c r="I566" s="235">
        <v>9.9809312820434606</v>
      </c>
      <c r="J566" s="235">
        <v>9.9117403030395508</v>
      </c>
      <c r="K566" s="235">
        <v>9.9329805374145508</v>
      </c>
      <c r="L566" s="235">
        <v>9.9184780120849592</v>
      </c>
      <c r="M566" s="235">
        <v>9.9575662612915004</v>
      </c>
      <c r="N566" s="235">
        <v>9.9538516998290998</v>
      </c>
      <c r="O566" s="235">
        <v>10.000968933105501</v>
      </c>
      <c r="P566" s="235">
        <v>10.066521644592299</v>
      </c>
      <c r="Q566" s="235">
        <v>10.122728347778301</v>
      </c>
      <c r="R566" s="235">
        <v>10.166119575500501</v>
      </c>
      <c r="S566" s="235">
        <v>10.2242088317871</v>
      </c>
      <c r="T566" s="235">
        <v>10.2887620925903</v>
      </c>
      <c r="U566" s="235">
        <v>10.370365142822299</v>
      </c>
      <c r="V566" s="235">
        <v>10.451409339904799</v>
      </c>
      <c r="W566" s="235">
        <v>10.528607368469199</v>
      </c>
      <c r="X566" s="235">
        <v>10.560112953186</v>
      </c>
      <c r="Y566" s="235">
        <v>10.6600894927979</v>
      </c>
    </row>
    <row r="567" spans="1:26">
      <c r="A567" s="231" t="s">
        <v>503</v>
      </c>
      <c r="B567" s="235">
        <v>8.7129955291747994</v>
      </c>
      <c r="C567" s="235">
        <v>9.89868068695068</v>
      </c>
      <c r="D567" s="235">
        <v>10.9323616027832</v>
      </c>
      <c r="E567" s="235">
        <v>10.516496658325201</v>
      </c>
      <c r="F567" s="235">
        <v>10.0722150802612</v>
      </c>
      <c r="G567" s="235">
        <v>9.7644062042236293</v>
      </c>
      <c r="H567" s="235">
        <v>9.6708259582519496</v>
      </c>
      <c r="I567" s="235">
        <v>9.5059432983398402</v>
      </c>
      <c r="J567" s="235">
        <v>9.5328626632690394</v>
      </c>
      <c r="K567" s="235">
        <v>9.6073579788208008</v>
      </c>
      <c r="L567" s="235">
        <v>9.6717586517334002</v>
      </c>
      <c r="M567" s="235">
        <v>9.7472448348999006</v>
      </c>
      <c r="N567" s="235">
        <v>9.7227439880371094</v>
      </c>
      <c r="O567" s="235">
        <v>9.7185726165771502</v>
      </c>
      <c r="P567" s="235">
        <v>9.7264575958252006</v>
      </c>
      <c r="Q567" s="235">
        <v>9.7659683227539098</v>
      </c>
      <c r="R567" s="235">
        <v>9.7933034896850604</v>
      </c>
      <c r="S567" s="235">
        <v>9.8243274688720703</v>
      </c>
      <c r="T567" s="235">
        <v>9.7878532409668004</v>
      </c>
      <c r="U567" s="235">
        <v>9.8349857330322301</v>
      </c>
      <c r="V567" s="235">
        <v>9.8761272430419904</v>
      </c>
      <c r="W567" s="235">
        <v>9.8313732147216797</v>
      </c>
      <c r="X567" s="235">
        <v>9.8799133300781303</v>
      </c>
      <c r="Y567" s="235">
        <v>10.0311069488525</v>
      </c>
    </row>
    <row r="568" spans="1:26">
      <c r="A568" s="231" t="s">
        <v>504</v>
      </c>
      <c r="B568" s="235">
        <v>6.0538434982299796</v>
      </c>
      <c r="C568" s="235">
        <v>6.4578518867492702</v>
      </c>
      <c r="D568" s="235">
        <v>8.1168746948242205</v>
      </c>
      <c r="E568" s="235">
        <v>7.6875572204589799</v>
      </c>
      <c r="F568" s="235">
        <v>7.0150871276855504</v>
      </c>
      <c r="G568" s="235">
        <v>6.5790328979492196</v>
      </c>
      <c r="H568" s="235">
        <v>6.5712537765502903</v>
      </c>
      <c r="I568" s="235">
        <v>6.42602443695068</v>
      </c>
      <c r="J568" s="235">
        <v>6.2476048469543501</v>
      </c>
      <c r="K568" s="235">
        <v>6.2184038162231401</v>
      </c>
      <c r="L568" s="235">
        <v>6.2436552047729501</v>
      </c>
      <c r="M568" s="235">
        <v>6.2858424186706499</v>
      </c>
      <c r="N568" s="235">
        <v>6.2737250328064</v>
      </c>
      <c r="O568" s="235">
        <v>6.2926135063171396</v>
      </c>
      <c r="P568" s="235">
        <v>6.3336305618286097</v>
      </c>
      <c r="Q568" s="235">
        <v>6.3623290061950701</v>
      </c>
      <c r="R568" s="235">
        <v>6.4419050216674796</v>
      </c>
      <c r="S568" s="235">
        <v>6.5377755165100098</v>
      </c>
      <c r="T568" s="235">
        <v>6.5789065361022896</v>
      </c>
      <c r="U568" s="235">
        <v>6.7034192085266104</v>
      </c>
      <c r="V568" s="235">
        <v>6.8036813735961896</v>
      </c>
      <c r="W568" s="235">
        <v>6.8691210746765101</v>
      </c>
      <c r="X568" s="235">
        <v>6.8930430412292498</v>
      </c>
      <c r="Y568" s="235">
        <v>6.9258189201354998</v>
      </c>
    </row>
    <row r="569" spans="1:26">
      <c r="A569" s="231" t="s">
        <v>505</v>
      </c>
      <c r="B569" s="235">
        <v>9.5166797637939506</v>
      </c>
      <c r="C569" s="235">
        <v>13.0396432876587</v>
      </c>
      <c r="D569" s="235">
        <v>15.6858806610107</v>
      </c>
      <c r="E569" s="235">
        <v>14.0742273330688</v>
      </c>
      <c r="F569" s="235">
        <v>12.086350440979</v>
      </c>
      <c r="G569" s="235">
        <v>11.4653730392456</v>
      </c>
      <c r="H569" s="235">
        <v>11.285403251647899</v>
      </c>
      <c r="I569" s="235">
        <v>11.0092105865479</v>
      </c>
      <c r="J569" s="235">
        <v>10.989564895629901</v>
      </c>
      <c r="K569" s="235">
        <v>10.925596237182599</v>
      </c>
      <c r="L569" s="235">
        <v>10.987684249877899</v>
      </c>
      <c r="M569" s="235">
        <v>11.0838632583618</v>
      </c>
      <c r="N569" s="235">
        <v>11.0187425613403</v>
      </c>
      <c r="O569" s="235">
        <v>11.2084665298462</v>
      </c>
      <c r="P569" s="235">
        <v>11.3385829925537</v>
      </c>
      <c r="Q569" s="235">
        <v>11.336560249328601</v>
      </c>
      <c r="R569" s="235">
        <v>11.412732124328601</v>
      </c>
      <c r="S569" s="235">
        <v>11.5561437606812</v>
      </c>
      <c r="T569" s="235">
        <v>11.7385349273682</v>
      </c>
      <c r="U569" s="235">
        <v>11.9240121841431</v>
      </c>
      <c r="V569" s="235">
        <v>12.033415794372599</v>
      </c>
      <c r="W569" s="235">
        <v>12.184607505798301</v>
      </c>
      <c r="X569" s="235">
        <v>12.2847499847412</v>
      </c>
      <c r="Y569" s="235">
        <v>12.335958480835</v>
      </c>
    </row>
    <row r="570" spans="1:26">
      <c r="A570" s="231" t="s">
        <v>506</v>
      </c>
      <c r="B570" s="235">
        <v>11.3185987472534</v>
      </c>
      <c r="C570" s="235">
        <v>12.9258327484131</v>
      </c>
      <c r="D570" s="235">
        <v>14.650143623352101</v>
      </c>
      <c r="E570" s="235">
        <v>14.3442440032959</v>
      </c>
      <c r="F570" s="235">
        <v>13.623025894165</v>
      </c>
      <c r="G570" s="235">
        <v>12.923449516296399</v>
      </c>
      <c r="H570" s="235">
        <v>12.7128458023071</v>
      </c>
      <c r="I570" s="235">
        <v>12.432819366455099</v>
      </c>
      <c r="J570" s="235">
        <v>12.310016632080099</v>
      </c>
      <c r="K570" s="235">
        <v>12.3222455978394</v>
      </c>
      <c r="L570" s="235">
        <v>12.2171115875244</v>
      </c>
      <c r="M570" s="235">
        <v>12.2130832672119</v>
      </c>
      <c r="N570" s="235">
        <v>12.22132396698</v>
      </c>
      <c r="O570" s="235">
        <v>12.248191833496101</v>
      </c>
      <c r="P570" s="235">
        <v>12.309587478637701</v>
      </c>
      <c r="Q570" s="235">
        <v>12.376181602478001</v>
      </c>
      <c r="R570" s="235">
        <v>12.4016332626343</v>
      </c>
      <c r="S570" s="235">
        <v>12.440443038940399</v>
      </c>
      <c r="T570" s="235">
        <v>12.509931564331101</v>
      </c>
      <c r="U570" s="235">
        <v>12.547391891479499</v>
      </c>
      <c r="V570" s="235">
        <v>12.611403465271</v>
      </c>
      <c r="W570" s="235">
        <v>12.7098541259766</v>
      </c>
      <c r="X570" s="235">
        <v>12.7049369812012</v>
      </c>
      <c r="Y570" s="235">
        <v>12.8036108016968</v>
      </c>
    </row>
    <row r="571" spans="1:26">
      <c r="A571" s="231" t="s">
        <v>507</v>
      </c>
      <c r="B571" s="235">
        <v>3.9308724403381299</v>
      </c>
      <c r="C571" s="235">
        <v>4.6628575325012198</v>
      </c>
      <c r="D571" s="235">
        <v>5.07232666015625</v>
      </c>
      <c r="E571" s="235">
        <v>5.1433629989623997</v>
      </c>
      <c r="F571" s="235">
        <v>4.8060836791992196</v>
      </c>
      <c r="G571" s="235">
        <v>4.3862032890319798</v>
      </c>
      <c r="H571" s="235">
        <v>4.1832194328308097</v>
      </c>
      <c r="I571" s="235">
        <v>4.0440359115600604</v>
      </c>
      <c r="J571" s="235">
        <v>3.9943466186523402</v>
      </c>
      <c r="K571" s="235">
        <v>4.04720115661621</v>
      </c>
      <c r="L571" s="235">
        <v>4.0966601371765101</v>
      </c>
      <c r="M571" s="235">
        <v>4.1477751731872603</v>
      </c>
      <c r="N571" s="235">
        <v>4.19142723083496</v>
      </c>
      <c r="O571" s="235">
        <v>4.2503523826599103</v>
      </c>
      <c r="P571" s="235">
        <v>4.3018612861633301</v>
      </c>
      <c r="Q571" s="235">
        <v>4.3527650833129901</v>
      </c>
      <c r="R571" s="235">
        <v>4.4055538177490199</v>
      </c>
      <c r="S571" s="235">
        <v>4.4662823677062997</v>
      </c>
      <c r="T571" s="235">
        <v>4.5225110054016104</v>
      </c>
      <c r="U571" s="235">
        <v>4.5828208923339799</v>
      </c>
      <c r="V571" s="235">
        <v>4.6386957168579102</v>
      </c>
      <c r="W571" s="235">
        <v>4.6918659210205096</v>
      </c>
      <c r="X571" s="235">
        <v>4.7469024658203098</v>
      </c>
      <c r="Y571" s="235">
        <v>4.8068332672119096</v>
      </c>
    </row>
    <row r="572" spans="1:26">
      <c r="A572" s="231" t="s">
        <v>508</v>
      </c>
      <c r="B572" s="235">
        <v>5.1461992263793901</v>
      </c>
      <c r="C572" s="235">
        <v>6.8558807373046902</v>
      </c>
      <c r="D572" s="235">
        <v>7.3508329391479501</v>
      </c>
      <c r="E572" s="235">
        <v>7.3838677406311</v>
      </c>
      <c r="F572" s="235">
        <v>6.7167663574218803</v>
      </c>
      <c r="G572" s="235">
        <v>6.2544136047363299</v>
      </c>
      <c r="H572" s="235">
        <v>5.8490047454834002</v>
      </c>
      <c r="I572" s="235">
        <v>5.6922402381896999</v>
      </c>
      <c r="J572" s="235">
        <v>5.5182204246520996</v>
      </c>
      <c r="K572" s="235">
        <v>5.4887638092040998</v>
      </c>
      <c r="L572" s="235">
        <v>5.5592789649963397</v>
      </c>
      <c r="M572" s="235">
        <v>5.6574964523315403</v>
      </c>
      <c r="N572" s="235">
        <v>5.8102455139160201</v>
      </c>
      <c r="O572" s="235">
        <v>5.9230461120605504</v>
      </c>
      <c r="P572" s="235">
        <v>5.8875889778137198</v>
      </c>
      <c r="Q572" s="235">
        <v>5.8938632011413601</v>
      </c>
      <c r="R572" s="235">
        <v>6.0147280693054199</v>
      </c>
      <c r="S572" s="235">
        <v>6.1772904396057102</v>
      </c>
      <c r="T572" s="235">
        <v>6.2973737716674796</v>
      </c>
      <c r="U572" s="235">
        <v>6.40012407302856</v>
      </c>
      <c r="V572" s="235">
        <v>6.4435343742370597</v>
      </c>
      <c r="W572" s="235">
        <v>6.4505195617675799</v>
      </c>
      <c r="X572" s="235">
        <v>6.5169725418090803</v>
      </c>
      <c r="Y572" s="235">
        <v>6.5874438285827601</v>
      </c>
    </row>
    <row r="573" spans="1:26">
      <c r="A573" s="231" t="s">
        <v>509</v>
      </c>
      <c r="B573" s="235">
        <v>1.2938040494918801</v>
      </c>
      <c r="C573" s="235">
        <v>1.29924309253693</v>
      </c>
      <c r="D573" s="235">
        <v>1.30395972728729</v>
      </c>
      <c r="E573" s="235">
        <v>1.3117660284042401</v>
      </c>
      <c r="F573" s="235">
        <v>1.3130011558532699</v>
      </c>
      <c r="G573" s="235">
        <v>1.3001606464386</v>
      </c>
      <c r="H573" s="235">
        <v>1.2972036600112899</v>
      </c>
      <c r="I573" s="235">
        <v>1.28666663169861</v>
      </c>
      <c r="J573" s="235">
        <v>1.2722240686416599</v>
      </c>
      <c r="K573" s="235">
        <v>1.2649568319320701</v>
      </c>
      <c r="L573" s="235">
        <v>1.25909507274628</v>
      </c>
      <c r="M573" s="235">
        <v>1.25531446933746</v>
      </c>
      <c r="N573" s="235">
        <v>1.25464415550232</v>
      </c>
      <c r="O573" s="235">
        <v>1.25405156612396</v>
      </c>
      <c r="P573" s="235">
        <v>1.2516055107116699</v>
      </c>
      <c r="Q573" s="235">
        <v>1.25465047359467</v>
      </c>
      <c r="R573" s="235">
        <v>1.2582825422287001</v>
      </c>
      <c r="S573" s="235">
        <v>1.2619441747665401</v>
      </c>
      <c r="T573" s="235">
        <v>1.26514172554016</v>
      </c>
      <c r="U573" s="235">
        <v>1.27338314056396</v>
      </c>
      <c r="V573" s="235">
        <v>1.2817230224609399</v>
      </c>
      <c r="W573" s="235">
        <v>1.31160092353821</v>
      </c>
      <c r="X573" s="235">
        <v>1.3194112777710001</v>
      </c>
      <c r="Y573" s="235">
        <v>1.3217089176178001</v>
      </c>
    </row>
    <row r="574" spans="1:26">
      <c r="A574" s="231" t="s">
        <v>510</v>
      </c>
      <c r="B574" s="235">
        <v>14.6543264389038</v>
      </c>
      <c r="C574" s="235">
        <v>16.232709884643601</v>
      </c>
      <c r="D574" s="235">
        <v>19.6646022796631</v>
      </c>
      <c r="E574" s="235">
        <v>19.5902194976807</v>
      </c>
      <c r="F574" s="235">
        <v>19.473403930664102</v>
      </c>
      <c r="G574" s="235">
        <v>18.312351226806602</v>
      </c>
      <c r="H574" s="235">
        <v>18.154972076416001</v>
      </c>
      <c r="I574" s="235">
        <v>17.744245529174801</v>
      </c>
      <c r="J574" s="235">
        <v>17.108533859252901</v>
      </c>
      <c r="K574" s="235">
        <v>16.985416412353501</v>
      </c>
      <c r="L574" s="235">
        <v>16.891477584838899</v>
      </c>
      <c r="M574" s="235">
        <v>17.106473922729499</v>
      </c>
      <c r="N574" s="235">
        <v>17.298709869384801</v>
      </c>
      <c r="O574" s="235">
        <v>17.370653152465799</v>
      </c>
      <c r="P574" s="235">
        <v>17.404756546020501</v>
      </c>
      <c r="Q574" s="235">
        <v>17.4316711425781</v>
      </c>
      <c r="R574" s="235">
        <v>17.495216369628899</v>
      </c>
      <c r="S574" s="235">
        <v>17.111986160278299</v>
      </c>
      <c r="T574" s="235">
        <v>17.221326828002901</v>
      </c>
      <c r="U574" s="235">
        <v>17.6731853485107</v>
      </c>
      <c r="V574" s="235">
        <v>17.676996231079102</v>
      </c>
      <c r="W574" s="235">
        <v>17.866504669189499</v>
      </c>
      <c r="X574" s="235">
        <v>17.993064880371101</v>
      </c>
      <c r="Y574" s="235">
        <v>18.128524780273398</v>
      </c>
    </row>
    <row r="575" spans="1:26">
      <c r="A575" s="231" t="s">
        <v>477</v>
      </c>
      <c r="B575" s="235">
        <v>21.599882125854499</v>
      </c>
      <c r="C575" s="235">
        <v>21.735733032226602</v>
      </c>
      <c r="D575" s="235">
        <v>21.728578567504901</v>
      </c>
      <c r="E575" s="235">
        <v>21.659519195556602</v>
      </c>
      <c r="F575" s="235">
        <v>20.859115600585898</v>
      </c>
      <c r="G575" s="235">
        <v>19.947565078735401</v>
      </c>
      <c r="H575" s="235">
        <v>19.5044040679932</v>
      </c>
      <c r="I575" s="235">
        <v>19.468164443969702</v>
      </c>
      <c r="J575" s="235">
        <v>19.363897323608398</v>
      </c>
      <c r="K575" s="235">
        <v>19.340778350830099</v>
      </c>
      <c r="L575" s="235">
        <v>19.565423965454102</v>
      </c>
      <c r="M575" s="235">
        <v>19.829431533813501</v>
      </c>
      <c r="N575" s="235">
        <v>20.184032440185501</v>
      </c>
      <c r="O575" s="235">
        <v>20.348131179809599</v>
      </c>
      <c r="P575" s="235">
        <v>20.384618759155298</v>
      </c>
      <c r="Q575" s="235">
        <v>20.4941310882568</v>
      </c>
      <c r="R575" s="235">
        <v>20.6934413909912</v>
      </c>
      <c r="S575" s="235">
        <v>20.961088180541999</v>
      </c>
      <c r="T575" s="235">
        <v>21.1064147949219</v>
      </c>
      <c r="U575" s="235">
        <v>21.2582683563232</v>
      </c>
      <c r="V575" s="235">
        <v>21.2429523468018</v>
      </c>
      <c r="W575" s="235">
        <v>21.2300205230713</v>
      </c>
      <c r="X575" s="235">
        <v>21.277418136596701</v>
      </c>
      <c r="Y575" s="235">
        <v>21.3841457366943</v>
      </c>
    </row>
    <row r="576" spans="1:26">
      <c r="A576" s="231" t="s">
        <v>438</v>
      </c>
      <c r="B576" s="235" t="s">
        <v>438</v>
      </c>
      <c r="C576" s="235" t="s">
        <v>438</v>
      </c>
      <c r="D576" s="235" t="s">
        <v>438</v>
      </c>
      <c r="E576" s="235" t="s">
        <v>438</v>
      </c>
      <c r="F576" s="235" t="s">
        <v>438</v>
      </c>
      <c r="G576" s="235" t="s">
        <v>438</v>
      </c>
      <c r="H576" s="235" t="s">
        <v>438</v>
      </c>
      <c r="I576" s="235" t="s">
        <v>438</v>
      </c>
      <c r="J576" s="235" t="s">
        <v>438</v>
      </c>
      <c r="K576" s="235" t="s">
        <v>438</v>
      </c>
      <c r="L576" s="235" t="s">
        <v>438</v>
      </c>
      <c r="M576" s="235" t="s">
        <v>438</v>
      </c>
      <c r="N576" s="235" t="s">
        <v>438</v>
      </c>
      <c r="O576" s="235" t="s">
        <v>438</v>
      </c>
      <c r="P576" s="235" t="s">
        <v>438</v>
      </c>
      <c r="Q576" s="235" t="s">
        <v>438</v>
      </c>
      <c r="R576" s="235" t="s">
        <v>438</v>
      </c>
      <c r="S576" s="235" t="s">
        <v>438</v>
      </c>
      <c r="T576" s="235" t="s">
        <v>438</v>
      </c>
      <c r="U576" s="235" t="s">
        <v>438</v>
      </c>
      <c r="V576" s="235" t="s">
        <v>438</v>
      </c>
      <c r="W576" s="235" t="s">
        <v>438</v>
      </c>
      <c r="X576" s="235" t="s">
        <v>438</v>
      </c>
      <c r="Y576" s="235" t="s">
        <v>438</v>
      </c>
    </row>
    <row r="577" spans="1:25">
      <c r="A577" s="231" t="s">
        <v>511</v>
      </c>
      <c r="B577" s="235" t="s">
        <v>438</v>
      </c>
      <c r="C577" s="235" t="s">
        <v>438</v>
      </c>
      <c r="D577" s="235" t="s">
        <v>438</v>
      </c>
      <c r="E577" s="235" t="s">
        <v>438</v>
      </c>
      <c r="F577" s="235" t="s">
        <v>438</v>
      </c>
      <c r="G577" s="235" t="s">
        <v>438</v>
      </c>
      <c r="H577" s="235" t="s">
        <v>438</v>
      </c>
      <c r="I577" s="235" t="s">
        <v>438</v>
      </c>
      <c r="J577" s="235" t="s">
        <v>438</v>
      </c>
      <c r="K577" s="235" t="s">
        <v>438</v>
      </c>
      <c r="L577" s="235" t="s">
        <v>438</v>
      </c>
      <c r="M577" s="235" t="s">
        <v>438</v>
      </c>
      <c r="N577" s="235" t="s">
        <v>438</v>
      </c>
      <c r="O577" s="235" t="s">
        <v>438</v>
      </c>
      <c r="P577" s="235" t="s">
        <v>438</v>
      </c>
      <c r="Q577" s="235" t="s">
        <v>438</v>
      </c>
      <c r="R577" s="235" t="s">
        <v>438</v>
      </c>
      <c r="S577" s="235" t="s">
        <v>438</v>
      </c>
      <c r="T577" s="235" t="s">
        <v>438</v>
      </c>
      <c r="U577" s="235" t="s">
        <v>438</v>
      </c>
      <c r="V577" s="235" t="s">
        <v>438</v>
      </c>
      <c r="W577" s="235" t="s">
        <v>438</v>
      </c>
      <c r="X577" s="235" t="s">
        <v>438</v>
      </c>
      <c r="Y577" s="235" t="s">
        <v>438</v>
      </c>
    </row>
    <row r="578" spans="1:25">
      <c r="A578" s="231" t="s">
        <v>512</v>
      </c>
      <c r="B578" s="235" t="s">
        <v>438</v>
      </c>
      <c r="C578" s="235" t="s">
        <v>438</v>
      </c>
      <c r="D578" s="235" t="s">
        <v>438</v>
      </c>
      <c r="E578" s="235" t="s">
        <v>438</v>
      </c>
      <c r="F578" s="235" t="s">
        <v>438</v>
      </c>
      <c r="G578" s="235" t="s">
        <v>438</v>
      </c>
      <c r="H578" s="235" t="s">
        <v>438</v>
      </c>
      <c r="I578" s="235" t="s">
        <v>438</v>
      </c>
      <c r="J578" s="235" t="s">
        <v>438</v>
      </c>
      <c r="K578" s="235" t="s">
        <v>438</v>
      </c>
      <c r="L578" s="235" t="s">
        <v>438</v>
      </c>
      <c r="M578" s="235" t="s">
        <v>438</v>
      </c>
      <c r="N578" s="235" t="s">
        <v>438</v>
      </c>
      <c r="O578" s="235" t="s">
        <v>438</v>
      </c>
      <c r="P578" s="235" t="s">
        <v>438</v>
      </c>
      <c r="Q578" s="235" t="s">
        <v>438</v>
      </c>
      <c r="R578" s="235" t="s">
        <v>438</v>
      </c>
      <c r="S578" s="235" t="s">
        <v>438</v>
      </c>
      <c r="T578" s="235" t="s">
        <v>438</v>
      </c>
      <c r="U578" s="235" t="s">
        <v>438</v>
      </c>
      <c r="V578" s="235" t="s">
        <v>438</v>
      </c>
      <c r="W578" s="235" t="s">
        <v>438</v>
      </c>
      <c r="X578" s="235" t="s">
        <v>438</v>
      </c>
      <c r="Y578" s="235" t="s">
        <v>438</v>
      </c>
    </row>
    <row r="579" spans="1:25">
      <c r="A579" s="231" t="s">
        <v>471</v>
      </c>
      <c r="B579" s="235">
        <v>163.90481567382801</v>
      </c>
      <c r="C579" s="235">
        <v>177.16523742675801</v>
      </c>
      <c r="D579" s="235">
        <v>181.72630310058599</v>
      </c>
      <c r="E579" s="235">
        <v>185.23806762695301</v>
      </c>
      <c r="F579" s="235">
        <v>178.77069091796901</v>
      </c>
      <c r="G579" s="235">
        <v>174.57431030273401</v>
      </c>
      <c r="H579" s="235">
        <v>173.49729919433599</v>
      </c>
      <c r="I579" s="235">
        <v>174.68045043945301</v>
      </c>
      <c r="J579" s="235">
        <v>175.87545776367199</v>
      </c>
      <c r="K579" s="235">
        <v>177.93170166015599</v>
      </c>
      <c r="L579" s="235">
        <v>181.97520446777301</v>
      </c>
      <c r="M579" s="235">
        <v>185.45910644531301</v>
      </c>
      <c r="N579" s="235">
        <v>189.89924621582</v>
      </c>
      <c r="O579" s="235">
        <v>193.20950317382801</v>
      </c>
      <c r="P579" s="235">
        <v>195.50482177734401</v>
      </c>
      <c r="Q579" s="235">
        <v>197.60719299316401</v>
      </c>
      <c r="R579" s="235">
        <v>201.40017700195301</v>
      </c>
      <c r="S579" s="235">
        <v>205.80612182617199</v>
      </c>
      <c r="T579" s="235">
        <v>209.76078796386699</v>
      </c>
      <c r="U579" s="235">
        <v>212.75457763671901</v>
      </c>
      <c r="V579" s="235">
        <v>215.110427856445</v>
      </c>
      <c r="W579" s="235">
        <v>217.42091369628901</v>
      </c>
      <c r="X579" s="235">
        <v>220.97119140625</v>
      </c>
      <c r="Y579" s="235">
        <v>223.85739135742199</v>
      </c>
    </row>
    <row r="580" spans="1:25">
      <c r="A580" s="231" t="s">
        <v>478</v>
      </c>
      <c r="B580" s="235">
        <v>122.690147399902</v>
      </c>
      <c r="C580" s="235">
        <v>128.153732299805</v>
      </c>
      <c r="D580" s="235">
        <v>130.48348999023401</v>
      </c>
      <c r="E580" s="235">
        <v>132.28971862793</v>
      </c>
      <c r="F580" s="235">
        <v>128.48481750488301</v>
      </c>
      <c r="G580" s="235">
        <v>125.5166015625</v>
      </c>
      <c r="H580" s="235">
        <v>125.36106109619099</v>
      </c>
      <c r="I580" s="235">
        <v>127.820442199707</v>
      </c>
      <c r="J580" s="235">
        <v>129.92327880859401</v>
      </c>
      <c r="K580" s="235">
        <v>133.10743713378901</v>
      </c>
      <c r="L580" s="235">
        <v>137.92835998535199</v>
      </c>
      <c r="M580" s="235">
        <v>142.925369262695</v>
      </c>
      <c r="N580" s="235">
        <v>148.816970825195</v>
      </c>
      <c r="O580" s="235">
        <v>153.52194213867199</v>
      </c>
      <c r="P580" s="235">
        <v>157.03869628906301</v>
      </c>
      <c r="Q580" s="235">
        <v>161.345138549805</v>
      </c>
      <c r="R580" s="235">
        <v>166.52362060546901</v>
      </c>
      <c r="S580" s="235">
        <v>172.33033752441401</v>
      </c>
      <c r="T580" s="235">
        <v>177.27947998046901</v>
      </c>
      <c r="U580" s="235">
        <v>182.50421142578099</v>
      </c>
      <c r="V580" s="235">
        <v>186.391357421875</v>
      </c>
      <c r="W580" s="235">
        <v>190.50810241699199</v>
      </c>
      <c r="X580" s="235">
        <v>195.38455200195301</v>
      </c>
      <c r="Y580" s="235">
        <v>200.92575073242199</v>
      </c>
    </row>
    <row r="581" spans="1:25">
      <c r="A581" s="231" t="s">
        <v>513</v>
      </c>
      <c r="B581" s="235">
        <v>124.39901733398401</v>
      </c>
      <c r="C581" s="235">
        <v>147.11244201660199</v>
      </c>
      <c r="D581" s="235">
        <v>168.10716247558599</v>
      </c>
      <c r="E581" s="235">
        <v>167.31402587890599</v>
      </c>
      <c r="F581" s="235">
        <v>151.68084716796901</v>
      </c>
      <c r="G581" s="235">
        <v>143.54243469238301</v>
      </c>
      <c r="H581" s="235">
        <v>141.56742858886699</v>
      </c>
      <c r="I581" s="235">
        <v>140.77819824218801</v>
      </c>
      <c r="J581" s="235">
        <v>139.57333374023401</v>
      </c>
      <c r="K581" s="235">
        <v>140.39901733398401</v>
      </c>
      <c r="L581" s="235">
        <v>142.75350952148401</v>
      </c>
      <c r="M581" s="235">
        <v>145.42568969726599</v>
      </c>
      <c r="N581" s="235">
        <v>149.20526123046901</v>
      </c>
      <c r="O581" s="235">
        <v>152.35485839843801</v>
      </c>
      <c r="P581" s="235">
        <v>153.50325012207</v>
      </c>
      <c r="Q581" s="235">
        <v>156.35830688476599</v>
      </c>
      <c r="R581" s="235">
        <v>160.767654418945</v>
      </c>
      <c r="S581" s="235">
        <v>165.76315307617199</v>
      </c>
      <c r="T581" s="235">
        <v>169.931716918945</v>
      </c>
      <c r="U581" s="235">
        <v>173.961990356445</v>
      </c>
      <c r="V581" s="235">
        <v>176.65931701660199</v>
      </c>
      <c r="W581" s="235">
        <v>179.21453857421901</v>
      </c>
      <c r="X581" s="235">
        <v>182.00726318359401</v>
      </c>
      <c r="Y581" s="235">
        <v>184.95687866210901</v>
      </c>
    </row>
    <row r="582" spans="1:25">
      <c r="A582" s="231" t="s">
        <v>485</v>
      </c>
      <c r="B582" s="235">
        <v>263.72879028320301</v>
      </c>
      <c r="C582" s="235">
        <v>302.59255981445301</v>
      </c>
      <c r="D582" s="235">
        <v>352.23770141601602</v>
      </c>
      <c r="E582" s="235">
        <v>351.05020141601602</v>
      </c>
      <c r="F582" s="235">
        <v>340.83407592773398</v>
      </c>
      <c r="G582" s="235">
        <v>332.5693359375</v>
      </c>
      <c r="H582" s="235">
        <v>335.96701049804699</v>
      </c>
      <c r="I582" s="235">
        <v>336.85531616210898</v>
      </c>
      <c r="J582" s="235">
        <v>341.13198852539102</v>
      </c>
      <c r="K582" s="235">
        <v>348.16427612304699</v>
      </c>
      <c r="L582" s="235">
        <v>352.90618896484398</v>
      </c>
      <c r="M582" s="235">
        <v>359.69818115234398</v>
      </c>
      <c r="N582" s="235">
        <v>365.95080566406301</v>
      </c>
      <c r="O582" s="235">
        <v>372.46246337890602</v>
      </c>
      <c r="P582" s="235">
        <v>379.283447265625</v>
      </c>
      <c r="Q582" s="235">
        <v>387.02755737304699</v>
      </c>
      <c r="R582" s="235">
        <v>393.88119506835898</v>
      </c>
      <c r="S582" s="235">
        <v>401.07183837890602</v>
      </c>
      <c r="T582" s="235">
        <v>407.83190917968801</v>
      </c>
      <c r="U582" s="235">
        <v>415.10699462890602</v>
      </c>
      <c r="V582" s="235">
        <v>423.06927490234398</v>
      </c>
      <c r="W582" s="235">
        <v>431.36416625976602</v>
      </c>
      <c r="X582" s="235">
        <v>438.52017211914102</v>
      </c>
      <c r="Y582" s="235">
        <v>449.30920410156301</v>
      </c>
    </row>
    <row r="583" spans="1:25">
      <c r="A583" s="231" t="s">
        <v>514</v>
      </c>
      <c r="B583" s="235">
        <v>674.72277832031295</v>
      </c>
      <c r="C583" s="235">
        <v>755.02398681640602</v>
      </c>
      <c r="D583" s="235">
        <v>832.5546875</v>
      </c>
      <c r="E583" s="235">
        <v>835.89202880859398</v>
      </c>
      <c r="F583" s="235">
        <v>799.77044677734398</v>
      </c>
      <c r="G583" s="235">
        <v>776.20269775390602</v>
      </c>
      <c r="H583" s="235">
        <v>776.392822265625</v>
      </c>
      <c r="I583" s="235">
        <v>780.13439941406295</v>
      </c>
      <c r="J583" s="235">
        <v>786.50402832031295</v>
      </c>
      <c r="K583" s="235">
        <v>799.60241699218795</v>
      </c>
      <c r="L583" s="235">
        <v>815.563232421875</v>
      </c>
      <c r="M583" s="235">
        <v>833.50836181640602</v>
      </c>
      <c r="N583" s="235">
        <v>853.872314453125</v>
      </c>
      <c r="O583" s="235">
        <v>871.54876708984398</v>
      </c>
      <c r="P583" s="235">
        <v>885.33020019531295</v>
      </c>
      <c r="Q583" s="235">
        <v>902.33819580078102</v>
      </c>
      <c r="R583" s="235">
        <v>922.57263183593795</v>
      </c>
      <c r="S583" s="235">
        <v>944.971435546875</v>
      </c>
      <c r="T583" s="235">
        <v>964.80389404296898</v>
      </c>
      <c r="U583" s="235">
        <v>984.32775878906295</v>
      </c>
      <c r="V583" s="235">
        <v>1001.23034667969</v>
      </c>
      <c r="W583" s="235">
        <v>1018.50769042969</v>
      </c>
      <c r="X583" s="235">
        <v>1036.88317871094</v>
      </c>
      <c r="Y583" s="235">
        <v>1059.04919433594</v>
      </c>
    </row>
    <row r="584" spans="1:25">
      <c r="A584" s="231" t="s">
        <v>515</v>
      </c>
      <c r="B584" s="235">
        <v>1.1704622767865699E-2</v>
      </c>
      <c r="C584" s="235">
        <v>1.72001253813505E-2</v>
      </c>
      <c r="D584" s="235">
        <v>2.0739471539855E-2</v>
      </c>
      <c r="E584" s="235">
        <v>2.2893460467457799E-2</v>
      </c>
      <c r="F584" s="235">
        <v>2.3359816521406201E-2</v>
      </c>
      <c r="G584" s="235">
        <v>2.56899110972881E-2</v>
      </c>
      <c r="H584" s="235">
        <v>2.8361881151795401E-2</v>
      </c>
      <c r="I584" s="235">
        <v>3.0972529202699699E-2</v>
      </c>
      <c r="J584" s="235">
        <v>3.4895084798336001E-2</v>
      </c>
      <c r="K584" s="235">
        <v>3.86636592447758E-2</v>
      </c>
      <c r="L584" s="235">
        <v>4.1480015963315998E-2</v>
      </c>
      <c r="M584" s="235">
        <v>4.3943785130977603E-2</v>
      </c>
      <c r="N584" s="235">
        <v>4.6801801770925501E-2</v>
      </c>
      <c r="O584" s="235">
        <v>4.9450792372226701E-2</v>
      </c>
      <c r="P584" s="235">
        <v>5.3890265524387401E-2</v>
      </c>
      <c r="Q584" s="235">
        <v>5.8303136378526701E-2</v>
      </c>
      <c r="R584" s="235">
        <v>6.2215700745582601E-2</v>
      </c>
      <c r="S584" s="235">
        <v>6.0202639549970599E-2</v>
      </c>
      <c r="T584" s="235">
        <v>6.6687978804111495E-2</v>
      </c>
      <c r="U584" s="235">
        <v>6.8060472607612596E-2</v>
      </c>
      <c r="V584" s="235">
        <v>7.0131160318851499E-2</v>
      </c>
      <c r="W584" s="235">
        <v>7.4032962322235094E-2</v>
      </c>
      <c r="X584" s="235">
        <v>7.6179362833499895E-2</v>
      </c>
      <c r="Y584" s="235">
        <v>7.9960107803344699E-2</v>
      </c>
    </row>
    <row r="585" spans="1:25">
      <c r="A585" s="231" t="s">
        <v>516</v>
      </c>
      <c r="B585" s="235">
        <v>674.73449707031295</v>
      </c>
      <c r="C585" s="235">
        <v>755.04119873046898</v>
      </c>
      <c r="D585" s="235">
        <v>832.575439453125</v>
      </c>
      <c r="E585" s="235">
        <v>835.91491699218795</v>
      </c>
      <c r="F585" s="235">
        <v>799.79382324218795</v>
      </c>
      <c r="G585" s="235">
        <v>776.22839355468795</v>
      </c>
      <c r="H585" s="235">
        <v>776.42120361328102</v>
      </c>
      <c r="I585" s="235">
        <v>780.16534423828102</v>
      </c>
      <c r="J585" s="235">
        <v>786.53894042968795</v>
      </c>
      <c r="K585" s="235">
        <v>799.64105224609398</v>
      </c>
      <c r="L585" s="235">
        <v>815.604736328125</v>
      </c>
      <c r="M585" s="235">
        <v>833.55230712890602</v>
      </c>
      <c r="N585" s="235">
        <v>853.91912841796898</v>
      </c>
      <c r="O585" s="235">
        <v>871.59820556640602</v>
      </c>
      <c r="P585" s="235">
        <v>885.38409423828102</v>
      </c>
      <c r="Q585" s="235">
        <v>902.396484375</v>
      </c>
      <c r="R585" s="235">
        <v>922.63482666015602</v>
      </c>
      <c r="S585" s="235">
        <v>945.03161621093795</v>
      </c>
      <c r="T585" s="235">
        <v>964.87060546875</v>
      </c>
      <c r="U585" s="235">
        <v>984.39581298828102</v>
      </c>
      <c r="V585" s="235">
        <v>1001.30047607422</v>
      </c>
      <c r="W585" s="235">
        <v>1018.58172607422</v>
      </c>
      <c r="X585" s="235">
        <v>1036.95935058594</v>
      </c>
      <c r="Y585" s="235">
        <v>1059.12915039063</v>
      </c>
    </row>
    <row r="586" spans="1:25">
      <c r="A586" s="271" t="s">
        <v>1078</v>
      </c>
      <c r="B586" s="235" t="s">
        <v>591</v>
      </c>
      <c r="C586" s="235"/>
      <c r="D586" s="235"/>
      <c r="E586" s="235"/>
      <c r="F586" s="235"/>
      <c r="G586" s="235"/>
      <c r="H586" s="235"/>
      <c r="I586" s="235"/>
      <c r="J586" s="235"/>
      <c r="K586" s="235"/>
      <c r="L586" s="235"/>
      <c r="M586" s="235"/>
      <c r="N586" s="235"/>
      <c r="O586" s="235"/>
      <c r="P586" s="235"/>
      <c r="Q586" s="235"/>
      <c r="R586" s="235"/>
      <c r="S586" s="235"/>
      <c r="T586" s="235"/>
      <c r="U586" s="235"/>
      <c r="V586" s="235"/>
      <c r="W586" s="235"/>
      <c r="X586" s="235"/>
      <c r="Y586" s="235"/>
    </row>
    <row r="587" spans="1:25">
      <c r="A587" s="260" t="s">
        <v>311</v>
      </c>
      <c r="B587" s="235" t="s">
        <v>591</v>
      </c>
      <c r="C587" s="235"/>
      <c r="D587" s="235"/>
      <c r="E587" s="235"/>
      <c r="F587" s="235"/>
      <c r="G587" s="235"/>
      <c r="H587" s="235"/>
      <c r="I587" s="235"/>
      <c r="J587" s="235"/>
      <c r="K587" s="235"/>
      <c r="L587" s="235"/>
      <c r="M587" s="235"/>
      <c r="N587" s="235"/>
      <c r="O587" s="235"/>
      <c r="P587" s="235"/>
      <c r="Q587" s="235"/>
      <c r="R587" s="235"/>
      <c r="S587" s="235"/>
      <c r="T587" s="235"/>
      <c r="U587" s="235"/>
      <c r="V587" s="235"/>
      <c r="W587" s="235"/>
      <c r="X587" s="235"/>
      <c r="Y587" s="235"/>
    </row>
    <row r="588" spans="1:25">
      <c r="A588" s="231" t="s">
        <v>438</v>
      </c>
      <c r="B588" s="235" t="s">
        <v>438</v>
      </c>
      <c r="C588" s="235" t="s">
        <v>438</v>
      </c>
      <c r="D588" s="235" t="s">
        <v>438</v>
      </c>
      <c r="E588" s="235" t="s">
        <v>438</v>
      </c>
      <c r="F588" s="235" t="s">
        <v>438</v>
      </c>
      <c r="G588" s="235" t="s">
        <v>438</v>
      </c>
      <c r="H588" s="235" t="s">
        <v>438</v>
      </c>
      <c r="I588" s="235" t="s">
        <v>438</v>
      </c>
      <c r="J588" s="235" t="s">
        <v>438</v>
      </c>
      <c r="K588" s="235" t="s">
        <v>438</v>
      </c>
      <c r="L588" s="235" t="s">
        <v>438</v>
      </c>
      <c r="M588" s="235" t="s">
        <v>438</v>
      </c>
      <c r="N588" s="235" t="s">
        <v>438</v>
      </c>
      <c r="O588" s="235" t="s">
        <v>438</v>
      </c>
      <c r="P588" s="235" t="s">
        <v>438</v>
      </c>
      <c r="Q588" s="235" t="s">
        <v>438</v>
      </c>
      <c r="R588" s="235" t="s">
        <v>438</v>
      </c>
      <c r="S588" s="235" t="s">
        <v>438</v>
      </c>
      <c r="T588" s="235" t="s">
        <v>438</v>
      </c>
      <c r="U588" s="235" t="s">
        <v>438</v>
      </c>
      <c r="V588" s="235" t="s">
        <v>438</v>
      </c>
      <c r="W588" s="235" t="s">
        <v>438</v>
      </c>
      <c r="X588" s="235" t="s">
        <v>438</v>
      </c>
      <c r="Y588" s="235" t="s">
        <v>438</v>
      </c>
    </row>
    <row r="589" spans="1:25">
      <c r="A589" s="231" t="s">
        <v>517</v>
      </c>
      <c r="B589" s="235"/>
      <c r="C589" s="235"/>
      <c r="D589" s="235"/>
      <c r="E589" s="235"/>
      <c r="F589" s="235"/>
      <c r="G589" s="235"/>
      <c r="H589" s="235"/>
      <c r="I589" s="235"/>
      <c r="J589" s="235"/>
      <c r="K589" s="235"/>
      <c r="L589" s="235"/>
      <c r="M589" s="235"/>
      <c r="N589" s="235"/>
      <c r="O589" s="235"/>
      <c r="P589" s="235"/>
      <c r="Q589" s="235"/>
      <c r="R589" s="235"/>
      <c r="S589" s="235"/>
      <c r="T589" s="235"/>
      <c r="U589" s="235"/>
      <c r="V589" s="235"/>
      <c r="W589" s="235"/>
      <c r="X589" s="235"/>
      <c r="Y589" s="235"/>
    </row>
    <row r="590" spans="1:25">
      <c r="A590" s="231" t="s">
        <v>518</v>
      </c>
      <c r="B590" s="235"/>
      <c r="C590" s="235"/>
      <c r="D590" s="235"/>
      <c r="E590" s="235"/>
      <c r="F590" s="235"/>
      <c r="G590" s="235"/>
      <c r="H590" s="235"/>
      <c r="I590" s="235"/>
      <c r="J590" s="235"/>
      <c r="K590" s="235"/>
      <c r="L590" s="235"/>
      <c r="M590" s="235"/>
      <c r="N590" s="235"/>
      <c r="O590" s="235"/>
      <c r="P590" s="235"/>
      <c r="Q590" s="235"/>
      <c r="R590" s="235"/>
      <c r="S590" s="235"/>
      <c r="T590" s="235"/>
      <c r="U590" s="235"/>
      <c r="V590" s="235"/>
      <c r="W590" s="235"/>
      <c r="X590" s="235"/>
      <c r="Y590" s="235"/>
    </row>
    <row r="591" spans="1:25">
      <c r="A591" s="231" t="s">
        <v>519</v>
      </c>
      <c r="B591" s="235"/>
      <c r="C591" s="235"/>
      <c r="D591" s="235"/>
      <c r="E591" s="235"/>
      <c r="F591" s="235"/>
      <c r="G591" s="235"/>
      <c r="H591" s="235"/>
      <c r="I591" s="235"/>
      <c r="J591" s="235"/>
      <c r="K591" s="235"/>
      <c r="L591" s="235"/>
      <c r="M591" s="235"/>
      <c r="N591" s="235"/>
      <c r="O591" s="235"/>
      <c r="P591" s="235"/>
      <c r="Q591" s="235"/>
      <c r="R591" s="235"/>
      <c r="S591" s="235"/>
      <c r="T591" s="235"/>
      <c r="U591" s="235"/>
      <c r="V591" s="235"/>
      <c r="W591" s="235"/>
      <c r="X591" s="235"/>
      <c r="Y591" s="235"/>
    </row>
    <row r="592" spans="1:25">
      <c r="A592" s="231" t="s">
        <v>520</v>
      </c>
      <c r="B592" s="235"/>
      <c r="C592" s="235"/>
      <c r="D592" s="235"/>
      <c r="E592" s="235"/>
      <c r="F592" s="235"/>
      <c r="G592" s="235"/>
      <c r="H592" s="235"/>
      <c r="I592" s="235"/>
      <c r="J592" s="235"/>
      <c r="K592" s="235"/>
      <c r="L592" s="235"/>
      <c r="M592" s="235"/>
      <c r="N592" s="235"/>
      <c r="O592" s="235"/>
      <c r="P592" s="235"/>
      <c r="Q592" s="235"/>
      <c r="R592" s="235"/>
      <c r="S592" s="235"/>
      <c r="T592" s="235"/>
      <c r="U592" s="235"/>
      <c r="V592" s="235"/>
      <c r="W592" s="235"/>
      <c r="X592" s="235"/>
      <c r="Y592" s="235"/>
    </row>
    <row r="593" spans="1:25">
      <c r="A593" s="231" t="s">
        <v>521</v>
      </c>
      <c r="B593" s="235"/>
      <c r="C593" s="235"/>
      <c r="D593" s="235"/>
      <c r="E593" s="235"/>
      <c r="F593" s="235"/>
      <c r="G593" s="235"/>
      <c r="H593" s="235"/>
      <c r="I593" s="235"/>
      <c r="J593" s="235"/>
      <c r="K593" s="235"/>
      <c r="L593" s="235"/>
      <c r="M593" s="235"/>
      <c r="N593" s="235"/>
      <c r="O593" s="235"/>
      <c r="P593" s="235"/>
      <c r="Q593" s="235"/>
      <c r="R593" s="235"/>
      <c r="S593" s="235"/>
      <c r="T593" s="235"/>
      <c r="U593" s="235"/>
      <c r="V593" s="235"/>
      <c r="W593" s="235"/>
      <c r="X593" s="235"/>
      <c r="Y593" s="235"/>
    </row>
    <row r="594" spans="1:25">
      <c r="A594" s="231" t="s">
        <v>522</v>
      </c>
      <c r="B594" s="235"/>
      <c r="C594" s="235"/>
      <c r="D594" s="235"/>
      <c r="E594" s="235"/>
      <c r="F594" s="235"/>
      <c r="G594" s="235"/>
      <c r="H594" s="235"/>
      <c r="I594" s="235"/>
      <c r="J594" s="235"/>
      <c r="K594" s="235"/>
      <c r="L594" s="235"/>
      <c r="M594" s="235"/>
      <c r="N594" s="235"/>
      <c r="O594" s="235"/>
      <c r="P594" s="235"/>
      <c r="Q594" s="235"/>
      <c r="R594" s="235"/>
      <c r="S594" s="235"/>
      <c r="T594" s="235"/>
      <c r="U594" s="235"/>
      <c r="V594" s="235"/>
      <c r="W594" s="235"/>
      <c r="X594" s="235"/>
      <c r="Y594" s="235"/>
    </row>
    <row r="595" spans="1:25">
      <c r="A595" s="231" t="s">
        <v>523</v>
      </c>
      <c r="B595" s="235"/>
      <c r="C595" s="235"/>
      <c r="D595" s="235"/>
      <c r="E595" s="235"/>
      <c r="F595" s="235"/>
      <c r="G595" s="235"/>
      <c r="H595" s="235"/>
      <c r="I595" s="235"/>
      <c r="J595" s="235"/>
      <c r="K595" s="235"/>
      <c r="L595" s="235"/>
      <c r="M595" s="235"/>
      <c r="N595" s="235"/>
      <c r="O595" s="235"/>
      <c r="P595" s="235"/>
      <c r="Q595" s="235"/>
      <c r="R595" s="235"/>
      <c r="S595" s="235"/>
      <c r="T595" s="235"/>
      <c r="U595" s="235"/>
      <c r="V595" s="235"/>
      <c r="W595" s="235"/>
      <c r="X595" s="235"/>
      <c r="Y595" s="235"/>
    </row>
    <row r="596" spans="1:25">
      <c r="A596" s="231" t="s">
        <v>524</v>
      </c>
      <c r="B596" s="235"/>
      <c r="C596" s="235"/>
      <c r="D596" s="235"/>
      <c r="E596" s="235"/>
      <c r="F596" s="235"/>
      <c r="G596" s="235"/>
      <c r="H596" s="235"/>
      <c r="I596" s="235"/>
      <c r="J596" s="235"/>
      <c r="K596" s="235"/>
      <c r="L596" s="235"/>
      <c r="M596" s="235"/>
      <c r="N596" s="235"/>
      <c r="O596" s="235"/>
      <c r="P596" s="235"/>
      <c r="Q596" s="235"/>
      <c r="R596" s="235"/>
      <c r="S596" s="235"/>
      <c r="T596" s="235"/>
      <c r="U596" s="235"/>
      <c r="V596" s="235"/>
      <c r="W596" s="235"/>
      <c r="X596" s="235"/>
      <c r="Y596" s="235"/>
    </row>
    <row r="597" spans="1:25">
      <c r="A597" s="231" t="s">
        <v>525</v>
      </c>
      <c r="B597" s="235"/>
      <c r="C597" s="235"/>
      <c r="D597" s="235"/>
      <c r="E597" s="235"/>
      <c r="F597" s="235"/>
      <c r="G597" s="235"/>
      <c r="H597" s="235"/>
      <c r="I597" s="235"/>
      <c r="J597" s="235"/>
      <c r="K597" s="235"/>
      <c r="L597" s="235"/>
      <c r="M597" s="235"/>
      <c r="N597" s="235"/>
      <c r="O597" s="235"/>
      <c r="P597" s="235"/>
      <c r="Q597" s="235"/>
      <c r="R597" s="235"/>
      <c r="S597" s="235"/>
      <c r="T597" s="235"/>
      <c r="U597" s="235"/>
      <c r="V597" s="235"/>
      <c r="W597" s="235"/>
      <c r="X597" s="235"/>
      <c r="Y597" s="235"/>
    </row>
    <row r="598" spans="1:25">
      <c r="A598" s="231" t="s">
        <v>530</v>
      </c>
      <c r="B598" s="235"/>
      <c r="C598" s="235"/>
      <c r="D598" s="235"/>
      <c r="E598" s="235"/>
      <c r="F598" s="235"/>
      <c r="G598" s="235"/>
      <c r="H598" s="235"/>
      <c r="I598" s="235"/>
      <c r="J598" s="235"/>
      <c r="K598" s="235"/>
      <c r="L598" s="235"/>
      <c r="M598" s="235"/>
      <c r="N598" s="235"/>
      <c r="O598" s="235"/>
      <c r="P598" s="235"/>
      <c r="Q598" s="235"/>
      <c r="R598" s="235"/>
      <c r="S598" s="235"/>
      <c r="T598" s="235"/>
      <c r="U598" s="235"/>
      <c r="V598" s="235"/>
      <c r="W598" s="235"/>
      <c r="X598" s="235"/>
      <c r="Y598" s="235"/>
    </row>
    <row r="599" spans="1:25">
      <c r="A599" s="231" t="s">
        <v>540</v>
      </c>
      <c r="B599" s="235"/>
      <c r="C599" s="235"/>
      <c r="D599" s="235"/>
      <c r="E599" s="235"/>
      <c r="F599" s="235"/>
      <c r="G599" s="235"/>
      <c r="H599" s="235"/>
      <c r="I599" s="235"/>
      <c r="J599" s="235"/>
      <c r="K599" s="235"/>
      <c r="L599" s="235"/>
      <c r="M599" s="235"/>
      <c r="N599" s="235"/>
      <c r="O599" s="235"/>
      <c r="P599" s="235"/>
      <c r="Q599" s="235"/>
      <c r="R599" s="235"/>
      <c r="S599" s="235"/>
      <c r="T599" s="235"/>
      <c r="U599" s="235"/>
      <c r="V599" s="235"/>
      <c r="W599" s="235"/>
      <c r="X599" s="235"/>
      <c r="Y599" s="235"/>
    </row>
    <row r="600" spans="1:25">
      <c r="A600" s="231" t="s">
        <v>541</v>
      </c>
      <c r="B600" s="235"/>
      <c r="C600" s="235"/>
      <c r="D600" s="235"/>
      <c r="E600" s="235"/>
      <c r="F600" s="235"/>
      <c r="G600" s="235"/>
      <c r="H600" s="235"/>
      <c r="I600" s="235"/>
      <c r="J600" s="235"/>
      <c r="K600" s="235"/>
      <c r="L600" s="235"/>
      <c r="M600" s="235"/>
      <c r="N600" s="235"/>
      <c r="O600" s="235"/>
      <c r="P600" s="235"/>
      <c r="Q600" s="235"/>
      <c r="R600" s="235"/>
      <c r="S600" s="235"/>
      <c r="T600" s="235"/>
      <c r="U600" s="235"/>
      <c r="V600" s="235"/>
      <c r="W600" s="235"/>
      <c r="X600" s="235"/>
      <c r="Y600" s="235"/>
    </row>
    <row r="601" spans="1:25">
      <c r="A601" s="231" t="s">
        <v>542</v>
      </c>
      <c r="B601" s="235"/>
      <c r="C601" s="235"/>
      <c r="D601" s="235"/>
      <c r="E601" s="235"/>
      <c r="F601" s="235"/>
      <c r="G601" s="235"/>
      <c r="H601" s="235"/>
      <c r="I601" s="235"/>
      <c r="J601" s="235"/>
      <c r="K601" s="235"/>
      <c r="L601" s="235"/>
      <c r="M601" s="235"/>
      <c r="N601" s="235"/>
      <c r="O601" s="235"/>
      <c r="P601" s="235"/>
      <c r="Q601" s="235"/>
      <c r="R601" s="235"/>
      <c r="S601" s="235"/>
      <c r="T601" s="235"/>
      <c r="U601" s="235"/>
      <c r="V601" s="235"/>
      <c r="W601" s="235"/>
      <c r="X601" s="235"/>
      <c r="Y601" s="235"/>
    </row>
    <row r="602" spans="1:25">
      <c r="A602" s="231" t="s">
        <v>543</v>
      </c>
      <c r="B602" s="235"/>
      <c r="C602" s="235"/>
      <c r="D602" s="235"/>
      <c r="E602" s="235"/>
      <c r="F602" s="235"/>
      <c r="G602" s="235"/>
      <c r="H602" s="235"/>
      <c r="I602" s="235"/>
      <c r="J602" s="235"/>
      <c r="K602" s="235"/>
      <c r="L602" s="235"/>
      <c r="M602" s="235"/>
      <c r="N602" s="235"/>
      <c r="O602" s="235"/>
      <c r="P602" s="235"/>
      <c r="Q602" s="235"/>
      <c r="R602" s="235"/>
      <c r="S602" s="235"/>
      <c r="T602" s="235"/>
      <c r="U602" s="235"/>
      <c r="V602" s="235"/>
      <c r="W602" s="235"/>
      <c r="X602" s="235"/>
      <c r="Y602" s="235"/>
    </row>
    <row r="603" spans="1:25">
      <c r="A603" s="231" t="s">
        <v>544</v>
      </c>
      <c r="B603" s="235"/>
      <c r="C603" s="235"/>
      <c r="D603" s="235"/>
      <c r="E603" s="235"/>
      <c r="F603" s="235"/>
      <c r="G603" s="235"/>
      <c r="H603" s="235"/>
      <c r="I603" s="235"/>
      <c r="J603" s="235"/>
      <c r="K603" s="235"/>
      <c r="L603" s="235"/>
      <c r="M603" s="235"/>
      <c r="N603" s="235"/>
      <c r="O603" s="235"/>
      <c r="P603" s="235"/>
      <c r="Q603" s="235"/>
      <c r="R603" s="235"/>
      <c r="S603" s="235"/>
      <c r="T603" s="235"/>
      <c r="U603" s="235"/>
      <c r="V603" s="235"/>
      <c r="W603" s="235"/>
      <c r="X603" s="235"/>
      <c r="Y603" s="235"/>
    </row>
    <row r="604" spans="1:25">
      <c r="A604" s="231" t="s">
        <v>545</v>
      </c>
      <c r="B604" s="235"/>
      <c r="C604" s="235"/>
      <c r="D604" s="235"/>
      <c r="E604" s="235"/>
      <c r="F604" s="235"/>
      <c r="G604" s="235"/>
      <c r="H604" s="235"/>
      <c r="I604" s="235"/>
      <c r="J604" s="235"/>
      <c r="K604" s="235"/>
      <c r="L604" s="235"/>
      <c r="M604" s="235"/>
      <c r="N604" s="235"/>
      <c r="O604" s="235"/>
      <c r="P604" s="235"/>
      <c r="Q604" s="235"/>
      <c r="R604" s="235"/>
      <c r="S604" s="235"/>
      <c r="T604" s="235"/>
      <c r="U604" s="235"/>
      <c r="V604" s="235"/>
      <c r="W604" s="235"/>
      <c r="X604" s="235"/>
      <c r="Y604" s="235"/>
    </row>
    <row r="605" spans="1:25">
      <c r="A605" s="231" t="s">
        <v>546</v>
      </c>
      <c r="B605" s="235"/>
      <c r="C605" s="235"/>
      <c r="D605" s="235"/>
      <c r="E605" s="235"/>
      <c r="F605" s="235"/>
      <c r="G605" s="235"/>
      <c r="H605" s="235"/>
      <c r="I605" s="235"/>
      <c r="J605" s="235"/>
      <c r="K605" s="235"/>
      <c r="L605" s="235"/>
      <c r="M605" s="235"/>
      <c r="N605" s="235"/>
      <c r="O605" s="235"/>
      <c r="P605" s="235"/>
      <c r="Q605" s="235"/>
      <c r="R605" s="235"/>
      <c r="S605" s="235"/>
      <c r="T605" s="235"/>
      <c r="U605" s="235"/>
      <c r="V605" s="235"/>
      <c r="W605" s="235"/>
      <c r="X605" s="235"/>
      <c r="Y605" s="235"/>
    </row>
    <row r="606" spans="1:25">
      <c r="A606" s="231" t="s">
        <v>550</v>
      </c>
      <c r="B606" s="235"/>
      <c r="C606" s="235"/>
      <c r="D606" s="235"/>
      <c r="E606" s="235"/>
      <c r="F606" s="235"/>
      <c r="G606" s="235"/>
      <c r="H606" s="235"/>
      <c r="I606" s="235"/>
      <c r="J606" s="235"/>
      <c r="K606" s="235"/>
      <c r="L606" s="235"/>
      <c r="M606" s="235"/>
      <c r="N606" s="235"/>
      <c r="O606" s="235"/>
      <c r="P606" s="235"/>
      <c r="Q606" s="235"/>
      <c r="R606" s="235"/>
      <c r="S606" s="235"/>
      <c r="T606" s="235"/>
      <c r="U606" s="235"/>
      <c r="V606" s="235"/>
      <c r="W606" s="235"/>
      <c r="X606" s="235"/>
      <c r="Y606" s="235"/>
    </row>
    <row r="607" spans="1:25">
      <c r="A607" s="231" t="s">
        <v>551</v>
      </c>
      <c r="B607" s="235"/>
      <c r="C607" s="235"/>
      <c r="D607" s="235"/>
      <c r="E607" s="235"/>
      <c r="F607" s="235"/>
      <c r="G607" s="235"/>
      <c r="H607" s="235"/>
      <c r="I607" s="235"/>
      <c r="J607" s="235"/>
      <c r="K607" s="235"/>
      <c r="L607" s="235"/>
      <c r="M607" s="235"/>
      <c r="N607" s="235"/>
      <c r="O607" s="235"/>
      <c r="P607" s="235"/>
      <c r="Q607" s="235"/>
      <c r="R607" s="235"/>
      <c r="S607" s="235"/>
      <c r="T607" s="235"/>
      <c r="U607" s="235"/>
      <c r="V607" s="235"/>
      <c r="W607" s="235"/>
      <c r="X607" s="235"/>
      <c r="Y607" s="235"/>
    </row>
    <row r="608" spans="1:25">
      <c r="A608" s="231" t="s">
        <v>552</v>
      </c>
      <c r="B608" s="235"/>
      <c r="C608" s="235"/>
      <c r="D608" s="235"/>
      <c r="E608" s="235"/>
      <c r="F608" s="235"/>
      <c r="G608" s="235"/>
      <c r="H608" s="235"/>
      <c r="I608" s="235"/>
      <c r="J608" s="235"/>
      <c r="K608" s="235"/>
      <c r="L608" s="235"/>
      <c r="M608" s="235"/>
      <c r="N608" s="235"/>
      <c r="O608" s="235"/>
      <c r="P608" s="235"/>
      <c r="Q608" s="235"/>
      <c r="R608" s="235"/>
      <c r="S608" s="235"/>
      <c r="T608" s="235"/>
      <c r="U608" s="235"/>
      <c r="V608" s="235"/>
      <c r="W608" s="235"/>
      <c r="X608" s="235"/>
      <c r="Y608" s="235"/>
    </row>
    <row r="609" spans="1:25">
      <c r="A609" s="231" t="s">
        <v>553</v>
      </c>
      <c r="B609" s="235"/>
      <c r="C609" s="235"/>
      <c r="D609" s="235"/>
      <c r="E609" s="235"/>
      <c r="F609" s="235"/>
      <c r="G609" s="235"/>
      <c r="H609" s="235"/>
      <c r="I609" s="235"/>
      <c r="J609" s="235"/>
      <c r="K609" s="235"/>
      <c r="L609" s="235"/>
      <c r="M609" s="235"/>
      <c r="N609" s="235"/>
      <c r="O609" s="235"/>
      <c r="P609" s="235"/>
      <c r="Q609" s="235"/>
      <c r="R609" s="235"/>
      <c r="S609" s="235"/>
      <c r="T609" s="235"/>
      <c r="U609" s="235"/>
      <c r="V609" s="235"/>
      <c r="W609" s="235"/>
      <c r="X609" s="235"/>
      <c r="Y609" s="235"/>
    </row>
    <row r="610" spans="1:25">
      <c r="A610" s="231" t="s">
        <v>554</v>
      </c>
      <c r="B610" s="235"/>
      <c r="C610" s="235"/>
      <c r="D610" s="235"/>
      <c r="E610" s="235"/>
      <c r="F610" s="235"/>
      <c r="G610" s="235"/>
      <c r="H610" s="235"/>
      <c r="I610" s="235"/>
      <c r="J610" s="235"/>
      <c r="K610" s="235"/>
      <c r="L610" s="235"/>
      <c r="M610" s="235"/>
      <c r="N610" s="235"/>
      <c r="O610" s="235"/>
      <c r="P610" s="235"/>
      <c r="Q610" s="235"/>
      <c r="R610" s="235"/>
      <c r="S610" s="235"/>
      <c r="T610" s="235"/>
      <c r="U610" s="235"/>
      <c r="V610" s="235"/>
      <c r="W610" s="235"/>
      <c r="X610" s="235"/>
      <c r="Y610" s="235"/>
    </row>
    <row r="611" spans="1:25">
      <c r="A611" s="231" t="s">
        <v>555</v>
      </c>
      <c r="B611" s="235"/>
      <c r="C611" s="235"/>
      <c r="D611" s="235"/>
      <c r="E611" s="235"/>
      <c r="F611" s="235"/>
      <c r="G611" s="235"/>
      <c r="H611" s="235"/>
      <c r="I611" s="235"/>
      <c r="J611" s="235"/>
      <c r="K611" s="235"/>
      <c r="L611" s="235"/>
      <c r="M611" s="235"/>
      <c r="N611" s="235"/>
      <c r="O611" s="235"/>
      <c r="P611" s="235"/>
      <c r="Q611" s="235"/>
      <c r="R611" s="235"/>
      <c r="S611" s="235"/>
      <c r="T611" s="235"/>
      <c r="U611" s="235"/>
      <c r="V611" s="235"/>
      <c r="W611" s="235"/>
      <c r="X611" s="235"/>
      <c r="Y611" s="235"/>
    </row>
    <row r="612" spans="1:25">
      <c r="A612" s="231" t="s">
        <v>556</v>
      </c>
      <c r="B612" s="235"/>
      <c r="C612" s="235"/>
      <c r="D612" s="235"/>
      <c r="E612" s="235"/>
      <c r="F612" s="235"/>
      <c r="G612" s="235"/>
      <c r="H612" s="235"/>
      <c r="I612" s="235"/>
      <c r="J612" s="235"/>
      <c r="K612" s="235"/>
      <c r="L612" s="235"/>
      <c r="M612" s="235"/>
      <c r="N612" s="235"/>
      <c r="O612" s="235"/>
      <c r="P612" s="235"/>
      <c r="Q612" s="235"/>
      <c r="R612" s="235"/>
      <c r="S612" s="235"/>
      <c r="T612" s="235"/>
      <c r="U612" s="235"/>
      <c r="V612" s="235"/>
      <c r="W612" s="235"/>
      <c r="X612" s="235"/>
      <c r="Y612" s="235"/>
    </row>
    <row r="613" spans="1:25">
      <c r="A613" s="231" t="s">
        <v>557</v>
      </c>
      <c r="B613" s="235"/>
      <c r="C613" s="235"/>
      <c r="D613" s="235"/>
      <c r="E613" s="235"/>
      <c r="F613" s="235"/>
      <c r="G613" s="235"/>
      <c r="H613" s="235"/>
      <c r="I613" s="235"/>
      <c r="J613" s="235"/>
      <c r="K613" s="235"/>
      <c r="L613" s="235"/>
      <c r="M613" s="235"/>
      <c r="N613" s="235"/>
      <c r="O613" s="235"/>
      <c r="P613" s="235"/>
      <c r="Q613" s="235"/>
      <c r="R613" s="235"/>
      <c r="S613" s="235"/>
      <c r="T613" s="235"/>
      <c r="U613" s="235"/>
      <c r="V613" s="235"/>
      <c r="W613" s="235"/>
      <c r="X613" s="235"/>
      <c r="Y613" s="235"/>
    </row>
    <row r="614" spans="1:25" ht="14" thickBot="1">
      <c r="A614" s="236" t="s">
        <v>558</v>
      </c>
      <c r="B614" s="237"/>
      <c r="C614" s="237"/>
      <c r="D614" s="237"/>
      <c r="E614" s="237"/>
      <c r="F614" s="237"/>
      <c r="G614" s="237"/>
      <c r="H614" s="237"/>
      <c r="I614" s="237"/>
      <c r="J614" s="237"/>
      <c r="K614" s="237"/>
      <c r="L614" s="237"/>
      <c r="M614" s="237"/>
      <c r="N614" s="237"/>
      <c r="O614" s="237"/>
      <c r="P614" s="237"/>
      <c r="Q614" s="237"/>
      <c r="R614" s="237"/>
      <c r="S614" s="237"/>
      <c r="T614" s="237"/>
      <c r="U614" s="237"/>
      <c r="V614" s="237"/>
      <c r="W614" s="237"/>
      <c r="X614" s="237"/>
      <c r="Y614" s="237"/>
    </row>
    <row r="617" spans="1:25" ht="14" thickBot="1"/>
    <row r="618" spans="1:25">
      <c r="A618" s="228" t="s">
        <v>559</v>
      </c>
      <c r="B618" s="229"/>
      <c r="C618" s="229" t="s">
        <v>858</v>
      </c>
      <c r="D618" s="229"/>
      <c r="E618" s="229"/>
      <c r="F618" s="229"/>
      <c r="G618" s="229"/>
      <c r="H618" s="229"/>
      <c r="I618" s="229"/>
      <c r="J618" s="229"/>
      <c r="K618" s="229"/>
      <c r="L618" s="229"/>
      <c r="M618" s="229"/>
      <c r="N618" s="229"/>
      <c r="O618" s="229"/>
      <c r="P618" s="229"/>
      <c r="Q618" s="229"/>
      <c r="R618" s="229"/>
      <c r="S618" s="229"/>
      <c r="T618" s="229"/>
      <c r="U618" s="229"/>
      <c r="V618" s="229"/>
      <c r="W618" s="229"/>
      <c r="X618" s="229"/>
      <c r="Y618" s="229"/>
    </row>
    <row r="619" spans="1:25">
      <c r="A619" s="238" t="s">
        <v>560</v>
      </c>
      <c r="B619" s="232"/>
      <c r="C619" s="1590" t="s">
        <v>863</v>
      </c>
      <c r="D619" s="1590"/>
      <c r="E619" s="1590"/>
      <c r="F619" s="1590"/>
      <c r="G619" s="1590"/>
      <c r="H619" s="1590"/>
      <c r="I619" s="1590"/>
      <c r="J619" s="1590"/>
      <c r="K619" s="1590"/>
      <c r="L619" s="1590"/>
      <c r="M619" s="1590"/>
      <c r="N619" s="1590"/>
      <c r="O619" s="1590"/>
      <c r="P619" s="1590"/>
      <c r="Q619" s="1590"/>
      <c r="R619" s="1590"/>
      <c r="S619" s="1590"/>
      <c r="T619" s="1590"/>
      <c r="U619" s="1590"/>
      <c r="V619" s="1590"/>
      <c r="W619" s="1590"/>
      <c r="X619" s="1590"/>
      <c r="Y619" s="1590"/>
    </row>
    <row r="620" spans="1:25">
      <c r="A620" s="231" t="s">
        <v>561</v>
      </c>
      <c r="B620" s="232"/>
      <c r="C620" s="1590" t="s">
        <v>864</v>
      </c>
      <c r="D620" s="1590"/>
      <c r="E620" s="1590"/>
      <c r="F620" s="1590"/>
      <c r="G620" s="1590"/>
      <c r="H620" s="1590"/>
      <c r="I620" s="1590"/>
      <c r="J620" s="1590"/>
      <c r="K620" s="1590"/>
      <c r="L620" s="1590"/>
      <c r="M620" s="1590"/>
      <c r="N620" s="1590"/>
      <c r="O620" s="1590"/>
      <c r="P620" s="1590"/>
      <c r="Q620" s="1590"/>
      <c r="R620" s="1590"/>
      <c r="S620" s="1590"/>
      <c r="T620" s="1590"/>
      <c r="U620" s="1590"/>
      <c r="V620" s="1590"/>
      <c r="W620" s="1590"/>
      <c r="X620" s="1590"/>
      <c r="Y620" s="1590"/>
    </row>
    <row r="621" spans="1:25">
      <c r="A621" s="233" t="s">
        <v>444</v>
      </c>
      <c r="B621" s="232"/>
      <c r="C621" s="232"/>
      <c r="D621" s="232"/>
      <c r="E621" s="232"/>
      <c r="F621" s="232"/>
      <c r="G621" s="232"/>
      <c r="H621" s="232"/>
      <c r="I621" s="232"/>
      <c r="J621" s="232"/>
      <c r="K621" s="232"/>
      <c r="L621" s="232"/>
      <c r="M621" s="232"/>
      <c r="N621" s="232"/>
      <c r="O621" s="232"/>
      <c r="P621" s="232"/>
      <c r="Q621" s="232"/>
      <c r="R621" s="232"/>
      <c r="S621" s="232"/>
      <c r="T621" s="232"/>
      <c r="U621" s="232"/>
      <c r="V621" s="232"/>
      <c r="W621" s="232"/>
      <c r="X621" s="232"/>
      <c r="Y621" s="232"/>
    </row>
    <row r="622" spans="1:25">
      <c r="A622" s="231"/>
      <c r="B622" s="232"/>
      <c r="C622" s="232"/>
      <c r="D622" s="232"/>
      <c r="E622" s="232"/>
      <c r="F622" s="232"/>
      <c r="G622" s="232"/>
      <c r="H622" s="232"/>
      <c r="I622" s="232"/>
      <c r="J622" s="232"/>
      <c r="K622" s="232"/>
      <c r="L622" s="232"/>
      <c r="M622" s="232"/>
      <c r="N622" s="232"/>
      <c r="O622" s="232"/>
      <c r="P622" s="232"/>
      <c r="Q622" s="232"/>
      <c r="R622" s="232"/>
      <c r="S622" s="232"/>
      <c r="T622" s="232"/>
      <c r="U622" s="232"/>
      <c r="V622" s="232"/>
      <c r="W622" s="232"/>
      <c r="X622" s="232"/>
      <c r="Y622" s="232"/>
    </row>
    <row r="623" spans="1:25">
      <c r="A623" s="231" t="s">
        <v>445</v>
      </c>
      <c r="B623" s="232"/>
      <c r="C623" s="232"/>
      <c r="D623" s="232"/>
      <c r="E623" s="232"/>
      <c r="F623" s="232"/>
      <c r="G623" s="232"/>
      <c r="H623" s="232"/>
      <c r="I623" s="232"/>
      <c r="J623" s="232"/>
      <c r="K623" s="232"/>
      <c r="L623" s="232"/>
      <c r="M623" s="232"/>
      <c r="N623" s="232"/>
      <c r="O623" s="232"/>
      <c r="P623" s="232"/>
      <c r="Q623" s="232"/>
      <c r="R623" s="232"/>
      <c r="S623" s="232"/>
      <c r="T623" s="232"/>
      <c r="U623" s="232"/>
      <c r="V623" s="232"/>
      <c r="W623" s="232"/>
      <c r="X623" s="232"/>
      <c r="Y623" s="232"/>
    </row>
    <row r="624" spans="1:25">
      <c r="A624" s="231" t="s">
        <v>446</v>
      </c>
      <c r="B624" s="232"/>
      <c r="C624" s="232"/>
      <c r="D624" s="232"/>
      <c r="E624" s="232"/>
      <c r="F624" s="232"/>
      <c r="G624" s="232"/>
      <c r="H624" s="232"/>
      <c r="I624" s="232"/>
      <c r="J624" s="232"/>
      <c r="K624" s="232"/>
      <c r="L624" s="232"/>
      <c r="M624" s="232"/>
      <c r="N624" s="232"/>
      <c r="O624" s="232"/>
      <c r="P624" s="232"/>
      <c r="Q624" s="232"/>
      <c r="R624" s="232"/>
      <c r="S624" s="232"/>
      <c r="T624" s="232"/>
      <c r="U624" s="232"/>
      <c r="V624" s="232"/>
      <c r="W624" s="232"/>
      <c r="X624" s="232"/>
      <c r="Y624" s="232"/>
    </row>
    <row r="625" spans="1:26">
      <c r="A625" s="231"/>
      <c r="B625" s="232"/>
      <c r="C625" s="232"/>
      <c r="D625" s="232"/>
      <c r="E625" s="232"/>
      <c r="F625" s="232"/>
      <c r="G625" s="232"/>
      <c r="H625" s="232"/>
      <c r="I625" s="232"/>
      <c r="J625" s="232"/>
      <c r="K625" s="232"/>
      <c r="L625" s="232"/>
      <c r="M625" s="232"/>
      <c r="N625" s="232"/>
      <c r="O625" s="232"/>
      <c r="P625" s="232"/>
      <c r="Q625" s="232"/>
      <c r="R625" s="232"/>
      <c r="S625" s="232"/>
      <c r="T625" s="232"/>
      <c r="U625" s="232"/>
      <c r="V625" s="232"/>
      <c r="W625" s="232"/>
      <c r="X625" s="232"/>
      <c r="Y625" s="232"/>
      <c r="Z625" t="s">
        <v>589</v>
      </c>
    </row>
    <row r="626" spans="1:26">
      <c r="A626" s="231" t="s">
        <v>438</v>
      </c>
      <c r="B626" s="232" t="s">
        <v>447</v>
      </c>
      <c r="C626" s="232" t="s">
        <v>448</v>
      </c>
      <c r="D626" s="232" t="s">
        <v>449</v>
      </c>
      <c r="E626" s="232" t="s">
        <v>450</v>
      </c>
      <c r="F626" s="232" t="s">
        <v>451</v>
      </c>
      <c r="G626" s="232" t="s">
        <v>452</v>
      </c>
      <c r="H626" s="232" t="s">
        <v>453</v>
      </c>
      <c r="I626" s="232" t="s">
        <v>454</v>
      </c>
      <c r="J626" s="232" t="s">
        <v>455</v>
      </c>
      <c r="K626" s="232" t="s">
        <v>456</v>
      </c>
      <c r="L626" s="232" t="s">
        <v>457</v>
      </c>
      <c r="M626" s="232" t="s">
        <v>458</v>
      </c>
      <c r="N626" s="232" t="s">
        <v>459</v>
      </c>
      <c r="O626" s="232" t="s">
        <v>460</v>
      </c>
      <c r="P626" s="232" t="s">
        <v>461</v>
      </c>
      <c r="Q626" s="232" t="s">
        <v>462</v>
      </c>
      <c r="R626" s="232" t="s">
        <v>463</v>
      </c>
      <c r="S626" s="232" t="s">
        <v>464</v>
      </c>
      <c r="T626" s="232" t="s">
        <v>465</v>
      </c>
      <c r="U626" s="232" t="s">
        <v>466</v>
      </c>
      <c r="V626" s="232" t="s">
        <v>467</v>
      </c>
      <c r="W626" s="232" t="s">
        <v>468</v>
      </c>
      <c r="X626" s="232" t="s">
        <v>469</v>
      </c>
      <c r="Y626" s="232" t="s">
        <v>470</v>
      </c>
      <c r="Z626">
        <v>2026</v>
      </c>
    </row>
    <row r="627" spans="1:26">
      <c r="A627" s="231" t="s">
        <v>438</v>
      </c>
      <c r="B627" s="232" t="s">
        <v>438</v>
      </c>
      <c r="C627" s="232" t="s">
        <v>438</v>
      </c>
      <c r="D627" s="232" t="s">
        <v>438</v>
      </c>
      <c r="E627" s="232" t="s">
        <v>438</v>
      </c>
      <c r="F627" s="232" t="s">
        <v>438</v>
      </c>
      <c r="G627" s="232" t="s">
        <v>438</v>
      </c>
      <c r="H627" s="232" t="s">
        <v>438</v>
      </c>
      <c r="I627" s="232" t="s">
        <v>438</v>
      </c>
      <c r="J627" s="232" t="s">
        <v>438</v>
      </c>
      <c r="K627" s="232" t="s">
        <v>438</v>
      </c>
      <c r="L627" s="232" t="s">
        <v>438</v>
      </c>
      <c r="M627" s="232" t="s">
        <v>438</v>
      </c>
      <c r="N627" s="232" t="s">
        <v>438</v>
      </c>
      <c r="O627" s="232" t="s">
        <v>438</v>
      </c>
      <c r="P627" s="232" t="s">
        <v>438</v>
      </c>
      <c r="Q627" s="232" t="s">
        <v>438</v>
      </c>
      <c r="R627" s="232" t="s">
        <v>438</v>
      </c>
      <c r="S627" s="232" t="s">
        <v>438</v>
      </c>
      <c r="T627" s="232" t="s">
        <v>438</v>
      </c>
      <c r="U627" s="232" t="s">
        <v>438</v>
      </c>
      <c r="V627" s="232" t="s">
        <v>438</v>
      </c>
      <c r="W627" s="232" t="s">
        <v>438</v>
      </c>
      <c r="X627" s="232" t="s">
        <v>438</v>
      </c>
      <c r="Y627" s="232" t="s">
        <v>438</v>
      </c>
    </row>
    <row r="628" spans="1:26">
      <c r="A628" s="231" t="s">
        <v>471</v>
      </c>
      <c r="B628" s="235">
        <v>15.0220499038696</v>
      </c>
      <c r="C628" s="235">
        <v>15.811363220214799</v>
      </c>
      <c r="D628" s="235">
        <v>16.426000595092798</v>
      </c>
      <c r="E628" s="235">
        <v>16.4650573730469</v>
      </c>
      <c r="F628" s="235">
        <v>15.8399600982666</v>
      </c>
      <c r="G628" s="235">
        <v>15.268068313598601</v>
      </c>
      <c r="H628" s="235">
        <v>14.8466091156006</v>
      </c>
      <c r="I628" s="235">
        <v>14.7514638900757</v>
      </c>
      <c r="J628" s="235">
        <v>14.6550188064575</v>
      </c>
      <c r="K628" s="235">
        <v>14.6146650314331</v>
      </c>
      <c r="L628" s="235">
        <v>14.723385810852101</v>
      </c>
      <c r="M628" s="235">
        <v>14.890528678894</v>
      </c>
      <c r="N628" s="235">
        <v>15.1057291030884</v>
      </c>
      <c r="O628" s="235">
        <v>15.213768959045399</v>
      </c>
      <c r="P628" s="235">
        <v>15.3079509735107</v>
      </c>
      <c r="Q628" s="235">
        <v>15.3113193511963</v>
      </c>
      <c r="R628" s="235">
        <v>15.4291744232178</v>
      </c>
      <c r="S628" s="235">
        <v>15.6326360702515</v>
      </c>
      <c r="T628" s="235">
        <v>15.9024982452393</v>
      </c>
      <c r="U628" s="235">
        <v>16.1096382141113</v>
      </c>
      <c r="V628" s="235">
        <v>16.157627105712901</v>
      </c>
      <c r="W628" s="235">
        <v>16.2051906585693</v>
      </c>
      <c r="X628" s="235">
        <v>16.309419631958001</v>
      </c>
      <c r="Y628" s="235">
        <v>16.471462249755898</v>
      </c>
    </row>
    <row r="629" spans="1:26">
      <c r="A629" s="231" t="s">
        <v>472</v>
      </c>
      <c r="B629" s="235">
        <v>8.3285751342773402</v>
      </c>
      <c r="C629" s="235">
        <v>9.67810153961182</v>
      </c>
      <c r="D629" s="235">
        <v>10.65163230896</v>
      </c>
      <c r="E629" s="235">
        <v>10.5740642547607</v>
      </c>
      <c r="F629" s="235">
        <v>9.9307842254638707</v>
      </c>
      <c r="G629" s="235">
        <v>9.5159215927124006</v>
      </c>
      <c r="H629" s="235">
        <v>9.1046285629272496</v>
      </c>
      <c r="I629" s="235">
        <v>8.8910932540893608</v>
      </c>
      <c r="J629" s="235">
        <v>8.7197055816650408</v>
      </c>
      <c r="K629" s="235">
        <v>8.6297874450683594</v>
      </c>
      <c r="L629" s="235">
        <v>8.6824674606323207</v>
      </c>
      <c r="M629" s="235">
        <v>8.7884712219238299</v>
      </c>
      <c r="N629" s="235">
        <v>8.9080095291137695</v>
      </c>
      <c r="O629" s="235">
        <v>9.0072793960571307</v>
      </c>
      <c r="P629" s="235">
        <v>9.0682640075683594</v>
      </c>
      <c r="Q629" s="235">
        <v>9.0415534973144496</v>
      </c>
      <c r="R629" s="235">
        <v>9.1060371398925799</v>
      </c>
      <c r="S629" s="235">
        <v>9.2553215026855504</v>
      </c>
      <c r="T629" s="235">
        <v>9.4607038497924805</v>
      </c>
      <c r="U629" s="235">
        <v>9.6327857971191406</v>
      </c>
      <c r="V629" s="235">
        <v>9.6968526840209996</v>
      </c>
      <c r="W629" s="235">
        <v>9.7728433609008807</v>
      </c>
      <c r="X629" s="235">
        <v>9.8535881042480504</v>
      </c>
      <c r="Y629" s="235">
        <v>9.9786624908447301</v>
      </c>
    </row>
    <row r="630" spans="1:26">
      <c r="A630" s="231" t="s">
        <v>473</v>
      </c>
      <c r="B630" s="235">
        <v>10.0436496734619</v>
      </c>
      <c r="C630" s="235">
        <v>11.266843795776399</v>
      </c>
      <c r="D630" s="235">
        <v>13.0600233078003</v>
      </c>
      <c r="E630" s="235">
        <v>12.5262851715088</v>
      </c>
      <c r="F630" s="235">
        <v>12.207064628601101</v>
      </c>
      <c r="G630" s="235">
        <v>12.234001159668001</v>
      </c>
      <c r="H630" s="235">
        <v>12.201937675476101</v>
      </c>
      <c r="I630" s="235">
        <v>12.2015285491943</v>
      </c>
      <c r="J630" s="235">
        <v>12.262092590331999</v>
      </c>
      <c r="K630" s="235">
        <v>12.1512393951416</v>
      </c>
      <c r="L630" s="235">
        <v>12.1732091903687</v>
      </c>
      <c r="M630" s="235">
        <v>12.1968584060669</v>
      </c>
      <c r="N630" s="235">
        <v>12.177050590515099</v>
      </c>
      <c r="O630" s="235">
        <v>12.2115392684937</v>
      </c>
      <c r="P630" s="235">
        <v>12.3804988861084</v>
      </c>
      <c r="Q630" s="235">
        <v>12.519121170043899</v>
      </c>
      <c r="R630" s="235">
        <v>12.6585578918457</v>
      </c>
      <c r="S630" s="235">
        <v>12.798875808715801</v>
      </c>
      <c r="T630" s="235">
        <v>12.8676557540894</v>
      </c>
      <c r="U630" s="235">
        <v>13.13560962677</v>
      </c>
      <c r="V630" s="235">
        <v>13.328717231750501</v>
      </c>
      <c r="W630" s="235">
        <v>13.556846618652299</v>
      </c>
      <c r="X630" s="235">
        <v>13.722979545593301</v>
      </c>
      <c r="Y630" s="235">
        <v>13.940701484680201</v>
      </c>
    </row>
    <row r="631" spans="1:26">
      <c r="A631" s="231" t="s">
        <v>474</v>
      </c>
      <c r="B631" s="235">
        <v>8.3698368072509801</v>
      </c>
      <c r="C631" s="235">
        <v>9.5702075958252006</v>
      </c>
      <c r="D631" s="235">
        <v>10.537187576293899</v>
      </c>
      <c r="E631" s="235">
        <v>10.120927810668899</v>
      </c>
      <c r="F631" s="235">
        <v>9.8627185821533203</v>
      </c>
      <c r="G631" s="235">
        <v>9.8399791717529297</v>
      </c>
      <c r="H631" s="235">
        <v>9.8302927017211896</v>
      </c>
      <c r="I631" s="235">
        <v>9.8297405242919904</v>
      </c>
      <c r="J631" s="235">
        <v>9.8252134323120099</v>
      </c>
      <c r="K631" s="235">
        <v>9.7093524932861293</v>
      </c>
      <c r="L631" s="235">
        <v>9.7021694183349592</v>
      </c>
      <c r="M631" s="235">
        <v>9.7383060455322301</v>
      </c>
      <c r="N631" s="235">
        <v>9.80072116851807</v>
      </c>
      <c r="O631" s="235">
        <v>9.7244081497192401</v>
      </c>
      <c r="P631" s="235">
        <v>9.8378829956054705</v>
      </c>
      <c r="Q631" s="235">
        <v>9.8340024948120099</v>
      </c>
      <c r="R631" s="235">
        <v>9.9226865768432599</v>
      </c>
      <c r="S631" s="235">
        <v>10.0213985443115</v>
      </c>
      <c r="T631" s="235">
        <v>10.078977584838899</v>
      </c>
      <c r="U631" s="235">
        <v>10.280327796936</v>
      </c>
      <c r="V631" s="235">
        <v>10.3802833557129</v>
      </c>
      <c r="W631" s="235">
        <v>10.4678192138672</v>
      </c>
      <c r="X631" s="235">
        <v>10.5482635498047</v>
      </c>
      <c r="Y631" s="235">
        <v>10.6469841003418</v>
      </c>
    </row>
    <row r="632" spans="1:26">
      <c r="A632" s="231" t="s">
        <v>475</v>
      </c>
      <c r="B632" s="235">
        <v>12.976583480835</v>
      </c>
      <c r="C632" s="235">
        <v>14.582922935485801</v>
      </c>
      <c r="D632" s="235">
        <v>17.570188522338899</v>
      </c>
      <c r="E632" s="235">
        <v>17.073205947876001</v>
      </c>
      <c r="F632" s="235">
        <v>16.564285278320298</v>
      </c>
      <c r="G632" s="235">
        <v>16.581449508666999</v>
      </c>
      <c r="H632" s="235">
        <v>16.4250888824463</v>
      </c>
      <c r="I632" s="235">
        <v>16.346086502075199</v>
      </c>
      <c r="J632" s="235">
        <v>16.4532871246338</v>
      </c>
      <c r="K632" s="235">
        <v>16.288703918456999</v>
      </c>
      <c r="L632" s="235">
        <v>16.298521041870099</v>
      </c>
      <c r="M632" s="235">
        <v>16.236286163330099</v>
      </c>
      <c r="N632" s="235">
        <v>15.99489402771</v>
      </c>
      <c r="O632" s="235">
        <v>16.1197624206543</v>
      </c>
      <c r="P632" s="235">
        <v>16.286623001098601</v>
      </c>
      <c r="Q632" s="235">
        <v>16.56103515625</v>
      </c>
      <c r="R632" s="235">
        <v>16.690963745117202</v>
      </c>
      <c r="S632" s="235">
        <v>16.804660797119102</v>
      </c>
      <c r="T632" s="235">
        <v>16.7820129394531</v>
      </c>
      <c r="U632" s="235">
        <v>17.028240203857401</v>
      </c>
      <c r="V632" s="235">
        <v>17.2251377105713</v>
      </c>
      <c r="W632" s="235">
        <v>17.515983581543001</v>
      </c>
      <c r="X632" s="235">
        <v>17.670423507690401</v>
      </c>
      <c r="Y632" s="235">
        <v>17.9113578796387</v>
      </c>
    </row>
    <row r="633" spans="1:26">
      <c r="A633" s="231" t="s">
        <v>476</v>
      </c>
      <c r="B633" s="235">
        <v>7.8179483413696298</v>
      </c>
      <c r="C633" s="235">
        <v>9.2187824249267596</v>
      </c>
      <c r="D633" s="235">
        <v>9.9373655319213903</v>
      </c>
      <c r="E633" s="235">
        <v>10.036292076110801</v>
      </c>
      <c r="F633" s="235">
        <v>9.3139858245849592</v>
      </c>
      <c r="G633" s="235">
        <v>8.7959203720092791</v>
      </c>
      <c r="H633" s="235">
        <v>8.3035001754760707</v>
      </c>
      <c r="I633" s="235">
        <v>8.0470056533813494</v>
      </c>
      <c r="J633" s="235">
        <v>7.8287873268127397</v>
      </c>
      <c r="K633" s="235">
        <v>7.7531881332397496</v>
      </c>
      <c r="L633" s="235">
        <v>7.8190288543701199</v>
      </c>
      <c r="M633" s="235">
        <v>7.9488449096679696</v>
      </c>
      <c r="N633" s="235">
        <v>8.1063919067382795</v>
      </c>
      <c r="O633" s="235">
        <v>8.2242641448974592</v>
      </c>
      <c r="P633" s="235">
        <v>8.2648267745971697</v>
      </c>
      <c r="Q633" s="235">
        <v>8.2073183059692401</v>
      </c>
      <c r="R633" s="235">
        <v>8.2647809982299805</v>
      </c>
      <c r="S633" s="235">
        <v>8.4262142181396502</v>
      </c>
      <c r="T633" s="235">
        <v>8.6721630096435494</v>
      </c>
      <c r="U633" s="235">
        <v>8.83197021484375</v>
      </c>
      <c r="V633" s="235">
        <v>8.8790025711059606</v>
      </c>
      <c r="W633" s="235">
        <v>8.93493747711182</v>
      </c>
      <c r="X633" s="235">
        <v>9.0109558105468803</v>
      </c>
      <c r="Y633" s="235">
        <v>9.1305398941040004</v>
      </c>
    </row>
    <row r="634" spans="1:26">
      <c r="A634" s="231" t="s">
        <v>477</v>
      </c>
      <c r="B634" s="235">
        <v>25.222642898559599</v>
      </c>
      <c r="C634" s="235">
        <v>25.415189743041999</v>
      </c>
      <c r="D634" s="235">
        <v>25.1915378570557</v>
      </c>
      <c r="E634" s="235">
        <v>25.148117065429702</v>
      </c>
      <c r="F634" s="235">
        <v>24.4542636871338</v>
      </c>
      <c r="G634" s="235">
        <v>23.578901290893601</v>
      </c>
      <c r="H634" s="235">
        <v>23.091381072998001</v>
      </c>
      <c r="I634" s="235">
        <v>23.1348171234131</v>
      </c>
      <c r="J634" s="235">
        <v>23.120912551879901</v>
      </c>
      <c r="K634" s="235">
        <v>23.118898391723601</v>
      </c>
      <c r="L634" s="235">
        <v>23.2529602050781</v>
      </c>
      <c r="M634" s="235">
        <v>23.4250183105469</v>
      </c>
      <c r="N634" s="235">
        <v>23.684103012085</v>
      </c>
      <c r="O634" s="235">
        <v>23.7079162597656</v>
      </c>
      <c r="P634" s="235">
        <v>23.7613220214844</v>
      </c>
      <c r="Q634" s="235">
        <v>23.722099304199201</v>
      </c>
      <c r="R634" s="235">
        <v>23.8309440612793</v>
      </c>
      <c r="S634" s="235">
        <v>24.013486862182599</v>
      </c>
      <c r="T634" s="235">
        <v>24.267650604248001</v>
      </c>
      <c r="U634" s="235">
        <v>24.4126377105713</v>
      </c>
      <c r="V634" s="235">
        <v>24.3365364074707</v>
      </c>
      <c r="W634" s="235">
        <v>24.2477512359619</v>
      </c>
      <c r="X634" s="235">
        <v>24.2885627746582</v>
      </c>
      <c r="Y634" s="235">
        <v>24.396659851074201</v>
      </c>
    </row>
    <row r="635" spans="1:26">
      <c r="A635" s="231" t="s">
        <v>438</v>
      </c>
      <c r="B635" s="235" t="s">
        <v>438</v>
      </c>
      <c r="C635" s="235" t="s">
        <v>438</v>
      </c>
      <c r="D635" s="235" t="s">
        <v>438</v>
      </c>
      <c r="E635" s="235" t="s">
        <v>438</v>
      </c>
      <c r="F635" s="235" t="s">
        <v>438</v>
      </c>
      <c r="G635" s="235" t="s">
        <v>438</v>
      </c>
      <c r="H635" s="235" t="s">
        <v>438</v>
      </c>
      <c r="I635" s="235" t="s">
        <v>438</v>
      </c>
      <c r="J635" s="235" t="s">
        <v>438</v>
      </c>
      <c r="K635" s="235" t="s">
        <v>438</v>
      </c>
      <c r="L635" s="235" t="s">
        <v>438</v>
      </c>
      <c r="M635" s="235" t="s">
        <v>438</v>
      </c>
      <c r="N635" s="235" t="s">
        <v>438</v>
      </c>
      <c r="O635" s="235" t="s">
        <v>438</v>
      </c>
      <c r="P635" s="235" t="s">
        <v>438</v>
      </c>
      <c r="Q635" s="235" t="s">
        <v>438</v>
      </c>
      <c r="R635" s="235" t="s">
        <v>438</v>
      </c>
      <c r="S635" s="235" t="s">
        <v>438</v>
      </c>
      <c r="T635" s="235" t="s">
        <v>438</v>
      </c>
      <c r="U635" s="235" t="s">
        <v>438</v>
      </c>
      <c r="V635" s="235" t="s">
        <v>438</v>
      </c>
      <c r="W635" s="235" t="s">
        <v>438</v>
      </c>
      <c r="X635" s="235" t="s">
        <v>438</v>
      </c>
      <c r="Y635" s="235" t="s">
        <v>438</v>
      </c>
    </row>
    <row r="636" spans="1:26">
      <c r="A636" s="231" t="s">
        <v>478</v>
      </c>
      <c r="B636" s="235">
        <v>15.064169883728001</v>
      </c>
      <c r="C636" s="235">
        <v>15.629265785217299</v>
      </c>
      <c r="D636" s="235">
        <v>15.835695266723601</v>
      </c>
      <c r="E636" s="235">
        <v>15.918652534484901</v>
      </c>
      <c r="F636" s="235">
        <v>15.2065124511719</v>
      </c>
      <c r="G636" s="235">
        <v>14.526217460632299</v>
      </c>
      <c r="H636" s="235">
        <v>14.119109153747599</v>
      </c>
      <c r="I636" s="235">
        <v>14.0872592926025</v>
      </c>
      <c r="J636" s="235">
        <v>14.0534925460815</v>
      </c>
      <c r="K636" s="235">
        <v>14.108097076416</v>
      </c>
      <c r="L636" s="235">
        <v>14.338217735290501</v>
      </c>
      <c r="M636" s="235">
        <v>14.584888458251999</v>
      </c>
      <c r="N636" s="235">
        <v>14.9309749603271</v>
      </c>
      <c r="O636" s="235">
        <v>15.096228599548301</v>
      </c>
      <c r="P636" s="235">
        <v>15.2413949966431</v>
      </c>
      <c r="Q636" s="235">
        <v>15.255002975463899</v>
      </c>
      <c r="R636" s="235">
        <v>15.399823188781699</v>
      </c>
      <c r="S636" s="235">
        <v>15.6329202651978</v>
      </c>
      <c r="T636" s="235">
        <v>15.9477081298828</v>
      </c>
      <c r="U636" s="235">
        <v>16.179660797119102</v>
      </c>
      <c r="V636" s="235">
        <v>16.227045059204102</v>
      </c>
      <c r="W636" s="235">
        <v>16.249193191528299</v>
      </c>
      <c r="X636" s="235">
        <v>16.367641448974599</v>
      </c>
      <c r="Y636" s="235">
        <v>16.5326118469238</v>
      </c>
    </row>
    <row r="637" spans="1:26">
      <c r="A637" s="231" t="s">
        <v>472</v>
      </c>
      <c r="B637" s="235">
        <v>6.5697088241577104</v>
      </c>
      <c r="C637" s="235">
        <v>7.9157042503356898</v>
      </c>
      <c r="D637" s="235">
        <v>8.3734045028686506</v>
      </c>
      <c r="E637" s="235">
        <v>8.3685989379882795</v>
      </c>
      <c r="F637" s="235">
        <v>7.9054894447326696</v>
      </c>
      <c r="G637" s="235">
        <v>7.6067800521850604</v>
      </c>
      <c r="H637" s="235">
        <v>7.3189792633056596</v>
      </c>
      <c r="I637" s="235">
        <v>7.2159371376037598</v>
      </c>
      <c r="J637" s="235">
        <v>7.1498117446899396</v>
      </c>
      <c r="K637" s="235">
        <v>7.1872353553771999</v>
      </c>
      <c r="L637" s="235">
        <v>7.2290387153625497</v>
      </c>
      <c r="M637" s="235">
        <v>7.30631303787231</v>
      </c>
      <c r="N637" s="235">
        <v>7.4108529090881303</v>
      </c>
      <c r="O637" s="235">
        <v>7.4683656692504901</v>
      </c>
      <c r="P637" s="235">
        <v>7.4930505752563503</v>
      </c>
      <c r="Q637" s="235">
        <v>7.43192434310913</v>
      </c>
      <c r="R637" s="235">
        <v>7.4779849052429199</v>
      </c>
      <c r="S637" s="235">
        <v>7.60019826889038</v>
      </c>
      <c r="T637" s="235">
        <v>7.7867598533630398</v>
      </c>
      <c r="U637" s="235">
        <v>7.91162109375</v>
      </c>
      <c r="V637" s="235">
        <v>7.9430484771728498</v>
      </c>
      <c r="W637" s="235">
        <v>7.9890594482421902</v>
      </c>
      <c r="X637" s="235">
        <v>8.0587644577026403</v>
      </c>
      <c r="Y637" s="235">
        <v>8.1779403686523402</v>
      </c>
    </row>
    <row r="638" spans="1:26">
      <c r="A638" s="231" t="s">
        <v>473</v>
      </c>
      <c r="B638" s="235">
        <v>6.9482707977294904</v>
      </c>
      <c r="C638" s="235">
        <v>8.0266513824462908</v>
      </c>
      <c r="D638" s="235">
        <v>8.9197740554809606</v>
      </c>
      <c r="E638" s="235">
        <v>8.6532411575317401</v>
      </c>
      <c r="F638" s="235">
        <v>8.7558631896972692</v>
      </c>
      <c r="G638" s="235">
        <v>8.8328323364257795</v>
      </c>
      <c r="H638" s="235">
        <v>8.8167963027954102</v>
      </c>
      <c r="I638" s="235">
        <v>8.8182945251464808</v>
      </c>
      <c r="J638" s="235">
        <v>8.8873138427734393</v>
      </c>
      <c r="K638" s="235">
        <v>8.9125509262084996</v>
      </c>
      <c r="L638" s="235">
        <v>8.9192247390747106</v>
      </c>
      <c r="M638" s="235">
        <v>8.8803482055664098</v>
      </c>
      <c r="N638" s="235">
        <v>8.8586578369140607</v>
      </c>
      <c r="O638" s="235">
        <v>8.7692289352416992</v>
      </c>
      <c r="P638" s="235">
        <v>8.7682600021362305</v>
      </c>
      <c r="Q638" s="235">
        <v>8.7373514175415004</v>
      </c>
      <c r="R638" s="235">
        <v>8.7862501144409197</v>
      </c>
      <c r="S638" s="235">
        <v>8.8491783142089808</v>
      </c>
      <c r="T638" s="235">
        <v>8.8908815383911097</v>
      </c>
      <c r="U638" s="235">
        <v>9.0514831542968803</v>
      </c>
      <c r="V638" s="235">
        <v>9.1475715637206996</v>
      </c>
      <c r="W638" s="235">
        <v>9.2663307189941406</v>
      </c>
      <c r="X638" s="235">
        <v>9.3906812667846697</v>
      </c>
      <c r="Y638" s="235">
        <v>9.6513500213622994</v>
      </c>
    </row>
    <row r="639" spans="1:26">
      <c r="A639" s="231" t="s">
        <v>474</v>
      </c>
      <c r="B639" s="235">
        <v>6.1493649482727104</v>
      </c>
      <c r="C639" s="235">
        <v>7.03082323074341</v>
      </c>
      <c r="D639" s="235">
        <v>7.7272830009460396</v>
      </c>
      <c r="E639" s="235">
        <v>7.4210705757141104</v>
      </c>
      <c r="F639" s="235">
        <v>7.6805524826049796</v>
      </c>
      <c r="G639" s="235">
        <v>7.8215904235839799</v>
      </c>
      <c r="H639" s="235">
        <v>7.8266153335571298</v>
      </c>
      <c r="I639" s="235">
        <v>7.8668313026428196</v>
      </c>
      <c r="J639" s="235">
        <v>7.9658513069152797</v>
      </c>
      <c r="K639" s="235">
        <v>8.0328092575073207</v>
      </c>
      <c r="L639" s="235">
        <v>8.0569534301757795</v>
      </c>
      <c r="M639" s="235">
        <v>8.0234899520874006</v>
      </c>
      <c r="N639" s="235">
        <v>8.0314903259277308</v>
      </c>
      <c r="O639" s="235">
        <v>7.91062688827515</v>
      </c>
      <c r="P639" s="235">
        <v>7.8695487976074201</v>
      </c>
      <c r="Q639" s="235">
        <v>7.7933855056762704</v>
      </c>
      <c r="R639" s="235">
        <v>7.8344025611877397</v>
      </c>
      <c r="S639" s="235">
        <v>7.89571285247803</v>
      </c>
      <c r="T639" s="235">
        <v>7.9562859535217303</v>
      </c>
      <c r="U639" s="235">
        <v>8.1191616058349592</v>
      </c>
      <c r="V639" s="235">
        <v>8.2043952941894496</v>
      </c>
      <c r="W639" s="235">
        <v>8.3111848831176793</v>
      </c>
      <c r="X639" s="235">
        <v>8.4434480667114293</v>
      </c>
      <c r="Y639" s="235">
        <v>8.7515277862548793</v>
      </c>
    </row>
    <row r="640" spans="1:26">
      <c r="A640" s="231" t="s">
        <v>479</v>
      </c>
      <c r="B640" s="235">
        <v>4.2683343887329102</v>
      </c>
      <c r="C640" s="235">
        <v>4.9646224975585902</v>
      </c>
      <c r="D640" s="235">
        <v>5.0606441497802699</v>
      </c>
      <c r="E640" s="235">
        <v>5.3499693870544398</v>
      </c>
      <c r="F640" s="235">
        <v>5.6657009124755904</v>
      </c>
      <c r="G640" s="235">
        <v>5.6566004753112802</v>
      </c>
      <c r="H640" s="235">
        <v>5.6533966064453098</v>
      </c>
      <c r="I640" s="235">
        <v>5.65053033828735</v>
      </c>
      <c r="J640" s="235">
        <v>5.6487455368042001</v>
      </c>
      <c r="K640" s="235">
        <v>5.6555466651916504</v>
      </c>
      <c r="L640" s="235">
        <v>5.6602473258972203</v>
      </c>
      <c r="M640" s="235">
        <v>5.6679368019104004</v>
      </c>
      <c r="N640" s="235">
        <v>5.6729874610900897</v>
      </c>
      <c r="O640" s="235">
        <v>5.6782984733581499</v>
      </c>
      <c r="P640" s="235">
        <v>5.7556295394897496</v>
      </c>
      <c r="Q640" s="235">
        <v>5.8296666145324698</v>
      </c>
      <c r="R640" s="235">
        <v>5.9058866500854501</v>
      </c>
      <c r="S640" s="235">
        <v>5.9829258918762198</v>
      </c>
      <c r="T640" s="235">
        <v>6.0580596923828098</v>
      </c>
      <c r="U640" s="235">
        <v>6.1354246139526403</v>
      </c>
      <c r="V640" s="235">
        <v>6.2122497558593803</v>
      </c>
      <c r="W640" s="235">
        <v>6.2891340255737296</v>
      </c>
      <c r="X640" s="235">
        <v>6.3645572662353498</v>
      </c>
      <c r="Y640" s="235">
        <v>6.4413762092590297</v>
      </c>
    </row>
    <row r="641" spans="1:26">
      <c r="A641" s="253" t="s">
        <v>476</v>
      </c>
      <c r="B641" s="235">
        <v>6.6170339584350604</v>
      </c>
      <c r="C641" s="235">
        <v>8.0769119262695295</v>
      </c>
      <c r="D641" s="235">
        <v>8.4473829269409197</v>
      </c>
      <c r="E641" s="235">
        <v>8.5046024322509801</v>
      </c>
      <c r="F641" s="235">
        <v>7.8886041641235396</v>
      </c>
      <c r="G641" s="235">
        <v>7.4893965721130398</v>
      </c>
      <c r="H641" s="235">
        <v>7.1298856735229501</v>
      </c>
      <c r="I641" s="235">
        <v>7.0003471374511701</v>
      </c>
      <c r="J641" s="235">
        <v>6.9035739898681596</v>
      </c>
      <c r="K641" s="235">
        <v>6.94567918777466</v>
      </c>
      <c r="L641" s="235">
        <v>6.9973711967468297</v>
      </c>
      <c r="M641" s="235">
        <v>7.1022868156433097</v>
      </c>
      <c r="N641" s="235">
        <v>7.2368607521057102</v>
      </c>
      <c r="O641" s="235">
        <v>7.3275256156921396</v>
      </c>
      <c r="P641" s="235">
        <v>7.3574790954589799</v>
      </c>
      <c r="Q641" s="235">
        <v>7.2871475219726598</v>
      </c>
      <c r="R641" s="235">
        <v>7.3330197334289604</v>
      </c>
      <c r="S641" s="235">
        <v>7.4703903198242196</v>
      </c>
      <c r="T641" s="235">
        <v>7.6915035247802699</v>
      </c>
      <c r="U641" s="235">
        <v>7.8109488487243697</v>
      </c>
      <c r="V641" s="235">
        <v>7.8279361724853498</v>
      </c>
      <c r="W641" s="235">
        <v>7.8590941429138201</v>
      </c>
      <c r="X641" s="235">
        <v>7.9183402061462402</v>
      </c>
      <c r="Y641" s="235">
        <v>8.0110416412353498</v>
      </c>
      <c r="Z641" s="261">
        <f>Y641+($AI$471-$Y$641)/10</f>
        <v>8.0591226890564176</v>
      </c>
    </row>
    <row r="642" spans="1:26">
      <c r="A642" s="254" t="s">
        <v>477</v>
      </c>
      <c r="B642" s="235">
        <v>23.353584289550799</v>
      </c>
      <c r="C642" s="235">
        <v>23.2374382019043</v>
      </c>
      <c r="D642" s="235">
        <v>23.0424194335938</v>
      </c>
      <c r="E642" s="235">
        <v>22.939121246337901</v>
      </c>
      <c r="F642" s="235">
        <v>21.907506942748999</v>
      </c>
      <c r="G642" s="235">
        <v>20.807579040527301</v>
      </c>
      <c r="H642" s="235">
        <v>20.2319431304932</v>
      </c>
      <c r="I642" s="235">
        <v>20.2009677886963</v>
      </c>
      <c r="J642" s="235">
        <v>20.132976531982401</v>
      </c>
      <c r="K642" s="235">
        <v>20.128959655761701</v>
      </c>
      <c r="L642" s="235">
        <v>20.445728302001999</v>
      </c>
      <c r="M642" s="235">
        <v>20.757715225219702</v>
      </c>
      <c r="N642" s="235">
        <v>21.231256484985401</v>
      </c>
      <c r="O642" s="235">
        <v>21.404373168945298</v>
      </c>
      <c r="P642" s="235">
        <v>21.571121215820298</v>
      </c>
      <c r="Q642" s="235">
        <v>21.578863143920898</v>
      </c>
      <c r="R642" s="235">
        <v>21.739751815795898</v>
      </c>
      <c r="S642" s="235">
        <v>21.989313125610401</v>
      </c>
      <c r="T642" s="235">
        <v>22.322486877441399</v>
      </c>
      <c r="U642" s="235">
        <v>22.5522785186768</v>
      </c>
      <c r="V642" s="235">
        <v>22.5369548797607</v>
      </c>
      <c r="W642" s="235">
        <v>22.469936370849599</v>
      </c>
      <c r="X642" s="235">
        <v>22.555665969848601</v>
      </c>
      <c r="Y642" s="235">
        <v>22.682601928710898</v>
      </c>
      <c r="Z642" s="263">
        <f>Y642+($AI$472-$Y$642)/10</f>
        <v>22.586698480675594</v>
      </c>
    </row>
    <row r="643" spans="1:26">
      <c r="A643" s="231" t="s">
        <v>438</v>
      </c>
      <c r="B643" s="235" t="s">
        <v>438</v>
      </c>
      <c r="C643" s="235" t="s">
        <v>438</v>
      </c>
      <c r="D643" s="235" t="s">
        <v>438</v>
      </c>
      <c r="E643" s="235" t="s">
        <v>438</v>
      </c>
      <c r="F643" s="235" t="s">
        <v>438</v>
      </c>
      <c r="G643" s="235" t="s">
        <v>438</v>
      </c>
      <c r="H643" s="235" t="s">
        <v>438</v>
      </c>
      <c r="I643" s="235" t="s">
        <v>438</v>
      </c>
      <c r="J643" s="235" t="s">
        <v>438</v>
      </c>
      <c r="K643" s="235" t="s">
        <v>438</v>
      </c>
      <c r="L643" s="235" t="s">
        <v>438</v>
      </c>
      <c r="M643" s="235" t="s">
        <v>438</v>
      </c>
      <c r="N643" s="235" t="s">
        <v>438</v>
      </c>
      <c r="O643" s="235" t="s">
        <v>438</v>
      </c>
      <c r="P643" s="235" t="s">
        <v>438</v>
      </c>
      <c r="Q643" s="235" t="s">
        <v>438</v>
      </c>
      <c r="R643" s="235" t="s">
        <v>438</v>
      </c>
      <c r="S643" s="235" t="s">
        <v>438</v>
      </c>
      <c r="T643" s="235" t="s">
        <v>438</v>
      </c>
      <c r="U643" s="235" t="s">
        <v>438</v>
      </c>
      <c r="V643" s="235" t="s">
        <v>438</v>
      </c>
      <c r="W643" s="235" t="s">
        <v>438</v>
      </c>
      <c r="X643" s="235" t="s">
        <v>438</v>
      </c>
      <c r="Y643" s="235" t="s">
        <v>438</v>
      </c>
    </row>
    <row r="644" spans="1:26">
      <c r="A644" s="231" t="s">
        <v>480</v>
      </c>
      <c r="B644" s="235">
        <v>6.3922061920165998</v>
      </c>
      <c r="C644" s="235">
        <v>7.7839651107788104</v>
      </c>
      <c r="D644" s="235">
        <v>8.7313165664672905</v>
      </c>
      <c r="E644" s="235">
        <v>8.5384979248046893</v>
      </c>
      <c r="F644" s="235">
        <v>8.1135501861572301</v>
      </c>
      <c r="G644" s="235">
        <v>7.8849329948425302</v>
      </c>
      <c r="H644" s="235">
        <v>7.7104330062866202</v>
      </c>
      <c r="I644" s="235">
        <v>7.6478543281555202</v>
      </c>
      <c r="J644" s="235">
        <v>7.5814275741577104</v>
      </c>
      <c r="K644" s="235">
        <v>7.5381202697753897</v>
      </c>
      <c r="L644" s="235">
        <v>7.5780467987060502</v>
      </c>
      <c r="M644" s="235">
        <v>7.6416735649108896</v>
      </c>
      <c r="N644" s="235">
        <v>7.7132387161254901</v>
      </c>
      <c r="O644" s="235">
        <v>7.8013410568237296</v>
      </c>
      <c r="P644" s="235">
        <v>7.8755207061767596</v>
      </c>
      <c r="Q644" s="235">
        <v>7.9062352180481001</v>
      </c>
      <c r="R644" s="235">
        <v>7.9948873519897496</v>
      </c>
      <c r="S644" s="235">
        <v>8.1163215637206996</v>
      </c>
      <c r="T644" s="235">
        <v>8.2487821578979492</v>
      </c>
      <c r="U644" s="235">
        <v>8.4059162139892596</v>
      </c>
      <c r="V644" s="235">
        <v>8.4608268737793004</v>
      </c>
      <c r="W644" s="235">
        <v>8.5343141555786097</v>
      </c>
      <c r="X644" s="235">
        <v>8.6114902496337908</v>
      </c>
      <c r="Y644" s="235">
        <v>8.7719221115112305</v>
      </c>
    </row>
    <row r="645" spans="1:26">
      <c r="A645" s="231" t="s">
        <v>481</v>
      </c>
      <c r="B645" s="235">
        <v>4.9298634529113796</v>
      </c>
      <c r="C645" s="235">
        <v>6.4939708709716797</v>
      </c>
      <c r="D645" s="235">
        <v>7.4592781066894496</v>
      </c>
      <c r="E645" s="235">
        <v>7.2447438240051296</v>
      </c>
      <c r="F645" s="235">
        <v>6.84521436691284</v>
      </c>
      <c r="G645" s="235">
        <v>6.6732459068298304</v>
      </c>
      <c r="H645" s="235">
        <v>6.51676225662231</v>
      </c>
      <c r="I645" s="235">
        <v>6.4484291076660201</v>
      </c>
      <c r="J645" s="235">
        <v>6.3966798782348597</v>
      </c>
      <c r="K645" s="235">
        <v>6.3644347190856898</v>
      </c>
      <c r="L645" s="235">
        <v>6.3782010078430202</v>
      </c>
      <c r="M645" s="235">
        <v>6.3993859291076696</v>
      </c>
      <c r="N645" s="235">
        <v>6.4120607376098597</v>
      </c>
      <c r="O645" s="235">
        <v>6.4825568199157697</v>
      </c>
      <c r="P645" s="235">
        <v>6.5450062751770002</v>
      </c>
      <c r="Q645" s="235">
        <v>6.5706739425659197</v>
      </c>
      <c r="R645" s="235">
        <v>6.6389350891113299</v>
      </c>
      <c r="S645" s="235">
        <v>6.7355680465698198</v>
      </c>
      <c r="T645" s="235">
        <v>6.8303794860839799</v>
      </c>
      <c r="U645" s="235">
        <v>6.9826822280883798</v>
      </c>
      <c r="V645" s="235">
        <v>7.0502834320068404</v>
      </c>
      <c r="W645" s="235">
        <v>7.1402068138122603</v>
      </c>
      <c r="X645" s="235">
        <v>7.2155933380126998</v>
      </c>
      <c r="Y645" s="235">
        <v>7.3827753067016602</v>
      </c>
    </row>
    <row r="646" spans="1:26">
      <c r="A646" s="231" t="s">
        <v>473</v>
      </c>
      <c r="B646" s="235">
        <v>6.5291514396667498</v>
      </c>
      <c r="C646" s="235">
        <v>8.2850980758666992</v>
      </c>
      <c r="D646" s="235">
        <v>9.8001213073730504</v>
      </c>
      <c r="E646" s="235">
        <v>9.3321943283081108</v>
      </c>
      <c r="F646" s="235">
        <v>9.0226831436157209</v>
      </c>
      <c r="G646" s="235">
        <v>9.0089912414550799</v>
      </c>
      <c r="H646" s="235">
        <v>8.9738616943359393</v>
      </c>
      <c r="I646" s="235">
        <v>8.8902368545532209</v>
      </c>
      <c r="J646" s="235">
        <v>8.9552536010742205</v>
      </c>
      <c r="K646" s="235">
        <v>8.9079008102416992</v>
      </c>
      <c r="L646" s="235">
        <v>8.89520359039307</v>
      </c>
      <c r="M646" s="235">
        <v>8.8468990325927699</v>
      </c>
      <c r="N646" s="235">
        <v>8.7482786178588903</v>
      </c>
      <c r="O646" s="235">
        <v>8.7885036468505895</v>
      </c>
      <c r="P646" s="235">
        <v>8.8624305725097692</v>
      </c>
      <c r="Q646" s="235">
        <v>8.9473028182983398</v>
      </c>
      <c r="R646" s="235">
        <v>9.0262336730956996</v>
      </c>
      <c r="S646" s="235">
        <v>9.1055555343627894</v>
      </c>
      <c r="T646" s="235">
        <v>9.0882310867309606</v>
      </c>
      <c r="U646" s="235">
        <v>9.3312444686889595</v>
      </c>
      <c r="V646" s="235">
        <v>9.4788913726806605</v>
      </c>
      <c r="W646" s="235">
        <v>9.6528720855712908</v>
      </c>
      <c r="X646" s="235">
        <v>9.7811794281005895</v>
      </c>
      <c r="Y646" s="235">
        <v>10.0579071044922</v>
      </c>
    </row>
    <row r="647" spans="1:26">
      <c r="A647" s="231" t="s">
        <v>474</v>
      </c>
      <c r="B647" s="235">
        <v>6.3323707580566397</v>
      </c>
      <c r="C647" s="235">
        <v>7.2384452819824201</v>
      </c>
      <c r="D647" s="235">
        <v>7.96527099609375</v>
      </c>
      <c r="E647" s="235">
        <v>7.6527161598205602</v>
      </c>
      <c r="F647" s="235">
        <v>7.9603652954101598</v>
      </c>
      <c r="G647" s="235">
        <v>8.0741472244262695</v>
      </c>
      <c r="H647" s="235">
        <v>8.2605934143066406</v>
      </c>
      <c r="I647" s="235">
        <v>8.3100318908691406</v>
      </c>
      <c r="J647" s="235">
        <v>8.4493141174316406</v>
      </c>
      <c r="K647" s="235">
        <v>8.8189620971679705</v>
      </c>
      <c r="L647" s="235">
        <v>8.8862495422363299</v>
      </c>
      <c r="M647" s="235">
        <v>8.8418188095092791</v>
      </c>
      <c r="N647" s="235">
        <v>8.8337812423706108</v>
      </c>
      <c r="O647" s="235">
        <v>8.6748180389404297</v>
      </c>
      <c r="P647" s="235">
        <v>8.5509977340698207</v>
      </c>
      <c r="Q647" s="235">
        <v>8.4207677841186506</v>
      </c>
      <c r="R647" s="235">
        <v>8.4376201629638707</v>
      </c>
      <c r="S647" s="235">
        <v>8.4841489791870099</v>
      </c>
      <c r="T647" s="235">
        <v>8.5509052276611293</v>
      </c>
      <c r="U647" s="235">
        <v>8.6700105667114293</v>
      </c>
      <c r="V647" s="235">
        <v>8.74859523773193</v>
      </c>
      <c r="W647" s="235">
        <v>8.8432664871215803</v>
      </c>
      <c r="X647" s="235">
        <v>9.0058250427246094</v>
      </c>
      <c r="Y647" s="235">
        <v>9.3929624557495099</v>
      </c>
    </row>
    <row r="648" spans="1:26">
      <c r="A648" s="231" t="s">
        <v>475</v>
      </c>
      <c r="B648" s="235">
        <v>8.4833917617797905</v>
      </c>
      <c r="C648" s="235">
        <v>12.566796302795399</v>
      </c>
      <c r="D648" s="235">
        <v>15.1471004486084</v>
      </c>
      <c r="E648" s="235">
        <v>13.237501144409199</v>
      </c>
      <c r="F648" s="235">
        <v>12.375891685485801</v>
      </c>
      <c r="G648" s="235">
        <v>12.379506111145</v>
      </c>
      <c r="H648" s="235">
        <v>12.2225999832153</v>
      </c>
      <c r="I648" s="235">
        <v>12.080751419067401</v>
      </c>
      <c r="J648" s="235">
        <v>12.212836265564</v>
      </c>
      <c r="K648" s="235">
        <v>12.0270395278931</v>
      </c>
      <c r="L648" s="235">
        <v>11.9549217224121</v>
      </c>
      <c r="M648" s="235">
        <v>11.879666328430201</v>
      </c>
      <c r="N648" s="235">
        <v>11.6303720474243</v>
      </c>
      <c r="O648" s="235">
        <v>11.7905416488647</v>
      </c>
      <c r="P648" s="235">
        <v>11.941043853759799</v>
      </c>
      <c r="Q648" s="235">
        <v>12.1426992416382</v>
      </c>
      <c r="R648" s="235">
        <v>12.289721488952599</v>
      </c>
      <c r="S648" s="235">
        <v>12.378883361816399</v>
      </c>
      <c r="T648" s="235">
        <v>12.2595558166504</v>
      </c>
      <c r="U648" s="235">
        <v>12.590350151061999</v>
      </c>
      <c r="V648" s="235">
        <v>12.7815389633179</v>
      </c>
      <c r="W648" s="235">
        <v>12.973883628845201</v>
      </c>
      <c r="X648" s="235">
        <v>13.0949363708496</v>
      </c>
      <c r="Y648" s="235">
        <v>13.367587089538601</v>
      </c>
    </row>
    <row r="649" spans="1:26">
      <c r="A649" s="231" t="s">
        <v>479</v>
      </c>
      <c r="B649" s="235">
        <v>3.9384419918060298</v>
      </c>
      <c r="C649" s="235">
        <v>4.5867881774902299</v>
      </c>
      <c r="D649" s="235">
        <v>4.6800308227539098</v>
      </c>
      <c r="E649" s="235">
        <v>4.9388952255248997</v>
      </c>
      <c r="F649" s="235">
        <v>5.2859730720520002</v>
      </c>
      <c r="G649" s="235">
        <v>5.2723593711853001</v>
      </c>
      <c r="H649" s="235">
        <v>5.2104086875915501</v>
      </c>
      <c r="I649" s="235">
        <v>5.1732821464538601</v>
      </c>
      <c r="J649" s="235">
        <v>5.1717634201049796</v>
      </c>
      <c r="K649" s="235">
        <v>5.17871141433716</v>
      </c>
      <c r="L649" s="235">
        <v>5.1878075599670401</v>
      </c>
      <c r="M649" s="235">
        <v>5.1966009140014604</v>
      </c>
      <c r="N649" s="235">
        <v>5.2060360908508301</v>
      </c>
      <c r="O649" s="235">
        <v>5.2088470458984402</v>
      </c>
      <c r="P649" s="235">
        <v>5.2896075248718297</v>
      </c>
      <c r="Q649" s="235">
        <v>5.3583388328552202</v>
      </c>
      <c r="R649" s="235">
        <v>5.44156694412231</v>
      </c>
      <c r="S649" s="235">
        <v>5.5192761421203604</v>
      </c>
      <c r="T649" s="235">
        <v>5.5953726768493697</v>
      </c>
      <c r="U649" s="235">
        <v>5.6724872589111301</v>
      </c>
      <c r="V649" s="235">
        <v>5.7441039085388201</v>
      </c>
      <c r="W649" s="235">
        <v>5.8200716972351101</v>
      </c>
      <c r="X649" s="235">
        <v>5.9009070396423304</v>
      </c>
      <c r="Y649" s="235">
        <v>5.9898118972778303</v>
      </c>
    </row>
    <row r="650" spans="1:26">
      <c r="A650" s="253" t="s">
        <v>482</v>
      </c>
      <c r="B650" s="235">
        <v>3.88655662536621</v>
      </c>
      <c r="C650" s="235">
        <v>5.55936574935913</v>
      </c>
      <c r="D650" s="235">
        <v>6.0491261482238796</v>
      </c>
      <c r="E650" s="235">
        <v>6.0771641731262198</v>
      </c>
      <c r="F650" s="235">
        <v>5.4298515319824201</v>
      </c>
      <c r="G650" s="235">
        <v>5.0030980110168501</v>
      </c>
      <c r="H650" s="235">
        <v>4.6280007362365696</v>
      </c>
      <c r="I650" s="235">
        <v>4.5291852951049796</v>
      </c>
      <c r="J650" s="235">
        <v>4.41147708892822</v>
      </c>
      <c r="K650" s="235">
        <v>4.4342226982116699</v>
      </c>
      <c r="L650" s="235">
        <v>4.4864263534545898</v>
      </c>
      <c r="M650" s="235">
        <v>4.5912823677062997</v>
      </c>
      <c r="N650" s="235">
        <v>4.7218933105468803</v>
      </c>
      <c r="O650" s="235">
        <v>4.8130536079406703</v>
      </c>
      <c r="P650" s="235">
        <v>4.8621869087219203</v>
      </c>
      <c r="Q650" s="235">
        <v>4.81842041015625</v>
      </c>
      <c r="R650" s="235">
        <v>4.8841061592102104</v>
      </c>
      <c r="S650" s="235">
        <v>5.0232949256896999</v>
      </c>
      <c r="T650" s="235">
        <v>5.2583932876586896</v>
      </c>
      <c r="U650" s="235">
        <v>5.3567323684692401</v>
      </c>
      <c r="V650" s="235">
        <v>5.3575921058654803</v>
      </c>
      <c r="W650" s="235">
        <v>5.37701320648193</v>
      </c>
      <c r="X650" s="235">
        <v>5.4306664466857901</v>
      </c>
      <c r="Y650" s="235">
        <v>5.5327925682067898</v>
      </c>
      <c r="Z650" s="261">
        <f>Y650+($AI$480-$Y$650)/10</f>
        <v>5.5600694801614594</v>
      </c>
    </row>
    <row r="651" spans="1:26">
      <c r="A651" s="231" t="s">
        <v>483</v>
      </c>
      <c r="B651" s="235">
        <v>1.88388228416443</v>
      </c>
      <c r="C651" s="235">
        <v>1.8499996662139899</v>
      </c>
      <c r="D651" s="235">
        <v>1.9633457660675</v>
      </c>
      <c r="E651" s="235">
        <v>1.8999761343002299</v>
      </c>
      <c r="F651" s="235">
        <v>1.88347840309143</v>
      </c>
      <c r="G651" s="235">
        <v>1.8588999509811399</v>
      </c>
      <c r="H651" s="235">
        <v>1.8578026294708301</v>
      </c>
      <c r="I651" s="235">
        <v>1.85227739810944</v>
      </c>
      <c r="J651" s="235">
        <v>1.8239538669586199</v>
      </c>
      <c r="K651" s="235">
        <v>1.79700314998627</v>
      </c>
      <c r="L651" s="235">
        <v>1.78184306621552</v>
      </c>
      <c r="M651" s="235">
        <v>1.7756989002227801</v>
      </c>
      <c r="N651" s="235">
        <v>1.77074086666107</v>
      </c>
      <c r="O651" s="235">
        <v>1.7668309211730999</v>
      </c>
      <c r="P651" s="235">
        <v>1.7627635002136199</v>
      </c>
      <c r="Q651" s="235">
        <v>1.7565006017684901</v>
      </c>
      <c r="R651" s="235">
        <v>1.75614774227142</v>
      </c>
      <c r="S651" s="235">
        <v>1.7571268081664999</v>
      </c>
      <c r="T651" s="235">
        <v>1.75483202934265</v>
      </c>
      <c r="U651" s="235">
        <v>1.7449706792831401</v>
      </c>
      <c r="V651" s="235">
        <v>1.72660219669342</v>
      </c>
      <c r="W651" s="235">
        <v>1.70969367027283</v>
      </c>
      <c r="X651" s="235">
        <v>1.70006084442139</v>
      </c>
      <c r="Y651" s="235">
        <v>1.6866580247878999</v>
      </c>
    </row>
    <row r="652" spans="1:26">
      <c r="A652" s="231" t="s">
        <v>484</v>
      </c>
      <c r="B652" s="235">
        <v>1.5976041555404701</v>
      </c>
      <c r="C652" s="235">
        <v>1.5543407201767001</v>
      </c>
      <c r="D652" s="235">
        <v>1.5670678615570099</v>
      </c>
      <c r="E652" s="235">
        <v>1.6038056612014799</v>
      </c>
      <c r="F652" s="235">
        <v>1.6009258031845099</v>
      </c>
      <c r="G652" s="235">
        <v>1.58739173412323</v>
      </c>
      <c r="H652" s="235">
        <v>1.58863317966461</v>
      </c>
      <c r="I652" s="235">
        <v>1.5846539735794101</v>
      </c>
      <c r="J652" s="235">
        <v>1.5799860954284699</v>
      </c>
      <c r="K652" s="235">
        <v>1.5764416456222501</v>
      </c>
      <c r="L652" s="235">
        <v>1.5679914951324501</v>
      </c>
      <c r="M652" s="235">
        <v>1.5610833168029801</v>
      </c>
      <c r="N652" s="235">
        <v>1.5600349903106701</v>
      </c>
      <c r="O652" s="235">
        <v>1.56054711341858</v>
      </c>
      <c r="P652" s="235">
        <v>1.56748187541962</v>
      </c>
      <c r="Q652" s="235">
        <v>1.5675091743469201</v>
      </c>
      <c r="R652" s="235">
        <v>1.5641727447509799</v>
      </c>
      <c r="S652" s="235">
        <v>1.5615659952163701</v>
      </c>
      <c r="T652" s="235">
        <v>1.58828938007355</v>
      </c>
      <c r="U652" s="235">
        <v>1.58737933635712</v>
      </c>
      <c r="V652" s="235">
        <v>1.59387278556824</v>
      </c>
      <c r="W652" s="235">
        <v>1.5848928689956701</v>
      </c>
      <c r="X652" s="235">
        <v>1.5860744714736901</v>
      </c>
      <c r="Y652" s="235">
        <v>1.5880702733993499</v>
      </c>
    </row>
    <row r="653" spans="1:26">
      <c r="A653" s="254" t="s">
        <v>477</v>
      </c>
      <c r="B653" s="235">
        <v>14.734835624694799</v>
      </c>
      <c r="C653" s="235">
        <v>15.0261535644531</v>
      </c>
      <c r="D653" s="235">
        <v>15.722662925720201</v>
      </c>
      <c r="E653" s="235">
        <v>15.5983018875122</v>
      </c>
      <c r="F653" s="235">
        <v>15.078427314758301</v>
      </c>
      <c r="G653" s="235">
        <v>14.4692840576172</v>
      </c>
      <c r="H653" s="235">
        <v>14.1632738113403</v>
      </c>
      <c r="I653" s="235">
        <v>14.081834793090801</v>
      </c>
      <c r="J653" s="235">
        <v>13.919806480407701</v>
      </c>
      <c r="K653" s="235">
        <v>13.785112380981399</v>
      </c>
      <c r="L653" s="235">
        <v>13.931169509887701</v>
      </c>
      <c r="M653" s="235">
        <v>14.1889085769653</v>
      </c>
      <c r="N653" s="235">
        <v>14.5255270004272</v>
      </c>
      <c r="O653" s="235">
        <v>14.681715965271</v>
      </c>
      <c r="P653" s="235">
        <v>14.814373970031699</v>
      </c>
      <c r="Q653" s="235">
        <v>14.8553409576416</v>
      </c>
      <c r="R653" s="235">
        <v>15.0255784988403</v>
      </c>
      <c r="S653" s="235">
        <v>15.2628774642944</v>
      </c>
      <c r="T653" s="235">
        <v>15.5799751281738</v>
      </c>
      <c r="U653" s="235">
        <v>15.7510900497437</v>
      </c>
      <c r="V653" s="235">
        <v>15.7371273040771</v>
      </c>
      <c r="W653" s="235">
        <v>15.705772399902299</v>
      </c>
      <c r="X653" s="235">
        <v>15.779216766357401</v>
      </c>
      <c r="Y653" s="235">
        <v>15.8933115005493</v>
      </c>
      <c r="Z653" s="263">
        <f>Y653+($AI$483-$Y$653)/10</f>
        <v>15.820176294068443</v>
      </c>
    </row>
    <row r="654" spans="1:26">
      <c r="A654" s="231" t="s">
        <v>438</v>
      </c>
      <c r="B654" s="235" t="s">
        <v>438</v>
      </c>
      <c r="C654" s="235" t="s">
        <v>438</v>
      </c>
      <c r="D654" s="235" t="s">
        <v>438</v>
      </c>
      <c r="E654" s="235" t="s">
        <v>438</v>
      </c>
      <c r="F654" s="235" t="s">
        <v>438</v>
      </c>
      <c r="G654" s="235" t="s">
        <v>438</v>
      </c>
      <c r="H654" s="235" t="s">
        <v>438</v>
      </c>
      <c r="I654" s="235" t="s">
        <v>438</v>
      </c>
      <c r="J654" s="235" t="s">
        <v>438</v>
      </c>
      <c r="K654" s="235" t="s">
        <v>438</v>
      </c>
      <c r="L654" s="235" t="s">
        <v>438</v>
      </c>
      <c r="M654" s="235" t="s">
        <v>438</v>
      </c>
      <c r="N654" s="235" t="s">
        <v>438</v>
      </c>
      <c r="O654" s="235" t="s">
        <v>438</v>
      </c>
      <c r="P654" s="235" t="s">
        <v>438</v>
      </c>
      <c r="Q654" s="235" t="s">
        <v>438</v>
      </c>
      <c r="R654" s="235" t="s">
        <v>438</v>
      </c>
      <c r="S654" s="235" t="s">
        <v>438</v>
      </c>
      <c r="T654" s="235" t="s">
        <v>438</v>
      </c>
      <c r="U654" s="235" t="s">
        <v>438</v>
      </c>
      <c r="V654" s="235" t="s">
        <v>438</v>
      </c>
      <c r="W654" s="235" t="s">
        <v>438</v>
      </c>
      <c r="X654" s="235" t="s">
        <v>438</v>
      </c>
      <c r="Y654" s="235" t="s">
        <v>438</v>
      </c>
    </row>
    <row r="655" spans="1:26">
      <c r="A655" s="231" t="s">
        <v>485</v>
      </c>
      <c r="B655" s="235">
        <v>10.068477630615201</v>
      </c>
      <c r="C655" s="235">
        <v>11.4567165374756</v>
      </c>
      <c r="D655" s="235">
        <v>12.984992980956999</v>
      </c>
      <c r="E655" s="235">
        <v>12.648449897766101</v>
      </c>
      <c r="F655" s="235">
        <v>12.9899549484253</v>
      </c>
      <c r="G655" s="235">
        <v>12.831539154052701</v>
      </c>
      <c r="H655" s="235">
        <v>12.772025108337401</v>
      </c>
      <c r="I655" s="235">
        <v>12.778377532959</v>
      </c>
      <c r="J655" s="235">
        <v>12.6527404785156</v>
      </c>
      <c r="K655" s="235">
        <v>12.633409500122101</v>
      </c>
      <c r="L655" s="235">
        <v>12.627567291259799</v>
      </c>
      <c r="M655" s="235">
        <v>12.5634212493896</v>
      </c>
      <c r="N655" s="235">
        <v>12.5677394866943</v>
      </c>
      <c r="O655" s="235">
        <v>12.4416351318359</v>
      </c>
      <c r="P655" s="235">
        <v>12.463407516479499</v>
      </c>
      <c r="Q655" s="235">
        <v>12.3592376708984</v>
      </c>
      <c r="R655" s="235">
        <v>12.3700494766235</v>
      </c>
      <c r="S655" s="235">
        <v>12.4214639663696</v>
      </c>
      <c r="T655" s="235">
        <v>12.406385421752899</v>
      </c>
      <c r="U655" s="235">
        <v>12.599157333374</v>
      </c>
      <c r="V655" s="235">
        <v>12.7199811935425</v>
      </c>
      <c r="W655" s="235">
        <v>12.8404388427734</v>
      </c>
      <c r="X655" s="235">
        <v>12.9761352539063</v>
      </c>
      <c r="Y655" s="235">
        <v>13.180356025695801</v>
      </c>
    </row>
    <row r="656" spans="1:26">
      <c r="A656" s="231" t="s">
        <v>481</v>
      </c>
      <c r="B656" s="235">
        <v>10.0396184921265</v>
      </c>
      <c r="C656" s="235">
        <v>11.4297380447388</v>
      </c>
      <c r="D656" s="235">
        <v>12.961000442504901</v>
      </c>
      <c r="E656" s="235">
        <v>12.6243276596069</v>
      </c>
      <c r="F656" s="235">
        <v>12.9694175720215</v>
      </c>
      <c r="G656" s="235">
        <v>12.812975883483899</v>
      </c>
      <c r="H656" s="235">
        <v>12.7542219161987</v>
      </c>
      <c r="I656" s="235">
        <v>12.7604532241821</v>
      </c>
      <c r="J656" s="235">
        <v>12.634376525878899</v>
      </c>
      <c r="K656" s="235">
        <v>12.614933013916</v>
      </c>
      <c r="L656" s="235">
        <v>12.6084880828857</v>
      </c>
      <c r="M656" s="235">
        <v>12.543541908264199</v>
      </c>
      <c r="N656" s="235">
        <v>12.546923637390099</v>
      </c>
      <c r="O656" s="235">
        <v>12.4202537536621</v>
      </c>
      <c r="P656" s="235">
        <v>12.441800117492701</v>
      </c>
      <c r="Q656" s="235">
        <v>12.3374538421631</v>
      </c>
      <c r="R656" s="235">
        <v>12.3479681015015</v>
      </c>
      <c r="S656" s="235">
        <v>12.3989114761353</v>
      </c>
      <c r="T656" s="235">
        <v>12.3829250335693</v>
      </c>
      <c r="U656" s="235">
        <v>12.575768470764199</v>
      </c>
      <c r="V656" s="235">
        <v>12.6970834732056</v>
      </c>
      <c r="W656" s="235">
        <v>12.8181715011597</v>
      </c>
      <c r="X656" s="235">
        <v>12.9540061950684</v>
      </c>
      <c r="Y656" s="235">
        <v>13.1585645675659</v>
      </c>
    </row>
    <row r="657" spans="1:26">
      <c r="A657" s="231" t="s">
        <v>473</v>
      </c>
      <c r="B657" s="235">
        <v>10.0409812927246</v>
      </c>
      <c r="C657" s="235">
        <v>11.431476593017599</v>
      </c>
      <c r="D657" s="235">
        <v>12.9638833999634</v>
      </c>
      <c r="E657" s="235">
        <v>12.6272735595703</v>
      </c>
      <c r="F657" s="235">
        <v>12.9738121032715</v>
      </c>
      <c r="G657" s="235">
        <v>12.8180704116821</v>
      </c>
      <c r="H657" s="235">
        <v>12.7602338790894</v>
      </c>
      <c r="I657" s="235">
        <v>12.7672443389893</v>
      </c>
      <c r="J657" s="235">
        <v>12.6416578292847</v>
      </c>
      <c r="K657" s="235">
        <v>12.622591972351101</v>
      </c>
      <c r="L657" s="235">
        <v>12.616462707519499</v>
      </c>
      <c r="M657" s="235">
        <v>12.551496505737299</v>
      </c>
      <c r="N657" s="235">
        <v>12.554883956909199</v>
      </c>
      <c r="O657" s="235">
        <v>12.4279336929321</v>
      </c>
      <c r="P657" s="235">
        <v>12.4496717453003</v>
      </c>
      <c r="Q657" s="235">
        <v>12.3454332351685</v>
      </c>
      <c r="R657" s="235">
        <v>12.356036186218301</v>
      </c>
      <c r="S657" s="235">
        <v>12.4068956375122</v>
      </c>
      <c r="T657" s="235">
        <v>12.3903903961182</v>
      </c>
      <c r="U657" s="235">
        <v>12.5835561752319</v>
      </c>
      <c r="V657" s="235">
        <v>12.7052898406982</v>
      </c>
      <c r="W657" s="235">
        <v>12.826750755310099</v>
      </c>
      <c r="X657" s="235">
        <v>12.9629173278809</v>
      </c>
      <c r="Y657" s="235">
        <v>13.167941093444799</v>
      </c>
    </row>
    <row r="658" spans="1:26">
      <c r="A658" s="258" t="s">
        <v>486</v>
      </c>
      <c r="B658" s="235">
        <v>9.5535230636596697</v>
      </c>
      <c r="C658" s="235">
        <v>10.9202365875244</v>
      </c>
      <c r="D658" s="235">
        <v>12.0208587646484</v>
      </c>
      <c r="E658" s="235">
        <v>11.5461339950562</v>
      </c>
      <c r="F658" s="235">
        <v>12.0997161865234</v>
      </c>
      <c r="G658" s="235">
        <v>12.488727569580099</v>
      </c>
      <c r="H658" s="235">
        <v>12.3829002380371</v>
      </c>
      <c r="I658" s="235">
        <v>12.4196271896362</v>
      </c>
      <c r="J658" s="235">
        <v>12.508094787597701</v>
      </c>
      <c r="K658" s="235">
        <v>12.555921554565399</v>
      </c>
      <c r="L658" s="235">
        <v>12.5986595153809</v>
      </c>
      <c r="M658" s="235">
        <v>12.507498741149901</v>
      </c>
      <c r="N658" s="235">
        <v>12.460197448730501</v>
      </c>
      <c r="O658" s="235">
        <v>12.2335548400879</v>
      </c>
      <c r="P658" s="235">
        <v>12.028847694396999</v>
      </c>
      <c r="Q658" s="235">
        <v>11.832740783691399</v>
      </c>
      <c r="R658" s="235">
        <v>11.7916069030762</v>
      </c>
      <c r="S658" s="235">
        <v>11.803469657897899</v>
      </c>
      <c r="T658" s="235">
        <v>11.8377895355225</v>
      </c>
      <c r="U658" s="235">
        <v>11.9129686355591</v>
      </c>
      <c r="V658" s="235">
        <v>11.9319505691528</v>
      </c>
      <c r="W658" s="235">
        <v>11.983411788940399</v>
      </c>
      <c r="X658" s="235">
        <v>12.11021900177</v>
      </c>
      <c r="Y658" s="235">
        <v>12.4955101013184</v>
      </c>
      <c r="Z658" s="265">
        <f>Y658+($AI$488-$Y$658)/10</f>
        <v>12.860153747735882</v>
      </c>
    </row>
    <row r="659" spans="1:26">
      <c r="A659" s="231" t="s">
        <v>487</v>
      </c>
      <c r="B659" s="235">
        <v>6.0538434982299796</v>
      </c>
      <c r="C659" s="235">
        <v>6.4578518867492702</v>
      </c>
      <c r="D659" s="235">
        <v>8.1168746948242205</v>
      </c>
      <c r="E659" s="235">
        <v>7.6875567436218297</v>
      </c>
      <c r="F659" s="235">
        <v>7.8739576339721697</v>
      </c>
      <c r="G659" s="235">
        <v>7.8265089988708496</v>
      </c>
      <c r="H659" s="235">
        <v>7.9840884208679199</v>
      </c>
      <c r="I659" s="235">
        <v>8.0166091918945295</v>
      </c>
      <c r="J659" s="235">
        <v>7.8608303070068404</v>
      </c>
      <c r="K659" s="235">
        <v>7.81276655197144</v>
      </c>
      <c r="L659" s="235">
        <v>7.8045797348022496</v>
      </c>
      <c r="M659" s="235">
        <v>7.7928524017334002</v>
      </c>
      <c r="N659" s="235">
        <v>7.7725591659545898</v>
      </c>
      <c r="O659" s="235">
        <v>7.7157216072082502</v>
      </c>
      <c r="P659" s="235">
        <v>7.7164225578308097</v>
      </c>
      <c r="Q659" s="235">
        <v>7.6991229057312003</v>
      </c>
      <c r="R659" s="235">
        <v>7.7546834945678702</v>
      </c>
      <c r="S659" s="235">
        <v>7.8412432670593297</v>
      </c>
      <c r="T659" s="235">
        <v>7.8916783332824698</v>
      </c>
      <c r="U659" s="235">
        <v>8.0530261993408203</v>
      </c>
      <c r="V659" s="235">
        <v>8.1459932327270508</v>
      </c>
      <c r="W659" s="235">
        <v>8.2922735214233398</v>
      </c>
      <c r="X659" s="235">
        <v>8.4199304580688494</v>
      </c>
      <c r="Y659" s="235">
        <v>8.7479171752929705</v>
      </c>
    </row>
    <row r="660" spans="1:26">
      <c r="A660" s="258" t="s">
        <v>488</v>
      </c>
      <c r="B660" s="235">
        <v>11.3207235336304</v>
      </c>
      <c r="C660" s="235">
        <v>12.9284992218018</v>
      </c>
      <c r="D660" s="235">
        <v>14.6530704498291</v>
      </c>
      <c r="E660" s="235">
        <v>14.346966743469199</v>
      </c>
      <c r="F660" s="235">
        <v>14.7094535827637</v>
      </c>
      <c r="G660" s="235">
        <v>14.3600215911865</v>
      </c>
      <c r="H660" s="235">
        <v>14.2510118484497</v>
      </c>
      <c r="I660" s="235">
        <v>14.250683784484901</v>
      </c>
      <c r="J660" s="235">
        <v>14.0786781311035</v>
      </c>
      <c r="K660" s="235">
        <v>14.0637760162354</v>
      </c>
      <c r="L660" s="235">
        <v>14.0259552001953</v>
      </c>
      <c r="M660" s="235">
        <v>13.906542778015099</v>
      </c>
      <c r="N660" s="235">
        <v>13.9343166351318</v>
      </c>
      <c r="O660" s="235">
        <v>13.819755554199199</v>
      </c>
      <c r="P660" s="235">
        <v>13.920813560485801</v>
      </c>
      <c r="Q660" s="235">
        <v>13.821713447570801</v>
      </c>
      <c r="R660" s="235">
        <v>13.8340721130371</v>
      </c>
      <c r="S660" s="235">
        <v>13.8936500549316</v>
      </c>
      <c r="T660" s="235">
        <v>13.8356838226318</v>
      </c>
      <c r="U660" s="235">
        <v>14.0806474685669</v>
      </c>
      <c r="V660" s="235">
        <v>14.2383365631104</v>
      </c>
      <c r="W660" s="235">
        <v>14.3749399185181</v>
      </c>
      <c r="X660" s="235">
        <v>14.5092010498047</v>
      </c>
      <c r="Y660" s="235">
        <v>14.605681419372599</v>
      </c>
      <c r="Z660" s="265">
        <f>Y660+($AI$490-$Y$660)/10</f>
        <v>15.03173973157025</v>
      </c>
    </row>
    <row r="661" spans="1:26">
      <c r="A661" s="231" t="s">
        <v>479</v>
      </c>
      <c r="B661" s="235">
        <v>3.83150410652161</v>
      </c>
      <c r="C661" s="235">
        <v>4.4939312934875497</v>
      </c>
      <c r="D661" s="235">
        <v>4.5839381217956499</v>
      </c>
      <c r="E661" s="235">
        <v>4.8374896049499503</v>
      </c>
      <c r="F661" s="235">
        <v>5.1729192733764604</v>
      </c>
      <c r="G661" s="235">
        <v>5.1682701110839799</v>
      </c>
      <c r="H661" s="235">
        <v>5.1688323020935103</v>
      </c>
      <c r="I661" s="235">
        <v>5.1695828437805202</v>
      </c>
      <c r="J661" s="235">
        <v>5.16760349273682</v>
      </c>
      <c r="K661" s="235">
        <v>5.1733479499816903</v>
      </c>
      <c r="L661" s="235">
        <v>5.1798586845397896</v>
      </c>
      <c r="M661" s="235">
        <v>5.1877336502075204</v>
      </c>
      <c r="N661" s="235">
        <v>5.1953010559081996</v>
      </c>
      <c r="O661" s="235">
        <v>5.2001247406005904</v>
      </c>
      <c r="P661" s="235">
        <v>5.2810626029968297</v>
      </c>
      <c r="Q661" s="235">
        <v>5.3552770614623997</v>
      </c>
      <c r="R661" s="235">
        <v>5.4362750053405797</v>
      </c>
      <c r="S661" s="235">
        <v>5.5152239799499503</v>
      </c>
      <c r="T661" s="235">
        <v>5.5921721458435103</v>
      </c>
      <c r="U661" s="235">
        <v>5.6705627441406303</v>
      </c>
      <c r="V661" s="235">
        <v>5.7475032806396502</v>
      </c>
      <c r="W661" s="235">
        <v>5.8269476890564</v>
      </c>
      <c r="X661" s="235">
        <v>5.9046044349670401</v>
      </c>
      <c r="Y661" s="235">
        <v>5.9824995994567898</v>
      </c>
    </row>
    <row r="662" spans="1:26">
      <c r="A662" s="231" t="s">
        <v>489</v>
      </c>
      <c r="B662" s="235">
        <v>15.146578788757299</v>
      </c>
      <c r="C662" s="235">
        <v>16.654964447021499</v>
      </c>
      <c r="D662" s="235">
        <v>20.603065490722699</v>
      </c>
      <c r="E662" s="235">
        <v>20.419296264648398</v>
      </c>
      <c r="F662" s="235">
        <v>17.4092102050781</v>
      </c>
      <c r="G662" s="235">
        <v>17.409763336181602</v>
      </c>
      <c r="H662" s="235">
        <v>17.1964435577393</v>
      </c>
      <c r="I662" s="235">
        <v>17.156021118164102</v>
      </c>
      <c r="J662" s="235">
        <v>17.248268127441399</v>
      </c>
      <c r="K662" s="235">
        <v>17.105394363403299</v>
      </c>
      <c r="L662" s="235">
        <v>17.085474014282202</v>
      </c>
      <c r="M662" s="235">
        <v>16.997465133666999</v>
      </c>
      <c r="N662" s="235">
        <v>16.7497043609619</v>
      </c>
      <c r="O662" s="235">
        <v>16.830522537231399</v>
      </c>
      <c r="P662" s="235">
        <v>16.954969406127901</v>
      </c>
      <c r="Q662" s="235">
        <v>17.1650085449219</v>
      </c>
      <c r="R662" s="235">
        <v>17.2562961578369</v>
      </c>
      <c r="S662" s="235">
        <v>17.321376800537099</v>
      </c>
      <c r="T662" s="235">
        <v>17.262313842773398</v>
      </c>
      <c r="U662" s="235">
        <v>17.454835891723601</v>
      </c>
      <c r="V662" s="235">
        <v>17.584600448608398</v>
      </c>
      <c r="W662" s="235">
        <v>17.847267150878899</v>
      </c>
      <c r="X662" s="235">
        <v>17.9585571289063</v>
      </c>
      <c r="Y662" s="235">
        <v>18.1527404785156</v>
      </c>
    </row>
    <row r="663" spans="1:26">
      <c r="A663" s="231" t="s">
        <v>490</v>
      </c>
      <c r="B663" s="235">
        <v>7.2317700386047399</v>
      </c>
      <c r="C663" s="235">
        <v>9.0444478988647496</v>
      </c>
      <c r="D663" s="235">
        <v>9.7142210006713903</v>
      </c>
      <c r="E663" s="235">
        <v>9.7955017089843803</v>
      </c>
      <c r="F663" s="235">
        <v>9.2987012863159197</v>
      </c>
      <c r="G663" s="235">
        <v>9.0087041854858398</v>
      </c>
      <c r="H663" s="235">
        <v>8.73461818695068</v>
      </c>
      <c r="I663" s="235">
        <v>8.6602125167846697</v>
      </c>
      <c r="J663" s="235">
        <v>8.6087532043456996</v>
      </c>
      <c r="K663" s="235">
        <v>8.6854057312011701</v>
      </c>
      <c r="L663" s="235">
        <v>8.7734069824218803</v>
      </c>
      <c r="M663" s="235">
        <v>8.9131555557250994</v>
      </c>
      <c r="N663" s="235">
        <v>9.0697097778320295</v>
      </c>
      <c r="O663" s="235">
        <v>9.1761322021484393</v>
      </c>
      <c r="P663" s="235">
        <v>9.2086582183837908</v>
      </c>
      <c r="Q663" s="235">
        <v>9.1414461135864293</v>
      </c>
      <c r="R663" s="235">
        <v>9.1881532669067401</v>
      </c>
      <c r="S663" s="235">
        <v>9.3183298110961896</v>
      </c>
      <c r="T663" s="235">
        <v>9.5262966156005895</v>
      </c>
      <c r="U663" s="235">
        <v>9.6340904235839808</v>
      </c>
      <c r="V663" s="235">
        <v>9.6386470794677699</v>
      </c>
      <c r="W663" s="235">
        <v>9.6553201675415004</v>
      </c>
      <c r="X663" s="235">
        <v>9.7052288055419904</v>
      </c>
      <c r="Y663" s="235">
        <v>9.7829256057739293</v>
      </c>
    </row>
    <row r="664" spans="1:26">
      <c r="A664" s="260" t="s">
        <v>495</v>
      </c>
      <c r="B664" s="235">
        <v>14.6543264389038</v>
      </c>
      <c r="C664" s="235">
        <v>16.232709884643601</v>
      </c>
      <c r="D664" s="235">
        <v>19.6646022796631</v>
      </c>
      <c r="E664" s="235">
        <v>19.716905593872099</v>
      </c>
      <c r="F664" s="235">
        <v>20.910398483276399</v>
      </c>
      <c r="G664" s="235">
        <v>20.088336944580099</v>
      </c>
      <c r="H664" s="235">
        <v>20.034643173217798</v>
      </c>
      <c r="I664" s="235">
        <v>19.876234054565401</v>
      </c>
      <c r="J664" s="235">
        <v>19.0899848937988</v>
      </c>
      <c r="K664" s="235">
        <v>19.0770473480225</v>
      </c>
      <c r="L664" s="235">
        <v>18.9334907531738</v>
      </c>
      <c r="M664" s="235">
        <v>18.8203315734863</v>
      </c>
      <c r="N664" s="235">
        <v>18.8769016265869</v>
      </c>
      <c r="O664" s="235">
        <v>18.733657836914102</v>
      </c>
      <c r="P664" s="235">
        <v>18.836368560791001</v>
      </c>
      <c r="Q664" s="235">
        <v>18.717578887939499</v>
      </c>
      <c r="R664" s="235">
        <v>18.677961349487301</v>
      </c>
      <c r="S664" s="235">
        <v>18.768825531005898</v>
      </c>
      <c r="T664" s="235">
        <v>18.702945709228501</v>
      </c>
      <c r="U664" s="235">
        <v>19.039726257324201</v>
      </c>
      <c r="V664" s="235">
        <v>19.213029861450199</v>
      </c>
      <c r="W664" s="235">
        <v>19.429216384887699</v>
      </c>
      <c r="X664" s="235">
        <v>19.537574768066399</v>
      </c>
      <c r="Y664" s="235">
        <v>19.6945476531982</v>
      </c>
      <c r="Z664" s="267">
        <f>Y664+($AI$494-$Y$664)/10</f>
        <v>19.593947309306923</v>
      </c>
    </row>
    <row r="665" spans="1:26">
      <c r="A665" s="231" t="s">
        <v>477</v>
      </c>
      <c r="B665" s="235">
        <v>20.034517288208001</v>
      </c>
      <c r="C665" s="235">
        <v>20.636144638061499</v>
      </c>
      <c r="D665" s="235">
        <v>21.2071418762207</v>
      </c>
      <c r="E665" s="235">
        <v>20.9249382019043</v>
      </c>
      <c r="F665" s="235">
        <v>20.016746520996101</v>
      </c>
      <c r="G665" s="235">
        <v>19.1842136383057</v>
      </c>
      <c r="H665" s="235">
        <v>18.876358032226602</v>
      </c>
      <c r="I665" s="235">
        <v>18.930015563964801</v>
      </c>
      <c r="J665" s="235">
        <v>18.9569396972656</v>
      </c>
      <c r="K665" s="235">
        <v>18.971715927123999</v>
      </c>
      <c r="L665" s="235">
        <v>19.161241531372099</v>
      </c>
      <c r="M665" s="235">
        <v>19.352525711059599</v>
      </c>
      <c r="N665" s="235">
        <v>19.6624240875244</v>
      </c>
      <c r="O665" s="235">
        <v>19.699916839599599</v>
      </c>
      <c r="P665" s="235">
        <v>19.754545211791999</v>
      </c>
      <c r="Q665" s="235">
        <v>19.6803493499756</v>
      </c>
      <c r="R665" s="235">
        <v>19.749149322509801</v>
      </c>
      <c r="S665" s="235">
        <v>19.913064956665</v>
      </c>
      <c r="T665" s="235">
        <v>20.148523330688501</v>
      </c>
      <c r="U665" s="235">
        <v>20.261070251464801</v>
      </c>
      <c r="V665" s="235">
        <v>20.168498992919901</v>
      </c>
      <c r="W665" s="235">
        <v>20.043989181518601</v>
      </c>
      <c r="X665" s="235">
        <v>20.096965789794901</v>
      </c>
      <c r="Y665" s="235">
        <v>20.154518127441399</v>
      </c>
    </row>
    <row r="666" spans="1:26">
      <c r="A666" s="231" t="s">
        <v>438</v>
      </c>
      <c r="B666" s="235" t="s">
        <v>438</v>
      </c>
      <c r="C666" s="235" t="s">
        <v>438</v>
      </c>
      <c r="D666" s="235" t="s">
        <v>438</v>
      </c>
      <c r="E666" s="235" t="s">
        <v>438</v>
      </c>
      <c r="F666" s="235" t="s">
        <v>438</v>
      </c>
      <c r="G666" s="235" t="s">
        <v>438</v>
      </c>
      <c r="H666" s="235" t="s">
        <v>438</v>
      </c>
      <c r="I666" s="235" t="s">
        <v>438</v>
      </c>
      <c r="J666" s="235" t="s">
        <v>438</v>
      </c>
      <c r="K666" s="235" t="s">
        <v>438</v>
      </c>
      <c r="L666" s="235" t="s">
        <v>438</v>
      </c>
      <c r="M666" s="235" t="s">
        <v>438</v>
      </c>
      <c r="N666" s="235" t="s">
        <v>438</v>
      </c>
      <c r="O666" s="235" t="s">
        <v>438</v>
      </c>
      <c r="P666" s="235" t="s">
        <v>438</v>
      </c>
      <c r="Q666" s="235" t="s">
        <v>438</v>
      </c>
      <c r="R666" s="235" t="s">
        <v>438</v>
      </c>
      <c r="S666" s="235" t="s">
        <v>438</v>
      </c>
      <c r="T666" s="235" t="s">
        <v>438</v>
      </c>
      <c r="U666" s="235" t="s">
        <v>438</v>
      </c>
      <c r="V666" s="235" t="s">
        <v>438</v>
      </c>
      <c r="W666" s="235" t="s">
        <v>438</v>
      </c>
      <c r="X666" s="235" t="s">
        <v>438</v>
      </c>
      <c r="Y666" s="235" t="s">
        <v>438</v>
      </c>
    </row>
    <row r="667" spans="1:26">
      <c r="A667" s="231" t="s">
        <v>496</v>
      </c>
      <c r="B667" s="235">
        <v>10.2607097625732</v>
      </c>
      <c r="C667" s="235">
        <v>11.4965677261353</v>
      </c>
      <c r="D667" s="235">
        <v>12.4990587234497</v>
      </c>
      <c r="E667" s="235">
        <v>12.3170623779297</v>
      </c>
      <c r="F667" s="235">
        <v>12.135007858276399</v>
      </c>
      <c r="G667" s="235">
        <v>11.845267295837401</v>
      </c>
      <c r="H667" s="235">
        <v>11.6573295593262</v>
      </c>
      <c r="I667" s="235">
        <v>11.6295518875122</v>
      </c>
      <c r="J667" s="235">
        <v>11.5503234863281</v>
      </c>
      <c r="K667" s="235">
        <v>11.540096282959</v>
      </c>
      <c r="L667" s="235">
        <v>11.6076335906982</v>
      </c>
      <c r="M667" s="235">
        <v>11.667243003845201</v>
      </c>
      <c r="N667" s="235">
        <v>11.774538040161101</v>
      </c>
      <c r="O667" s="235">
        <v>11.796236991882299</v>
      </c>
      <c r="P667" s="235">
        <v>11.871965408325201</v>
      </c>
      <c r="Q667" s="235">
        <v>11.843188285827599</v>
      </c>
      <c r="R667" s="235">
        <v>11.9137773513794</v>
      </c>
      <c r="S667" s="235">
        <v>12.034348487854</v>
      </c>
      <c r="T667" s="235">
        <v>12.153738975524901</v>
      </c>
      <c r="U667" s="235">
        <v>12.3460960388184</v>
      </c>
      <c r="V667" s="235">
        <v>12.4321403503418</v>
      </c>
      <c r="W667" s="235">
        <v>12.5191946029663</v>
      </c>
      <c r="X667" s="235">
        <v>12.636996269226101</v>
      </c>
      <c r="Y667" s="235">
        <v>12.8200740814209</v>
      </c>
    </row>
    <row r="668" spans="1:26">
      <c r="A668" s="231" t="s">
        <v>481</v>
      </c>
      <c r="B668" s="235">
        <v>7.8488264083862296</v>
      </c>
      <c r="C668" s="235">
        <v>9.3171482086181605</v>
      </c>
      <c r="D668" s="235">
        <v>10.527009010314901</v>
      </c>
      <c r="E668" s="235">
        <v>10.2968044281006</v>
      </c>
      <c r="F668" s="235">
        <v>10.2268390655518</v>
      </c>
      <c r="G668" s="235">
        <v>10.0435380935669</v>
      </c>
      <c r="H668" s="235">
        <v>9.9028997421264595</v>
      </c>
      <c r="I668" s="235">
        <v>9.8629217147827095</v>
      </c>
      <c r="J668" s="235">
        <v>9.7728738784790004</v>
      </c>
      <c r="K668" s="235">
        <v>9.75823974609375</v>
      </c>
      <c r="L668" s="235">
        <v>9.7822933197021502</v>
      </c>
      <c r="M668" s="235">
        <v>9.7888011932372994</v>
      </c>
      <c r="N668" s="235">
        <v>9.8279809951782209</v>
      </c>
      <c r="O668" s="235">
        <v>9.8149814605712908</v>
      </c>
      <c r="P668" s="235">
        <v>9.8643417358398402</v>
      </c>
      <c r="Q668" s="235">
        <v>9.8190460205078107</v>
      </c>
      <c r="R668" s="235">
        <v>9.8615427017211896</v>
      </c>
      <c r="S668" s="235">
        <v>9.9469861984252894</v>
      </c>
      <c r="T668" s="235">
        <v>10.0096731185913</v>
      </c>
      <c r="U668" s="235">
        <v>10.190193176269499</v>
      </c>
      <c r="V668" s="235">
        <v>10.288735389709499</v>
      </c>
      <c r="W668" s="235">
        <v>10.396104812622101</v>
      </c>
      <c r="X668" s="235">
        <v>10.5091648101807</v>
      </c>
      <c r="Y668" s="235">
        <v>10.694952964782701</v>
      </c>
    </row>
    <row r="669" spans="1:26">
      <c r="A669" s="231" t="s">
        <v>477</v>
      </c>
      <c r="B669" s="235">
        <v>21.599882125854499</v>
      </c>
      <c r="C669" s="235">
        <v>21.735733032226602</v>
      </c>
      <c r="D669" s="235">
        <v>21.731866836547901</v>
      </c>
      <c r="E669" s="235">
        <v>21.659553527831999</v>
      </c>
      <c r="F669" s="235">
        <v>20.918876647949201</v>
      </c>
      <c r="G669" s="235">
        <v>20.055833816528299</v>
      </c>
      <c r="H669" s="235">
        <v>19.596654891967798</v>
      </c>
      <c r="I669" s="235">
        <v>19.579929351806602</v>
      </c>
      <c r="J669" s="235">
        <v>19.517631530761701</v>
      </c>
      <c r="K669" s="235">
        <v>19.486770629882798</v>
      </c>
      <c r="L669" s="235">
        <v>19.702039718627901</v>
      </c>
      <c r="M669" s="235">
        <v>19.955158233642599</v>
      </c>
      <c r="N669" s="235">
        <v>20.317079544067401</v>
      </c>
      <c r="O669" s="235">
        <v>20.442613601684599</v>
      </c>
      <c r="P669" s="235">
        <v>20.578334808349599</v>
      </c>
      <c r="Q669" s="235">
        <v>20.580734252929702</v>
      </c>
      <c r="R669" s="235">
        <v>20.7274265289307</v>
      </c>
      <c r="S669" s="235">
        <v>20.953577041626001</v>
      </c>
      <c r="T669" s="235">
        <v>21.262916564941399</v>
      </c>
      <c r="U669" s="235">
        <v>21.454774856567401</v>
      </c>
      <c r="V669" s="235">
        <v>21.4308891296387</v>
      </c>
      <c r="W669" s="235">
        <v>21.3733520507813</v>
      </c>
      <c r="X669" s="235">
        <v>21.452013015747099</v>
      </c>
      <c r="Y669" s="235">
        <v>21.5757865905762</v>
      </c>
    </row>
    <row r="670" spans="1:26">
      <c r="A670" s="231" t="s">
        <v>438</v>
      </c>
      <c r="B670" s="235" t="s">
        <v>438</v>
      </c>
      <c r="C670" s="235" t="s">
        <v>438</v>
      </c>
      <c r="D670" s="235" t="s">
        <v>438</v>
      </c>
      <c r="E670" s="235" t="s">
        <v>438</v>
      </c>
      <c r="F670" s="235" t="s">
        <v>438</v>
      </c>
      <c r="G670" s="235" t="s">
        <v>438</v>
      </c>
      <c r="H670" s="235" t="s">
        <v>438</v>
      </c>
      <c r="I670" s="235" t="s">
        <v>438</v>
      </c>
      <c r="J670" s="235" t="s">
        <v>438</v>
      </c>
      <c r="K670" s="235" t="s">
        <v>438</v>
      </c>
      <c r="L670" s="235" t="s">
        <v>438</v>
      </c>
      <c r="M670" s="235" t="s">
        <v>438</v>
      </c>
      <c r="N670" s="235" t="s">
        <v>438</v>
      </c>
      <c r="O670" s="235" t="s">
        <v>438</v>
      </c>
      <c r="P670" s="235" t="s">
        <v>438</v>
      </c>
      <c r="Q670" s="235" t="s">
        <v>438</v>
      </c>
      <c r="R670" s="235" t="s">
        <v>438</v>
      </c>
      <c r="S670" s="235" t="s">
        <v>438</v>
      </c>
      <c r="T670" s="235" t="s">
        <v>438</v>
      </c>
      <c r="U670" s="235" t="s">
        <v>438</v>
      </c>
      <c r="V670" s="235" t="s">
        <v>438</v>
      </c>
      <c r="W670" s="235" t="s">
        <v>438</v>
      </c>
      <c r="X670" s="235" t="s">
        <v>438</v>
      </c>
      <c r="Y670" s="235" t="s">
        <v>438</v>
      </c>
    </row>
    <row r="671" spans="1:26">
      <c r="A671" s="231" t="s">
        <v>497</v>
      </c>
      <c r="B671" s="235" t="s">
        <v>438</v>
      </c>
      <c r="C671" s="235" t="s">
        <v>438</v>
      </c>
      <c r="D671" s="235" t="s">
        <v>438</v>
      </c>
      <c r="E671" s="235" t="s">
        <v>438</v>
      </c>
      <c r="F671" s="235" t="s">
        <v>438</v>
      </c>
      <c r="G671" s="235" t="s">
        <v>438</v>
      </c>
      <c r="H671" s="235" t="s">
        <v>438</v>
      </c>
      <c r="I671" s="235" t="s">
        <v>438</v>
      </c>
      <c r="J671" s="235" t="s">
        <v>438</v>
      </c>
      <c r="K671" s="235" t="s">
        <v>438</v>
      </c>
      <c r="L671" s="235" t="s">
        <v>438</v>
      </c>
      <c r="M671" s="235" t="s">
        <v>438</v>
      </c>
      <c r="N671" s="235" t="s">
        <v>438</v>
      </c>
      <c r="O671" s="235" t="s">
        <v>438</v>
      </c>
      <c r="P671" s="235" t="s">
        <v>438</v>
      </c>
      <c r="Q671" s="235" t="s">
        <v>438</v>
      </c>
      <c r="R671" s="235" t="s">
        <v>438</v>
      </c>
      <c r="S671" s="235" t="s">
        <v>438</v>
      </c>
      <c r="T671" s="235" t="s">
        <v>438</v>
      </c>
      <c r="U671" s="235" t="s">
        <v>438</v>
      </c>
      <c r="V671" s="235" t="s">
        <v>438</v>
      </c>
      <c r="W671" s="235" t="s">
        <v>438</v>
      </c>
      <c r="X671" s="235" t="s">
        <v>438</v>
      </c>
      <c r="Y671" s="235" t="s">
        <v>438</v>
      </c>
    </row>
    <row r="672" spans="1:26">
      <c r="A672" s="231" t="s">
        <v>498</v>
      </c>
      <c r="B672" s="235">
        <v>1.8996955156326301</v>
      </c>
      <c r="C672" s="235">
        <v>2.2409727573394802</v>
      </c>
      <c r="D672" s="235">
        <v>2.4239859580993701</v>
      </c>
      <c r="E672" s="235">
        <v>2.3793189525604199</v>
      </c>
      <c r="F672" s="235">
        <v>2.2557969093322798</v>
      </c>
      <c r="G672" s="235">
        <v>2.16659760475159</v>
      </c>
      <c r="H672" s="235">
        <v>2.1260316371917698</v>
      </c>
      <c r="I672" s="235">
        <v>2.1242508888244598</v>
      </c>
      <c r="J672" s="235">
        <v>2.1216156482696502</v>
      </c>
      <c r="K672" s="235">
        <v>2.1531240940093999</v>
      </c>
      <c r="L672" s="235">
        <v>2.1922359466552699</v>
      </c>
      <c r="M672" s="235">
        <v>2.2451419830322301</v>
      </c>
      <c r="N672" s="235">
        <v>2.2968165874481201</v>
      </c>
      <c r="O672" s="235">
        <v>2.3293662071228001</v>
      </c>
      <c r="P672" s="235">
        <v>2.3501963615417498</v>
      </c>
      <c r="Q672" s="235">
        <v>2.3520054817199698</v>
      </c>
      <c r="R672" s="235">
        <v>2.3871843814849898</v>
      </c>
      <c r="S672" s="235">
        <v>2.4302341938018799</v>
      </c>
      <c r="T672" s="235">
        <v>2.5017471313476598</v>
      </c>
      <c r="U672" s="235">
        <v>2.5190291404724099</v>
      </c>
      <c r="V672" s="235">
        <v>2.50686860084534</v>
      </c>
      <c r="W672" s="235">
        <v>2.48747658729553</v>
      </c>
      <c r="X672" s="235">
        <v>2.5030989646911599</v>
      </c>
      <c r="Y672" s="235">
        <v>2.5170097351074201</v>
      </c>
    </row>
    <row r="673" spans="1:26">
      <c r="A673" s="231" t="s">
        <v>500</v>
      </c>
      <c r="B673" s="235">
        <v>4.3748912811279297</v>
      </c>
      <c r="C673" s="235">
        <v>5.2786889076232901</v>
      </c>
      <c r="D673" s="235">
        <v>5.9517350196838397</v>
      </c>
      <c r="E673" s="235">
        <v>5.8146204948425302</v>
      </c>
      <c r="F673" s="235">
        <v>6.06520652770996</v>
      </c>
      <c r="G673" s="235">
        <v>6.0658583641052202</v>
      </c>
      <c r="H673" s="235">
        <v>6.0610094070434597</v>
      </c>
      <c r="I673" s="235">
        <v>6.0499844551086399</v>
      </c>
      <c r="J673" s="235">
        <v>6.0430412292480504</v>
      </c>
      <c r="K673" s="235">
        <v>6.00789546966553</v>
      </c>
      <c r="L673" s="235">
        <v>5.9784431457519496</v>
      </c>
      <c r="M673" s="235">
        <v>5.9840416908264196</v>
      </c>
      <c r="N673" s="235">
        <v>6.0042037963867196</v>
      </c>
      <c r="O673" s="235">
        <v>6.0128812789917001</v>
      </c>
      <c r="P673" s="235">
        <v>6.0971722602844203</v>
      </c>
      <c r="Q673" s="235">
        <v>6.1627969741821298</v>
      </c>
      <c r="R673" s="235">
        <v>6.2556800842285201</v>
      </c>
      <c r="S673" s="235">
        <v>6.3419466018676802</v>
      </c>
      <c r="T673" s="235">
        <v>6.4189195632934597</v>
      </c>
      <c r="U673" s="235">
        <v>6.5561437606811497</v>
      </c>
      <c r="V673" s="235">
        <v>6.6497230529785201</v>
      </c>
      <c r="W673" s="235">
        <v>6.7551417350768999</v>
      </c>
      <c r="X673" s="235">
        <v>6.8526744842529297</v>
      </c>
      <c r="Y673" s="235">
        <v>6.9808459281921396</v>
      </c>
    </row>
    <row r="674" spans="1:26">
      <c r="A674" s="231" t="s">
        <v>474</v>
      </c>
      <c r="B674" s="235">
        <v>5.6938004493713397</v>
      </c>
      <c r="C674" s="235">
        <v>6.4773354530334499</v>
      </c>
      <c r="D674" s="235">
        <v>7.1750593185424796</v>
      </c>
      <c r="E674" s="235">
        <v>6.8899416923522896</v>
      </c>
      <c r="F674" s="235">
        <v>7.0708780288696298</v>
      </c>
      <c r="G674" s="235">
        <v>7.0249619483947798</v>
      </c>
      <c r="H674" s="235">
        <v>6.9838500022888201</v>
      </c>
      <c r="I674" s="235">
        <v>6.9665460586547896</v>
      </c>
      <c r="J674" s="235">
        <v>6.9450497627258301</v>
      </c>
      <c r="K674" s="235">
        <v>6.8211231231689498</v>
      </c>
      <c r="L674" s="235">
        <v>6.8083920478820801</v>
      </c>
      <c r="M674" s="235">
        <v>6.7952175140380904</v>
      </c>
      <c r="N674" s="235">
        <v>6.8354115486145002</v>
      </c>
      <c r="O674" s="235">
        <v>6.8402228355407697</v>
      </c>
      <c r="P674" s="235">
        <v>6.9283905029296902</v>
      </c>
      <c r="Q674" s="235">
        <v>6.9566001892089799</v>
      </c>
      <c r="R674" s="235">
        <v>7.0452814102172896</v>
      </c>
      <c r="S674" s="235">
        <v>7.1418867111206099</v>
      </c>
      <c r="T674" s="235">
        <v>7.2127375602722203</v>
      </c>
      <c r="U674" s="235">
        <v>7.4472899436950701</v>
      </c>
      <c r="V674" s="235">
        <v>7.5714774131774902</v>
      </c>
      <c r="W674" s="235">
        <v>7.7267389297485396</v>
      </c>
      <c r="X674" s="235">
        <v>7.8528199195861799</v>
      </c>
      <c r="Y674" s="235">
        <v>8.0614786148071307</v>
      </c>
    </row>
    <row r="675" spans="1:26">
      <c r="A675" s="231" t="s">
        <v>479</v>
      </c>
      <c r="B675" s="235">
        <v>3.9850425720214799</v>
      </c>
      <c r="C675" s="235">
        <v>4.7911210060119602</v>
      </c>
      <c r="D675" s="235">
        <v>5.5054440498352104</v>
      </c>
      <c r="E675" s="235">
        <v>5.3836627006530797</v>
      </c>
      <c r="F675" s="235">
        <v>5.6116971969604501</v>
      </c>
      <c r="G675" s="235">
        <v>5.6101722717285201</v>
      </c>
      <c r="H675" s="235">
        <v>5.61515140533447</v>
      </c>
      <c r="I675" s="235">
        <v>5.6134881973266602</v>
      </c>
      <c r="J675" s="235">
        <v>5.6123900413513201</v>
      </c>
      <c r="K675" s="235">
        <v>5.6186213493347203</v>
      </c>
      <c r="L675" s="235">
        <v>5.6204733848571804</v>
      </c>
      <c r="M675" s="235">
        <v>5.6265015602111799</v>
      </c>
      <c r="N675" s="235">
        <v>5.6295571327209499</v>
      </c>
      <c r="O675" s="235">
        <v>5.6379580497741699</v>
      </c>
      <c r="P675" s="235">
        <v>5.71999168395996</v>
      </c>
      <c r="Q675" s="235">
        <v>5.7965455055236799</v>
      </c>
      <c r="R675" s="235">
        <v>5.8776378631591797</v>
      </c>
      <c r="S675" s="235">
        <v>5.9570369720459002</v>
      </c>
      <c r="T675" s="235">
        <v>6.0351238250732404</v>
      </c>
      <c r="U675" s="235">
        <v>6.1149992942810103</v>
      </c>
      <c r="V675" s="235">
        <v>6.1950988769531303</v>
      </c>
      <c r="W675" s="235">
        <v>6.27585792541504</v>
      </c>
      <c r="X675" s="235">
        <v>6.3545475006103498</v>
      </c>
      <c r="Y675" s="235">
        <v>6.4353322982788104</v>
      </c>
    </row>
    <row r="676" spans="1:26">
      <c r="A676" s="253" t="s">
        <v>476</v>
      </c>
      <c r="B676" s="235">
        <v>3.6857740879058798</v>
      </c>
      <c r="C676" s="235">
        <v>5.4593739509582502</v>
      </c>
      <c r="D676" s="235">
        <v>5.9836130142211896</v>
      </c>
      <c r="E676" s="235">
        <v>5.9218006134033203</v>
      </c>
      <c r="F676" s="235">
        <v>5.2758417129516602</v>
      </c>
      <c r="G676" s="235">
        <v>4.86041164398193</v>
      </c>
      <c r="H676" s="235">
        <v>4.5085921287536603</v>
      </c>
      <c r="I676" s="235">
        <v>4.4009499549865696</v>
      </c>
      <c r="J676" s="235">
        <v>4.3143215179443404</v>
      </c>
      <c r="K676" s="235">
        <v>4.3619651794433603</v>
      </c>
      <c r="L676" s="235">
        <v>4.4577717781066903</v>
      </c>
      <c r="M676" s="235">
        <v>4.5935211181640598</v>
      </c>
      <c r="N676" s="235">
        <v>4.72908592224121</v>
      </c>
      <c r="O676" s="235">
        <v>4.8101162910461399</v>
      </c>
      <c r="P676" s="235">
        <v>4.8377823829650897</v>
      </c>
      <c r="Q676" s="235">
        <v>4.7923994064331099</v>
      </c>
      <c r="R676" s="235">
        <v>4.8652648925781303</v>
      </c>
      <c r="S676" s="235">
        <v>5.0083761215209996</v>
      </c>
      <c r="T676" s="235">
        <v>5.2321648597717303</v>
      </c>
      <c r="U676" s="235">
        <v>5.32541704177856</v>
      </c>
      <c r="V676" s="235">
        <v>5.3230118751525897</v>
      </c>
      <c r="W676" s="235">
        <v>5.3357062339782697</v>
      </c>
      <c r="X676" s="235">
        <v>5.3972234725952104</v>
      </c>
      <c r="Y676" s="235">
        <v>5.4970946311950701</v>
      </c>
      <c r="Z676" s="261">
        <f>Y676+($AI$506-$Y$676)/10</f>
        <v>5.5250455710201605</v>
      </c>
    </row>
    <row r="677" spans="1:26">
      <c r="A677" s="256" t="s">
        <v>484</v>
      </c>
      <c r="B677" s="235">
        <v>1.2699717283248899</v>
      </c>
      <c r="C677" s="235">
        <v>1.27919089794159</v>
      </c>
      <c r="D677" s="235">
        <v>1.2835900783538801</v>
      </c>
      <c r="E677" s="235">
        <v>1.28959560394287</v>
      </c>
      <c r="F677" s="235">
        <v>1.29778397083282</v>
      </c>
      <c r="G677" s="235">
        <v>1.28695380687714</v>
      </c>
      <c r="H677" s="235">
        <v>1.28577756881714</v>
      </c>
      <c r="I677" s="235">
        <v>1.27679371833801</v>
      </c>
      <c r="J677" s="235">
        <v>1.26281106472015</v>
      </c>
      <c r="K677" s="235">
        <v>1.25397908687592</v>
      </c>
      <c r="L677" s="235">
        <v>1.2489364147186299</v>
      </c>
      <c r="M677" s="235">
        <v>1.2449804544448899</v>
      </c>
      <c r="N677" s="235">
        <v>1.2430621385574301</v>
      </c>
      <c r="O677" s="235">
        <v>1.24259686470032</v>
      </c>
      <c r="P677" s="235">
        <v>1.24424111843109</v>
      </c>
      <c r="Q677" s="235">
        <v>1.2428184747695901</v>
      </c>
      <c r="R677" s="235">
        <v>1.24728739261627</v>
      </c>
      <c r="S677" s="235">
        <v>1.2513284683227499</v>
      </c>
      <c r="T677" s="235">
        <v>1.2762980461120601</v>
      </c>
      <c r="U677" s="235">
        <v>1.2851967811584499</v>
      </c>
      <c r="V677" s="235">
        <v>1.2969329357147199</v>
      </c>
      <c r="W677" s="235">
        <v>1.3016670942306501</v>
      </c>
      <c r="X677" s="235">
        <v>1.31676089763641</v>
      </c>
      <c r="Y677" s="235">
        <v>1.3290703296661399</v>
      </c>
      <c r="Z677" s="269">
        <f>Y677+($AI$507-$Y$677)/10</f>
        <v>1.3327822261431892</v>
      </c>
    </row>
    <row r="678" spans="1:26">
      <c r="A678" s="231" t="s">
        <v>438</v>
      </c>
      <c r="B678" s="235" t="s">
        <v>438</v>
      </c>
      <c r="C678" s="235" t="s">
        <v>438</v>
      </c>
      <c r="D678" s="235" t="s">
        <v>438</v>
      </c>
      <c r="E678" s="235" t="s">
        <v>438</v>
      </c>
      <c r="F678" s="235" t="s">
        <v>438</v>
      </c>
      <c r="G678" s="235" t="s">
        <v>438</v>
      </c>
      <c r="H678" s="235" t="s">
        <v>438</v>
      </c>
      <c r="I678" s="235" t="s">
        <v>438</v>
      </c>
      <c r="J678" s="235" t="s">
        <v>438</v>
      </c>
      <c r="K678" s="235" t="s">
        <v>438</v>
      </c>
      <c r="L678" s="235" t="s">
        <v>438</v>
      </c>
      <c r="M678" s="235" t="s">
        <v>438</v>
      </c>
      <c r="N678" s="235" t="s">
        <v>438</v>
      </c>
      <c r="O678" s="235" t="s">
        <v>438</v>
      </c>
      <c r="P678" s="235" t="s">
        <v>438</v>
      </c>
      <c r="Q678" s="235" t="s">
        <v>438</v>
      </c>
      <c r="R678" s="235" t="s">
        <v>438</v>
      </c>
      <c r="S678" s="235" t="s">
        <v>438</v>
      </c>
      <c r="T678" s="235" t="s">
        <v>438</v>
      </c>
      <c r="U678" s="235" t="s">
        <v>438</v>
      </c>
      <c r="V678" s="235" t="s">
        <v>438</v>
      </c>
      <c r="W678" s="235" t="s">
        <v>438</v>
      </c>
      <c r="X678" s="235" t="s">
        <v>438</v>
      </c>
      <c r="Y678" s="235" t="s">
        <v>438</v>
      </c>
    </row>
    <row r="679" spans="1:26">
      <c r="A679" s="231" t="s">
        <v>501</v>
      </c>
      <c r="B679" s="235" t="s">
        <v>438</v>
      </c>
      <c r="C679" s="235" t="s">
        <v>438</v>
      </c>
      <c r="D679" s="235" t="s">
        <v>438</v>
      </c>
      <c r="E679" s="235" t="s">
        <v>438</v>
      </c>
      <c r="F679" s="235" t="s">
        <v>438</v>
      </c>
      <c r="G679" s="235" t="s">
        <v>438</v>
      </c>
      <c r="H679" s="235" t="s">
        <v>438</v>
      </c>
      <c r="I679" s="235" t="s">
        <v>438</v>
      </c>
      <c r="J679" s="235" t="s">
        <v>438</v>
      </c>
      <c r="K679" s="235" t="s">
        <v>438</v>
      </c>
      <c r="L679" s="235" t="s">
        <v>438</v>
      </c>
      <c r="M679" s="235" t="s">
        <v>438</v>
      </c>
      <c r="N679" s="235" t="s">
        <v>438</v>
      </c>
      <c r="O679" s="235" t="s">
        <v>438</v>
      </c>
      <c r="P679" s="235" t="s">
        <v>438</v>
      </c>
      <c r="Q679" s="235" t="s">
        <v>438</v>
      </c>
      <c r="R679" s="235" t="s">
        <v>438</v>
      </c>
      <c r="S679" s="235" t="s">
        <v>438</v>
      </c>
      <c r="T679" s="235" t="s">
        <v>438</v>
      </c>
      <c r="U679" s="235" t="s">
        <v>438</v>
      </c>
      <c r="V679" s="235" t="s">
        <v>438</v>
      </c>
      <c r="W679" s="235" t="s">
        <v>438</v>
      </c>
      <c r="X679" s="235" t="s">
        <v>438</v>
      </c>
      <c r="Y679" s="235" t="s">
        <v>438</v>
      </c>
    </row>
    <row r="680" spans="1:26">
      <c r="A680" s="231" t="s">
        <v>502</v>
      </c>
      <c r="B680" s="235">
        <v>9.0916013717651403</v>
      </c>
      <c r="C680" s="235">
        <v>10.5092258453369</v>
      </c>
      <c r="D680" s="235">
        <v>12.005053520202599</v>
      </c>
      <c r="E680" s="235">
        <v>11.6376342773438</v>
      </c>
      <c r="F680" s="235">
        <v>11.8251142501831</v>
      </c>
      <c r="G680" s="235">
        <v>11.7351989746094</v>
      </c>
      <c r="H680" s="235">
        <v>11.6926622390747</v>
      </c>
      <c r="I680" s="235">
        <v>11.6848964691162</v>
      </c>
      <c r="J680" s="235">
        <v>11.6311902999878</v>
      </c>
      <c r="K680" s="235">
        <v>11.6124935150146</v>
      </c>
      <c r="L680" s="235">
        <v>11.616386413574199</v>
      </c>
      <c r="M680" s="235">
        <v>11.566198348999</v>
      </c>
      <c r="N680" s="235">
        <v>11.5507049560547</v>
      </c>
      <c r="O680" s="235">
        <v>11.475526809692401</v>
      </c>
      <c r="P680" s="235">
        <v>11.520403861999499</v>
      </c>
      <c r="Q680" s="235">
        <v>11.477831840515099</v>
      </c>
      <c r="R680" s="235">
        <v>11.5152139663696</v>
      </c>
      <c r="S680" s="235">
        <v>11.577165603637701</v>
      </c>
      <c r="T680" s="235">
        <v>11.5678558349609</v>
      </c>
      <c r="U680" s="235">
        <v>11.7752237319946</v>
      </c>
      <c r="V680" s="235">
        <v>11.90793800354</v>
      </c>
      <c r="W680" s="235">
        <v>12.0465354919434</v>
      </c>
      <c r="X680" s="235">
        <v>12.1843271255493</v>
      </c>
      <c r="Y680" s="235">
        <v>12.407506942749</v>
      </c>
    </row>
    <row r="681" spans="1:26">
      <c r="A681" s="231" t="s">
        <v>503</v>
      </c>
      <c r="B681" s="235">
        <v>8.7129955291747994</v>
      </c>
      <c r="C681" s="235">
        <v>9.89868068695068</v>
      </c>
      <c r="D681" s="235">
        <v>10.9323635101318</v>
      </c>
      <c r="E681" s="235">
        <v>10.516573905944799</v>
      </c>
      <c r="F681" s="235">
        <v>10.8896884918213</v>
      </c>
      <c r="G681" s="235">
        <v>11.1545400619507</v>
      </c>
      <c r="H681" s="235">
        <v>11.1602163314819</v>
      </c>
      <c r="I681" s="235">
        <v>11.210696220397899</v>
      </c>
      <c r="J681" s="235">
        <v>11.2655477523804</v>
      </c>
      <c r="K681" s="235">
        <v>11.312797546386699</v>
      </c>
      <c r="L681" s="235">
        <v>11.4240579605103</v>
      </c>
      <c r="M681" s="235">
        <v>11.453408241271999</v>
      </c>
      <c r="N681" s="235">
        <v>11.43030834198</v>
      </c>
      <c r="O681" s="235">
        <v>11.241268157959</v>
      </c>
      <c r="P681" s="235">
        <v>11.0996809005737</v>
      </c>
      <c r="Q681" s="235">
        <v>10.9476537704468</v>
      </c>
      <c r="R681" s="235">
        <v>10.947796821594199</v>
      </c>
      <c r="S681" s="235">
        <v>10.974308013916</v>
      </c>
      <c r="T681" s="235">
        <v>11.019621849060099</v>
      </c>
      <c r="U681" s="235">
        <v>11.1190385818481</v>
      </c>
      <c r="V681" s="235">
        <v>11.172901153564499</v>
      </c>
      <c r="W681" s="235">
        <v>11.2430562973022</v>
      </c>
      <c r="X681" s="235">
        <v>11.376879692077599</v>
      </c>
      <c r="Y681" s="235">
        <v>11.7449541091919</v>
      </c>
    </row>
    <row r="682" spans="1:26">
      <c r="A682" s="231" t="s">
        <v>504</v>
      </c>
      <c r="B682" s="235">
        <v>6.0538434982299796</v>
      </c>
      <c r="C682" s="235">
        <v>6.4578518867492702</v>
      </c>
      <c r="D682" s="235">
        <v>8.1168746948242205</v>
      </c>
      <c r="E682" s="235">
        <v>7.6875567436218297</v>
      </c>
      <c r="F682" s="235">
        <v>7.8739576339721697</v>
      </c>
      <c r="G682" s="235">
        <v>7.8265089988708496</v>
      </c>
      <c r="H682" s="235">
        <v>7.9840884208679199</v>
      </c>
      <c r="I682" s="235">
        <v>8.0166091918945295</v>
      </c>
      <c r="J682" s="235">
        <v>7.8608303070068404</v>
      </c>
      <c r="K682" s="235">
        <v>7.81276655197144</v>
      </c>
      <c r="L682" s="235">
        <v>7.8045797348022496</v>
      </c>
      <c r="M682" s="235">
        <v>7.7928524017334002</v>
      </c>
      <c r="N682" s="235">
        <v>7.7725591659545898</v>
      </c>
      <c r="O682" s="235">
        <v>7.7157216072082502</v>
      </c>
      <c r="P682" s="235">
        <v>7.7164225578308097</v>
      </c>
      <c r="Q682" s="235">
        <v>7.6991229057312003</v>
      </c>
      <c r="R682" s="235">
        <v>7.7546834945678702</v>
      </c>
      <c r="S682" s="235">
        <v>7.8412432670593297</v>
      </c>
      <c r="T682" s="235">
        <v>7.8916783332824698</v>
      </c>
      <c r="U682" s="235">
        <v>8.0530261993408203</v>
      </c>
      <c r="V682" s="235">
        <v>8.1459932327270508</v>
      </c>
      <c r="W682" s="235">
        <v>8.2922735214233398</v>
      </c>
      <c r="X682" s="235">
        <v>8.4199304580688494</v>
      </c>
      <c r="Y682" s="235">
        <v>8.7479171752929705</v>
      </c>
    </row>
    <row r="683" spans="1:26">
      <c r="A683" s="231" t="s">
        <v>505</v>
      </c>
      <c r="B683" s="235">
        <v>9.5166797637939506</v>
      </c>
      <c r="C683" s="235">
        <v>13.0396432876587</v>
      </c>
      <c r="D683" s="235">
        <v>15.6858806610107</v>
      </c>
      <c r="E683" s="235">
        <v>14.0740518569946</v>
      </c>
      <c r="F683" s="235">
        <v>13.2904262542725</v>
      </c>
      <c r="G683" s="235">
        <v>13.309534072876</v>
      </c>
      <c r="H683" s="235">
        <v>13.149743080139199</v>
      </c>
      <c r="I683" s="235">
        <v>13.0244760513306</v>
      </c>
      <c r="J683" s="235">
        <v>13.1580867767334</v>
      </c>
      <c r="K683" s="235">
        <v>12.982262611389199</v>
      </c>
      <c r="L683" s="235">
        <v>12.9337568283081</v>
      </c>
      <c r="M683" s="235">
        <v>12.8646802902222</v>
      </c>
      <c r="N683" s="235">
        <v>12.621651649475099</v>
      </c>
      <c r="O683" s="235">
        <v>12.775475502014199</v>
      </c>
      <c r="P683" s="235">
        <v>12.937217712402299</v>
      </c>
      <c r="Q683" s="235">
        <v>13.1492967605591</v>
      </c>
      <c r="R683" s="235">
        <v>13.286898612976101</v>
      </c>
      <c r="S683" s="235">
        <v>13.3753395080566</v>
      </c>
      <c r="T683" s="235">
        <v>13.277045249939</v>
      </c>
      <c r="U683" s="235">
        <v>13.584378242492701</v>
      </c>
      <c r="V683" s="235">
        <v>13.775920867919901</v>
      </c>
      <c r="W683" s="235">
        <v>13.987989425659199</v>
      </c>
      <c r="X683" s="235">
        <v>14.116153717041</v>
      </c>
      <c r="Y683" s="235">
        <v>14.3756980895996</v>
      </c>
    </row>
    <row r="684" spans="1:26">
      <c r="A684" s="231" t="s">
        <v>506</v>
      </c>
      <c r="B684" s="235">
        <v>11.3185987472534</v>
      </c>
      <c r="C684" s="235">
        <v>12.9258327484131</v>
      </c>
      <c r="D684" s="235">
        <v>14.650143623352101</v>
      </c>
      <c r="E684" s="235">
        <v>14.344244956970201</v>
      </c>
      <c r="F684" s="235">
        <v>14.6975507736206</v>
      </c>
      <c r="G684" s="235">
        <v>14.347893714904799</v>
      </c>
      <c r="H684" s="235">
        <v>14.238919258117701</v>
      </c>
      <c r="I684" s="235">
        <v>14.238542556762701</v>
      </c>
      <c r="J684" s="235">
        <v>14.0666351318359</v>
      </c>
      <c r="K684" s="235">
        <v>14.0516872406006</v>
      </c>
      <c r="L684" s="235">
        <v>14.0139780044556</v>
      </c>
      <c r="M684" s="235">
        <v>13.894681930541999</v>
      </c>
      <c r="N684" s="235">
        <v>13.9225015640259</v>
      </c>
      <c r="O684" s="235">
        <v>13.8080444335938</v>
      </c>
      <c r="P684" s="235">
        <v>13.9091501235962</v>
      </c>
      <c r="Q684" s="235">
        <v>13.810170173645</v>
      </c>
      <c r="R684" s="235">
        <v>13.822598457336399</v>
      </c>
      <c r="S684" s="235">
        <v>13.882239341735801</v>
      </c>
      <c r="T684" s="235">
        <v>13.824323654174799</v>
      </c>
      <c r="U684" s="235">
        <v>14.0693578720093</v>
      </c>
      <c r="V684" s="235">
        <v>14.2271223068237</v>
      </c>
      <c r="W684" s="235">
        <v>14.3637847900391</v>
      </c>
      <c r="X684" s="235">
        <v>14.4981489181519</v>
      </c>
      <c r="Y684" s="235">
        <v>14.5947113037109</v>
      </c>
    </row>
    <row r="685" spans="1:26">
      <c r="A685" s="231" t="s">
        <v>507</v>
      </c>
      <c r="B685" s="235">
        <v>3.9308724403381299</v>
      </c>
      <c r="C685" s="235">
        <v>4.6628575325012198</v>
      </c>
      <c r="D685" s="235">
        <v>5.07232666015625</v>
      </c>
      <c r="E685" s="235">
        <v>5.1433587074279803</v>
      </c>
      <c r="F685" s="235">
        <v>5.4173622131347701</v>
      </c>
      <c r="G685" s="235">
        <v>5.4097323417663601</v>
      </c>
      <c r="H685" s="235">
        <v>5.3977632522582999</v>
      </c>
      <c r="I685" s="235">
        <v>5.3867764472961399</v>
      </c>
      <c r="J685" s="235">
        <v>5.3854241371154803</v>
      </c>
      <c r="K685" s="235">
        <v>5.3919448852539098</v>
      </c>
      <c r="L685" s="235">
        <v>5.3981180191040004</v>
      </c>
      <c r="M685" s="235">
        <v>5.4056487083435103</v>
      </c>
      <c r="N685" s="235">
        <v>5.4104261398315403</v>
      </c>
      <c r="O685" s="235">
        <v>5.4168543815612802</v>
      </c>
      <c r="P685" s="235">
        <v>5.4972262382507298</v>
      </c>
      <c r="Q685" s="235">
        <v>5.5698432922363299</v>
      </c>
      <c r="R685" s="235">
        <v>5.6456804275512704</v>
      </c>
      <c r="S685" s="235">
        <v>5.7250947952270499</v>
      </c>
      <c r="T685" s="235">
        <v>5.8020553588867196</v>
      </c>
      <c r="U685" s="235">
        <v>5.88106393814087</v>
      </c>
      <c r="V685" s="235">
        <v>5.9598326683044398</v>
      </c>
      <c r="W685" s="235">
        <v>6.0394186973571804</v>
      </c>
      <c r="X685" s="235">
        <v>6.11779880523682</v>
      </c>
      <c r="Y685" s="235">
        <v>6.2010583877563503</v>
      </c>
    </row>
    <row r="686" spans="1:26">
      <c r="A686" s="231" t="s">
        <v>508</v>
      </c>
      <c r="B686" s="235">
        <v>5.1461992263793901</v>
      </c>
      <c r="C686" s="235">
        <v>6.8558807373046902</v>
      </c>
      <c r="D686" s="235">
        <v>7.3508062362670898</v>
      </c>
      <c r="E686" s="235">
        <v>7.3840570449829102</v>
      </c>
      <c r="F686" s="235">
        <v>6.7167382240295401</v>
      </c>
      <c r="G686" s="235">
        <v>6.27575588226318</v>
      </c>
      <c r="H686" s="235">
        <v>5.86295366287231</v>
      </c>
      <c r="I686" s="235">
        <v>5.7038016319274902</v>
      </c>
      <c r="J686" s="235">
        <v>5.5520119667053196</v>
      </c>
      <c r="K686" s="235">
        <v>5.5432248115539604</v>
      </c>
      <c r="L686" s="235">
        <v>5.5985813140869096</v>
      </c>
      <c r="M686" s="235">
        <v>5.70459079742432</v>
      </c>
      <c r="N686" s="235">
        <v>5.8318381309509304</v>
      </c>
      <c r="O686" s="235">
        <v>5.9191007614135698</v>
      </c>
      <c r="P686" s="235">
        <v>5.9519534111022896</v>
      </c>
      <c r="Q686" s="235">
        <v>5.8878293037414604</v>
      </c>
      <c r="R686" s="235">
        <v>5.94315385818481</v>
      </c>
      <c r="S686" s="235">
        <v>6.08443307876587</v>
      </c>
      <c r="T686" s="235">
        <v>6.3156557083129901</v>
      </c>
      <c r="U686" s="235">
        <v>6.4281539916992196</v>
      </c>
      <c r="V686" s="235">
        <v>6.4433326721191397</v>
      </c>
      <c r="W686" s="235">
        <v>6.4763746261596697</v>
      </c>
      <c r="X686" s="235">
        <v>6.5396862030029297</v>
      </c>
      <c r="Y686" s="235">
        <v>6.6462817192077601</v>
      </c>
    </row>
    <row r="687" spans="1:26">
      <c r="A687" s="231" t="s">
        <v>509</v>
      </c>
      <c r="B687" s="235">
        <v>1.2938040494918801</v>
      </c>
      <c r="C687" s="235">
        <v>1.29924309253693</v>
      </c>
      <c r="D687" s="235">
        <v>1.3041912317276001</v>
      </c>
      <c r="E687" s="235">
        <v>1.3119194507598899</v>
      </c>
      <c r="F687" s="235">
        <v>1.3187216520309399</v>
      </c>
      <c r="G687" s="235">
        <v>1.3072546720504801</v>
      </c>
      <c r="H687" s="235">
        <v>1.3059933185577399</v>
      </c>
      <c r="I687" s="235">
        <v>1.2971544265747099</v>
      </c>
      <c r="J687" s="235">
        <v>1.2836289405822801</v>
      </c>
      <c r="K687" s="235">
        <v>1.2749706506729099</v>
      </c>
      <c r="L687" s="235">
        <v>1.26953566074371</v>
      </c>
      <c r="M687" s="235">
        <v>1.2652333974838299</v>
      </c>
      <c r="N687" s="235">
        <v>1.2631930112838701</v>
      </c>
      <c r="O687" s="235">
        <v>1.2626041173934901</v>
      </c>
      <c r="P687" s="235">
        <v>1.26433837413788</v>
      </c>
      <c r="Q687" s="235">
        <v>1.26277422904968</v>
      </c>
      <c r="R687" s="235">
        <v>1.2691743373870801</v>
      </c>
      <c r="S687" s="235">
        <v>1.27585673332214</v>
      </c>
      <c r="T687" s="235">
        <v>1.3034254312515301</v>
      </c>
      <c r="U687" s="235">
        <v>1.3139834403991699</v>
      </c>
      <c r="V687" s="235">
        <v>1.32844221591949</v>
      </c>
      <c r="W687" s="235">
        <v>1.3343856334686299</v>
      </c>
      <c r="X687" s="235">
        <v>1.3519768714904801</v>
      </c>
      <c r="Y687" s="235">
        <v>1.3668735027313199</v>
      </c>
    </row>
    <row r="688" spans="1:26">
      <c r="A688" s="231" t="s">
        <v>510</v>
      </c>
      <c r="B688" s="235">
        <v>14.6543264389038</v>
      </c>
      <c r="C688" s="235">
        <v>16.232709884643601</v>
      </c>
      <c r="D688" s="235">
        <v>19.6646022796631</v>
      </c>
      <c r="E688" s="235">
        <v>19.716905593872099</v>
      </c>
      <c r="F688" s="235">
        <v>20.910398483276399</v>
      </c>
      <c r="G688" s="235">
        <v>20.088336944580099</v>
      </c>
      <c r="H688" s="235">
        <v>20.034643173217798</v>
      </c>
      <c r="I688" s="235">
        <v>19.876234054565401</v>
      </c>
      <c r="J688" s="235">
        <v>19.0899848937988</v>
      </c>
      <c r="K688" s="235">
        <v>19.0770473480225</v>
      </c>
      <c r="L688" s="235">
        <v>18.9334907531738</v>
      </c>
      <c r="M688" s="235">
        <v>18.8203315734863</v>
      </c>
      <c r="N688" s="235">
        <v>18.8769016265869</v>
      </c>
      <c r="O688" s="235">
        <v>18.733657836914102</v>
      </c>
      <c r="P688" s="235">
        <v>18.836368560791001</v>
      </c>
      <c r="Q688" s="235">
        <v>18.717578887939499</v>
      </c>
      <c r="R688" s="235">
        <v>18.677961349487301</v>
      </c>
      <c r="S688" s="235">
        <v>18.768825531005898</v>
      </c>
      <c r="T688" s="235">
        <v>18.702945709228501</v>
      </c>
      <c r="U688" s="235">
        <v>19.039726257324201</v>
      </c>
      <c r="V688" s="235">
        <v>19.213029861450199</v>
      </c>
      <c r="W688" s="235">
        <v>19.429216384887699</v>
      </c>
      <c r="X688" s="235">
        <v>19.537574768066399</v>
      </c>
      <c r="Y688" s="235">
        <v>19.6945476531982</v>
      </c>
    </row>
    <row r="689" spans="1:28">
      <c r="A689" s="231" t="s">
        <v>477</v>
      </c>
      <c r="B689" s="235">
        <v>21.599882125854499</v>
      </c>
      <c r="C689" s="235">
        <v>21.735733032226602</v>
      </c>
      <c r="D689" s="235">
        <v>21.731866836547901</v>
      </c>
      <c r="E689" s="235">
        <v>21.659553527831999</v>
      </c>
      <c r="F689" s="235">
        <v>20.918876647949201</v>
      </c>
      <c r="G689" s="235">
        <v>20.055833816528299</v>
      </c>
      <c r="H689" s="235">
        <v>19.596654891967798</v>
      </c>
      <c r="I689" s="235">
        <v>19.579929351806602</v>
      </c>
      <c r="J689" s="235">
        <v>19.517631530761701</v>
      </c>
      <c r="K689" s="235">
        <v>19.486770629882798</v>
      </c>
      <c r="L689" s="235">
        <v>19.702039718627901</v>
      </c>
      <c r="M689" s="235">
        <v>19.955158233642599</v>
      </c>
      <c r="N689" s="235">
        <v>20.317079544067401</v>
      </c>
      <c r="O689" s="235">
        <v>20.442613601684599</v>
      </c>
      <c r="P689" s="235">
        <v>20.578334808349599</v>
      </c>
      <c r="Q689" s="235">
        <v>20.580734252929702</v>
      </c>
      <c r="R689" s="235">
        <v>20.7274265289307</v>
      </c>
      <c r="S689" s="235">
        <v>20.953577041626001</v>
      </c>
      <c r="T689" s="235">
        <v>21.262916564941399</v>
      </c>
      <c r="U689" s="235">
        <v>21.454774856567401</v>
      </c>
      <c r="V689" s="235">
        <v>21.4308891296387</v>
      </c>
      <c r="W689" s="235">
        <v>21.3733520507813</v>
      </c>
      <c r="X689" s="235">
        <v>21.452013015747099</v>
      </c>
      <c r="Y689" s="235">
        <v>21.5757865905762</v>
      </c>
    </row>
    <row r="690" spans="1:28">
      <c r="A690" s="231" t="s">
        <v>438</v>
      </c>
      <c r="B690" s="235" t="s">
        <v>438</v>
      </c>
      <c r="C690" s="235" t="s">
        <v>438</v>
      </c>
      <c r="D690" s="235" t="s">
        <v>438</v>
      </c>
      <c r="E690" s="235" t="s">
        <v>438</v>
      </c>
      <c r="F690" s="235" t="s">
        <v>438</v>
      </c>
      <c r="G690" s="235" t="s">
        <v>438</v>
      </c>
      <c r="H690" s="235" t="s">
        <v>438</v>
      </c>
      <c r="I690" s="235" t="s">
        <v>438</v>
      </c>
      <c r="J690" s="235" t="s">
        <v>438</v>
      </c>
      <c r="K690" s="235" t="s">
        <v>438</v>
      </c>
      <c r="L690" s="235" t="s">
        <v>438</v>
      </c>
      <c r="M690" s="235" t="s">
        <v>438</v>
      </c>
      <c r="N690" s="235" t="s">
        <v>438</v>
      </c>
      <c r="O690" s="235" t="s">
        <v>438</v>
      </c>
      <c r="P690" s="235" t="s">
        <v>438</v>
      </c>
      <c r="Q690" s="235" t="s">
        <v>438</v>
      </c>
      <c r="R690" s="235" t="s">
        <v>438</v>
      </c>
      <c r="S690" s="235" t="s">
        <v>438</v>
      </c>
      <c r="T690" s="235" t="s">
        <v>438</v>
      </c>
      <c r="U690" s="235" t="s">
        <v>438</v>
      </c>
      <c r="V690" s="235" t="s">
        <v>438</v>
      </c>
      <c r="W690" s="235" t="s">
        <v>438</v>
      </c>
      <c r="X690" s="235" t="s">
        <v>438</v>
      </c>
      <c r="Y690" s="235" t="s">
        <v>438</v>
      </c>
    </row>
    <row r="691" spans="1:28">
      <c r="A691" s="231" t="s">
        <v>511</v>
      </c>
      <c r="B691" s="235" t="s">
        <v>438</v>
      </c>
      <c r="C691" s="235" t="s">
        <v>438</v>
      </c>
      <c r="D691" s="235" t="s">
        <v>438</v>
      </c>
      <c r="E691" s="235" t="s">
        <v>438</v>
      </c>
      <c r="F691" s="235" t="s">
        <v>438</v>
      </c>
      <c r="G691" s="235" t="s">
        <v>438</v>
      </c>
      <c r="H691" s="235" t="s">
        <v>438</v>
      </c>
      <c r="I691" s="235" t="s">
        <v>438</v>
      </c>
      <c r="J691" s="235" t="s">
        <v>438</v>
      </c>
      <c r="K691" s="235" t="s">
        <v>438</v>
      </c>
      <c r="L691" s="235" t="s">
        <v>438</v>
      </c>
      <c r="M691" s="235" t="s">
        <v>438</v>
      </c>
      <c r="N691" s="235" t="s">
        <v>438</v>
      </c>
      <c r="O691" s="235" t="s">
        <v>438</v>
      </c>
      <c r="P691" s="235" t="s">
        <v>438</v>
      </c>
      <c r="Q691" s="235" t="s">
        <v>438</v>
      </c>
      <c r="R691" s="235" t="s">
        <v>438</v>
      </c>
      <c r="S691" s="235" t="s">
        <v>438</v>
      </c>
      <c r="T691" s="235" t="s">
        <v>438</v>
      </c>
      <c r="U691" s="235" t="s">
        <v>438</v>
      </c>
      <c r="V691" s="235" t="s">
        <v>438</v>
      </c>
      <c r="W691" s="235" t="s">
        <v>438</v>
      </c>
      <c r="X691" s="235" t="s">
        <v>438</v>
      </c>
      <c r="Y691" s="235" t="s">
        <v>438</v>
      </c>
    </row>
    <row r="692" spans="1:28">
      <c r="A692" s="231" t="s">
        <v>512</v>
      </c>
      <c r="B692" s="235" t="s">
        <v>438</v>
      </c>
      <c r="C692" s="235" t="s">
        <v>438</v>
      </c>
      <c r="D692" s="235" t="s">
        <v>438</v>
      </c>
      <c r="E692" s="235" t="s">
        <v>438</v>
      </c>
      <c r="F692" s="235" t="s">
        <v>438</v>
      </c>
      <c r="G692" s="235" t="s">
        <v>438</v>
      </c>
      <c r="H692" s="235" t="s">
        <v>438</v>
      </c>
      <c r="I692" s="235" t="s">
        <v>438</v>
      </c>
      <c r="J692" s="235" t="s">
        <v>438</v>
      </c>
      <c r="K692" s="235" t="s">
        <v>438</v>
      </c>
      <c r="L692" s="235" t="s">
        <v>438</v>
      </c>
      <c r="M692" s="235" t="s">
        <v>438</v>
      </c>
      <c r="N692" s="235" t="s">
        <v>438</v>
      </c>
      <c r="O692" s="235" t="s">
        <v>438</v>
      </c>
      <c r="P692" s="235" t="s">
        <v>438</v>
      </c>
      <c r="Q692" s="235" t="s">
        <v>438</v>
      </c>
      <c r="R692" s="235" t="s">
        <v>438</v>
      </c>
      <c r="S692" s="235" t="s">
        <v>438</v>
      </c>
      <c r="T692" s="235" t="s">
        <v>438</v>
      </c>
      <c r="U692" s="235" t="s">
        <v>438</v>
      </c>
      <c r="V692" s="235" t="s">
        <v>438</v>
      </c>
      <c r="W692" s="235" t="s">
        <v>438</v>
      </c>
      <c r="X692" s="235" t="s">
        <v>438</v>
      </c>
      <c r="Y692" s="235" t="s">
        <v>438</v>
      </c>
    </row>
    <row r="693" spans="1:28">
      <c r="A693" s="231" t="s">
        <v>471</v>
      </c>
      <c r="B693" s="235">
        <v>163.90481567382801</v>
      </c>
      <c r="C693" s="235">
        <v>177.16523742675801</v>
      </c>
      <c r="D693" s="235">
        <v>181.73590087890599</v>
      </c>
      <c r="E693" s="235">
        <v>185.241622924805</v>
      </c>
      <c r="F693" s="235">
        <v>180.05682373046901</v>
      </c>
      <c r="G693" s="235">
        <v>176.427001953125</v>
      </c>
      <c r="H693" s="235">
        <v>175.07618713378901</v>
      </c>
      <c r="I693" s="235">
        <v>176.51165771484401</v>
      </c>
      <c r="J693" s="235">
        <v>178.08059692382801</v>
      </c>
      <c r="K693" s="235">
        <v>180.014236450195</v>
      </c>
      <c r="L693" s="235">
        <v>183.85498046875</v>
      </c>
      <c r="M693" s="235">
        <v>187.18310546875</v>
      </c>
      <c r="N693" s="235">
        <v>191.43936157226599</v>
      </c>
      <c r="O693" s="235">
        <v>194.37899780273401</v>
      </c>
      <c r="P693" s="235">
        <v>197.52023315429699</v>
      </c>
      <c r="Q693" s="235">
        <v>198.76248168945301</v>
      </c>
      <c r="R693" s="235">
        <v>201.94073486328099</v>
      </c>
      <c r="S693" s="235">
        <v>206.017013549805</v>
      </c>
      <c r="T693" s="235">
        <v>211.20541381835901</v>
      </c>
      <c r="U693" s="235">
        <v>214.41099548339801</v>
      </c>
      <c r="V693" s="235">
        <v>216.40347290039099</v>
      </c>
      <c r="W693" s="235">
        <v>218.64796447753901</v>
      </c>
      <c r="X693" s="235">
        <v>222.25126647949199</v>
      </c>
      <c r="Y693" s="235">
        <v>225.36584472656301</v>
      </c>
      <c r="AA693" s="282"/>
      <c r="AB693" s="282"/>
    </row>
    <row r="694" spans="1:28">
      <c r="A694" s="231" t="s">
        <v>478</v>
      </c>
      <c r="B694" s="235">
        <v>122.690147399902</v>
      </c>
      <c r="C694" s="235">
        <v>128.153732299805</v>
      </c>
      <c r="D694" s="235">
        <v>130.48612976074199</v>
      </c>
      <c r="E694" s="235">
        <v>132.29133605957</v>
      </c>
      <c r="F694" s="235">
        <v>129.27566528320301</v>
      </c>
      <c r="G694" s="235">
        <v>126.887260437012</v>
      </c>
      <c r="H694" s="235">
        <v>126.692184448242</v>
      </c>
      <c r="I694" s="235">
        <v>129.41491699218801</v>
      </c>
      <c r="J694" s="235">
        <v>131.90731811523401</v>
      </c>
      <c r="K694" s="235">
        <v>135.04089355468801</v>
      </c>
      <c r="L694" s="235">
        <v>139.741943359375</v>
      </c>
      <c r="M694" s="235">
        <v>144.63902282714801</v>
      </c>
      <c r="N694" s="235">
        <v>150.53921508789099</v>
      </c>
      <c r="O694" s="235">
        <v>154.864669799805</v>
      </c>
      <c r="P694" s="235">
        <v>159.25378417968801</v>
      </c>
      <c r="Q694" s="235">
        <v>162.59527587890599</v>
      </c>
      <c r="R694" s="235">
        <v>167.29981994628901</v>
      </c>
      <c r="S694" s="235">
        <v>172.854415893555</v>
      </c>
      <c r="T694" s="235">
        <v>179.18412780761699</v>
      </c>
      <c r="U694" s="235">
        <v>184.76553344726599</v>
      </c>
      <c r="V694" s="235">
        <v>188.65592956543</v>
      </c>
      <c r="W694" s="235">
        <v>192.56275939941401</v>
      </c>
      <c r="X694" s="235">
        <v>197.80290222168</v>
      </c>
      <c r="Y694" s="235">
        <v>203.64804077148401</v>
      </c>
    </row>
    <row r="695" spans="1:28">
      <c r="A695" s="231" t="s">
        <v>513</v>
      </c>
      <c r="B695" s="235">
        <v>124.39901733398401</v>
      </c>
      <c r="C695" s="235">
        <v>147.11244201660199</v>
      </c>
      <c r="D695" s="235">
        <v>168.13270568847699</v>
      </c>
      <c r="E695" s="235">
        <v>167.53501892089801</v>
      </c>
      <c r="F695" s="235">
        <v>157.82022094726599</v>
      </c>
      <c r="G695" s="235">
        <v>152.842697143555</v>
      </c>
      <c r="H695" s="235">
        <v>151.28466796875</v>
      </c>
      <c r="I695" s="235">
        <v>151.59564208984401</v>
      </c>
      <c r="J695" s="235">
        <v>151.94683837890599</v>
      </c>
      <c r="K695" s="235">
        <v>152.62234497070301</v>
      </c>
      <c r="L695" s="235">
        <v>154.60144042968801</v>
      </c>
      <c r="M695" s="235">
        <v>156.88139343261699</v>
      </c>
      <c r="N695" s="235">
        <v>159.98997497558599</v>
      </c>
      <c r="O695" s="235">
        <v>162.62356567382801</v>
      </c>
      <c r="P695" s="235">
        <v>164.507247924805</v>
      </c>
      <c r="Q695" s="235">
        <v>166.59835815429699</v>
      </c>
      <c r="R695" s="235">
        <v>170.382568359375</v>
      </c>
      <c r="S695" s="235">
        <v>174.95167541503901</v>
      </c>
      <c r="T695" s="235">
        <v>179.57080078125</v>
      </c>
      <c r="U695" s="235">
        <v>184.12712097168</v>
      </c>
      <c r="V695" s="235">
        <v>186.42012023925801</v>
      </c>
      <c r="W695" s="235">
        <v>189.56260681152301</v>
      </c>
      <c r="X695" s="235">
        <v>192.98284912109401</v>
      </c>
      <c r="Y695" s="235">
        <v>198.25885009765599</v>
      </c>
    </row>
    <row r="696" spans="1:28">
      <c r="A696" s="231" t="s">
        <v>485</v>
      </c>
      <c r="B696" s="235">
        <v>263.72879028320301</v>
      </c>
      <c r="C696" s="235">
        <v>302.59255981445301</v>
      </c>
      <c r="D696" s="235">
        <v>352.23825073242199</v>
      </c>
      <c r="E696" s="235">
        <v>351.13717651367199</v>
      </c>
      <c r="F696" s="235">
        <v>366.34793090820301</v>
      </c>
      <c r="G696" s="235">
        <v>368.76159667968801</v>
      </c>
      <c r="H696" s="235">
        <v>374.76626586914102</v>
      </c>
      <c r="I696" s="235">
        <v>382.39471435546898</v>
      </c>
      <c r="J696" s="235">
        <v>385.90115356445301</v>
      </c>
      <c r="K696" s="235">
        <v>392.12625122070301</v>
      </c>
      <c r="L696" s="235">
        <v>398.68222045898398</v>
      </c>
      <c r="M696" s="235">
        <v>403.06192016601602</v>
      </c>
      <c r="N696" s="235">
        <v>409.94515991210898</v>
      </c>
      <c r="O696" s="235">
        <v>412.30630493164102</v>
      </c>
      <c r="P696" s="235">
        <v>418.64147949218801</v>
      </c>
      <c r="Q696" s="235">
        <v>421.60382080078102</v>
      </c>
      <c r="R696" s="235">
        <v>428.44393920898398</v>
      </c>
      <c r="S696" s="235">
        <v>436.35858154296898</v>
      </c>
      <c r="T696" s="235">
        <v>441.71078491210898</v>
      </c>
      <c r="U696" s="235">
        <v>454.05059814453102</v>
      </c>
      <c r="V696" s="235">
        <v>464.07431030273398</v>
      </c>
      <c r="W696" s="235">
        <v>474.87463378906301</v>
      </c>
      <c r="X696" s="235">
        <v>486.72909545898398</v>
      </c>
      <c r="Y696" s="235">
        <v>501.322265625</v>
      </c>
    </row>
    <row r="697" spans="1:28">
      <c r="A697" s="231" t="s">
        <v>514</v>
      </c>
      <c r="B697" s="235">
        <v>674.72277832031295</v>
      </c>
      <c r="C697" s="235">
        <v>755.02398681640602</v>
      </c>
      <c r="D697" s="235">
        <v>832.593017578125</v>
      </c>
      <c r="E697" s="235">
        <v>836.20513916015602</v>
      </c>
      <c r="F697" s="235">
        <v>833.50061035156295</v>
      </c>
      <c r="G697" s="235">
        <v>824.91857910156295</v>
      </c>
      <c r="H697" s="235">
        <v>827.8193359375</v>
      </c>
      <c r="I697" s="235">
        <v>839.91693115234398</v>
      </c>
      <c r="J697" s="235">
        <v>847.8359375</v>
      </c>
      <c r="K697" s="235">
        <v>859.8037109375</v>
      </c>
      <c r="L697" s="235">
        <v>876.880615234375</v>
      </c>
      <c r="M697" s="235">
        <v>891.76544189453102</v>
      </c>
      <c r="N697" s="235">
        <v>911.91369628906295</v>
      </c>
      <c r="O697" s="235">
        <v>924.17352294921898</v>
      </c>
      <c r="P697" s="235">
        <v>939.92272949218795</v>
      </c>
      <c r="Q697" s="235">
        <v>949.55993652343795</v>
      </c>
      <c r="R697" s="235">
        <v>968.06707763671898</v>
      </c>
      <c r="S697" s="235">
        <v>990.18170166015602</v>
      </c>
      <c r="T697" s="235">
        <v>1011.67114257813</v>
      </c>
      <c r="U697" s="235">
        <v>1037.35424804688</v>
      </c>
      <c r="V697" s="235">
        <v>1055.55383300781</v>
      </c>
      <c r="W697" s="235">
        <v>1075.64794921875</v>
      </c>
      <c r="X697" s="235">
        <v>1099.76611328125</v>
      </c>
      <c r="Y697" s="235">
        <v>1128.59497070313</v>
      </c>
    </row>
    <row r="698" spans="1:28">
      <c r="A698" s="231" t="s">
        <v>515</v>
      </c>
      <c r="B698" s="235">
        <v>1.1704622767865699E-2</v>
      </c>
      <c r="C698" s="235">
        <v>1.72001253813505E-2</v>
      </c>
      <c r="D698" s="235">
        <v>2.0739471539855E-2</v>
      </c>
      <c r="E698" s="235">
        <v>2.2715086117386801E-2</v>
      </c>
      <c r="F698" s="235">
        <v>2.5078095495700801E-2</v>
      </c>
      <c r="G698" s="235">
        <v>2.8324941173195801E-2</v>
      </c>
      <c r="H698" s="235">
        <v>3.1410280615091303E-2</v>
      </c>
      <c r="I698" s="235">
        <v>3.5102743655443198E-2</v>
      </c>
      <c r="J698" s="235">
        <v>3.9645586162805599E-2</v>
      </c>
      <c r="K698" s="235">
        <v>4.3348435312509502E-2</v>
      </c>
      <c r="L698" s="235">
        <v>4.6531450003385502E-2</v>
      </c>
      <c r="M698" s="235">
        <v>4.9735426902771003E-2</v>
      </c>
      <c r="N698" s="235">
        <v>5.3442426025867497E-2</v>
      </c>
      <c r="O698" s="235">
        <v>5.6060969829559298E-2</v>
      </c>
      <c r="P698" s="235">
        <v>6.0336232185363797E-2</v>
      </c>
      <c r="Q698" s="235">
        <v>6.3296250998973805E-2</v>
      </c>
      <c r="R698" s="235">
        <v>6.6096656024455996E-2</v>
      </c>
      <c r="S698" s="235">
        <v>6.9950148463249207E-2</v>
      </c>
      <c r="T698" s="235">
        <v>7.2811737656593295E-2</v>
      </c>
      <c r="U698" s="235">
        <v>7.6670221984386402E-2</v>
      </c>
      <c r="V698" s="235">
        <v>8.0276548862457303E-2</v>
      </c>
      <c r="W698" s="235">
        <v>8.4626309573650402E-2</v>
      </c>
      <c r="X698" s="235">
        <v>8.8446177542209597E-2</v>
      </c>
      <c r="Y698" s="235">
        <v>9.2330038547515897E-2</v>
      </c>
    </row>
    <row r="699" spans="1:28">
      <c r="A699" s="231" t="s">
        <v>516</v>
      </c>
      <c r="B699" s="235">
        <v>674.73449707031295</v>
      </c>
      <c r="C699" s="235">
        <v>755.04119873046898</v>
      </c>
      <c r="D699" s="235">
        <v>832.61376953125</v>
      </c>
      <c r="E699" s="235">
        <v>836.22784423828102</v>
      </c>
      <c r="F699" s="235">
        <v>833.52569580078102</v>
      </c>
      <c r="G699" s="235">
        <v>824.94689941406295</v>
      </c>
      <c r="H699" s="235">
        <v>827.85076904296898</v>
      </c>
      <c r="I699" s="235">
        <v>839.95202636718795</v>
      </c>
      <c r="J699" s="235">
        <v>847.87561035156295</v>
      </c>
      <c r="K699" s="235">
        <v>859.84704589843795</v>
      </c>
      <c r="L699" s="235">
        <v>876.92712402343795</v>
      </c>
      <c r="M699" s="235">
        <v>891.815185546875</v>
      </c>
      <c r="N699" s="235">
        <v>911.96716308593795</v>
      </c>
      <c r="O699" s="235">
        <v>924.22961425781295</v>
      </c>
      <c r="P699" s="235">
        <v>939.98309326171898</v>
      </c>
      <c r="Q699" s="235">
        <v>949.62322998046898</v>
      </c>
      <c r="R699" s="235">
        <v>968.13317871093795</v>
      </c>
      <c r="S699" s="235">
        <v>990.25164794921898</v>
      </c>
      <c r="T699" s="235">
        <v>1011.74395751953</v>
      </c>
      <c r="U699" s="235">
        <v>1037.43090820313</v>
      </c>
      <c r="V699" s="235">
        <v>1055.63415527344</v>
      </c>
      <c r="W699" s="235">
        <v>1075.73254394531</v>
      </c>
      <c r="X699" s="235">
        <v>1099.85461425781</v>
      </c>
      <c r="Y699" s="235">
        <v>1128.68725585938</v>
      </c>
    </row>
    <row r="700" spans="1:28">
      <c r="A700" s="231" t="s">
        <v>590</v>
      </c>
      <c r="B700" s="235"/>
      <c r="C700" s="235"/>
      <c r="D700" s="235"/>
      <c r="E700" s="235"/>
      <c r="F700" s="235"/>
      <c r="G700" s="235"/>
      <c r="H700" s="235"/>
      <c r="I700" s="235"/>
      <c r="J700" s="235"/>
      <c r="K700" s="235"/>
      <c r="L700" s="235"/>
      <c r="M700" s="235"/>
      <c r="N700" s="235"/>
      <c r="O700" s="235"/>
      <c r="P700" s="235"/>
      <c r="Q700" s="235"/>
      <c r="R700" s="235"/>
      <c r="S700" s="235"/>
      <c r="T700" s="235"/>
      <c r="U700" s="235"/>
      <c r="V700" s="235"/>
      <c r="W700" s="235"/>
      <c r="X700" s="235"/>
      <c r="Y700" s="235"/>
    </row>
    <row r="701" spans="1:28">
      <c r="A701" s="279" t="s">
        <v>1078</v>
      </c>
      <c r="B701" s="275">
        <v>1.1960935989170374</v>
      </c>
      <c r="C701" s="275">
        <v>1.1960935989170374</v>
      </c>
      <c r="D701" s="275">
        <v>1.1960935989170374</v>
      </c>
      <c r="E701" s="275">
        <v>1.1960935989170374</v>
      </c>
      <c r="F701" s="275">
        <v>1.1960935989170374</v>
      </c>
      <c r="G701" s="275">
        <v>1.1960935989170374</v>
      </c>
      <c r="H701" s="275">
        <v>1.1960935989170374</v>
      </c>
      <c r="I701" s="275">
        <v>1.1960935989170374</v>
      </c>
      <c r="J701" s="275">
        <v>1.1960935989170374</v>
      </c>
      <c r="K701" s="275">
        <v>1.198027460839296</v>
      </c>
      <c r="L701" s="275">
        <v>1.2067298394894606</v>
      </c>
      <c r="M701" s="275">
        <v>1.2415393540901181</v>
      </c>
      <c r="N701" s="275">
        <v>1.244440146973506</v>
      </c>
      <c r="O701" s="275">
        <v>1.2657126281183524</v>
      </c>
      <c r="P701" s="275">
        <v>1.2686134210017406</v>
      </c>
      <c r="Q701" s="275">
        <v>1.2840843163798106</v>
      </c>
      <c r="R701" s="275">
        <v>1.2792496615741635</v>
      </c>
      <c r="S701" s="275">
        <v>1.3034229356023981</v>
      </c>
      <c r="T701" s="275">
        <v>1.3217946238638563</v>
      </c>
      <c r="U701" s="275">
        <v>1.3759427576871011</v>
      </c>
      <c r="V701" s="275">
        <v>1.3943144459485595</v>
      </c>
      <c r="W701" s="276">
        <v>1.4001160317153356</v>
      </c>
      <c r="X701" s="276">
        <v>1.4242893057435699</v>
      </c>
      <c r="Y701" s="276">
        <v>1.4378263391993813</v>
      </c>
      <c r="Z701" s="273">
        <f>Y701+($AI$531-$Y$701)/10</f>
        <v>1.5542937052794432</v>
      </c>
    </row>
    <row r="702" spans="1:28">
      <c r="A702" s="260" t="s">
        <v>311</v>
      </c>
      <c r="B702" s="275">
        <v>8.7353999999999985</v>
      </c>
      <c r="C702" s="275">
        <v>8.7353999999999985</v>
      </c>
      <c r="D702" s="275">
        <v>8.7353999999999985</v>
      </c>
      <c r="E702" s="275">
        <v>8.7353999999999985</v>
      </c>
      <c r="F702" s="275">
        <v>8.7353999999999985</v>
      </c>
      <c r="G702" s="275">
        <v>8.7353999999999985</v>
      </c>
      <c r="H702" s="275">
        <v>8.7353999999999985</v>
      </c>
      <c r="I702" s="275">
        <v>8.7353999999999985</v>
      </c>
      <c r="J702" s="275">
        <v>8.7353999999999985</v>
      </c>
      <c r="K702" s="275">
        <v>8.7353999999999985</v>
      </c>
      <c r="L702" s="275">
        <v>8.7353999999999985</v>
      </c>
      <c r="M702" s="275">
        <v>8.7353999999999985</v>
      </c>
      <c r="N702" s="275">
        <v>8.7353999999999985</v>
      </c>
      <c r="O702" s="275">
        <v>8.7353999999999985</v>
      </c>
      <c r="P702" s="275">
        <v>8.7353999999999985</v>
      </c>
      <c r="Q702" s="275">
        <v>8.7353999999999985</v>
      </c>
      <c r="R702" s="275">
        <v>8.7353999999999985</v>
      </c>
      <c r="S702" s="275">
        <v>8.7353999999999985</v>
      </c>
      <c r="T702" s="275">
        <v>8.7353999999999985</v>
      </c>
      <c r="U702" s="275">
        <v>8.7353999999999985</v>
      </c>
      <c r="V702" s="275">
        <v>8.7353999999999985</v>
      </c>
      <c r="W702" s="276">
        <v>8.7353999999999985</v>
      </c>
      <c r="X702" s="276">
        <v>8.7353999999999985</v>
      </c>
      <c r="Y702" s="276">
        <v>8.7353999999999985</v>
      </c>
      <c r="Z702" s="276">
        <v>8.7353999999999985</v>
      </c>
    </row>
    <row r="703" spans="1:28">
      <c r="A703" s="280" t="s">
        <v>592</v>
      </c>
      <c r="B703" s="277">
        <v>4.78</v>
      </c>
      <c r="C703" s="277">
        <v>4.78</v>
      </c>
      <c r="D703" s="277">
        <v>4.78</v>
      </c>
      <c r="E703" s="277">
        <v>4.78</v>
      </c>
      <c r="F703" s="277">
        <v>4.78</v>
      </c>
      <c r="G703" s="277">
        <v>4.78</v>
      </c>
      <c r="H703" s="277">
        <v>4.78</v>
      </c>
      <c r="I703" s="277">
        <v>4.78</v>
      </c>
      <c r="J703" s="277">
        <v>4.78</v>
      </c>
      <c r="K703" s="277">
        <v>4.78</v>
      </c>
      <c r="L703" s="277">
        <v>4.78</v>
      </c>
      <c r="M703" s="277">
        <v>4.78</v>
      </c>
      <c r="N703" s="277">
        <v>4.78</v>
      </c>
      <c r="O703" s="277">
        <v>4.78</v>
      </c>
      <c r="P703" s="277">
        <v>4.78</v>
      </c>
      <c r="Q703" s="277">
        <v>4.78</v>
      </c>
      <c r="R703" s="277">
        <v>4.78</v>
      </c>
      <c r="S703" s="277">
        <v>4.78</v>
      </c>
      <c r="T703" s="277">
        <v>4.78</v>
      </c>
      <c r="U703" s="277">
        <v>4.78</v>
      </c>
      <c r="V703" s="277">
        <v>4.78</v>
      </c>
      <c r="W703" s="277">
        <v>4.78</v>
      </c>
      <c r="X703" s="277">
        <v>4.78</v>
      </c>
      <c r="Y703" s="277">
        <v>4.78</v>
      </c>
      <c r="Z703" s="277">
        <v>4.78</v>
      </c>
    </row>
    <row r="704" spans="1:28">
      <c r="A704" s="281" t="s">
        <v>593</v>
      </c>
      <c r="B704" s="276" t="e">
        <f t="shared" ref="B704:Z704" si="81">B703*GJ_p_MMBtu</f>
        <v>#NAME?</v>
      </c>
      <c r="C704" s="276" t="e">
        <f t="shared" si="81"/>
        <v>#NAME?</v>
      </c>
      <c r="D704" s="276" t="e">
        <f t="shared" si="81"/>
        <v>#NAME?</v>
      </c>
      <c r="E704" s="276" t="e">
        <f t="shared" si="81"/>
        <v>#NAME?</v>
      </c>
      <c r="F704" s="276" t="e">
        <f t="shared" si="81"/>
        <v>#NAME?</v>
      </c>
      <c r="G704" s="276" t="e">
        <f t="shared" si="81"/>
        <v>#NAME?</v>
      </c>
      <c r="H704" s="276" t="e">
        <f t="shared" si="81"/>
        <v>#NAME?</v>
      </c>
      <c r="I704" s="276" t="e">
        <f t="shared" si="81"/>
        <v>#NAME?</v>
      </c>
      <c r="J704" s="276" t="e">
        <f t="shared" si="81"/>
        <v>#NAME?</v>
      </c>
      <c r="K704" s="276" t="e">
        <f t="shared" si="81"/>
        <v>#NAME?</v>
      </c>
      <c r="L704" s="276" t="e">
        <f t="shared" si="81"/>
        <v>#NAME?</v>
      </c>
      <c r="M704" s="276" t="e">
        <f t="shared" si="81"/>
        <v>#NAME?</v>
      </c>
      <c r="N704" s="276" t="e">
        <f t="shared" si="81"/>
        <v>#NAME?</v>
      </c>
      <c r="O704" s="276" t="e">
        <f t="shared" si="81"/>
        <v>#NAME?</v>
      </c>
      <c r="P704" s="276" t="e">
        <f t="shared" si="81"/>
        <v>#NAME?</v>
      </c>
      <c r="Q704" s="276" t="e">
        <f t="shared" si="81"/>
        <v>#NAME?</v>
      </c>
      <c r="R704" s="276" t="e">
        <f t="shared" si="81"/>
        <v>#NAME?</v>
      </c>
      <c r="S704" s="276" t="e">
        <f t="shared" si="81"/>
        <v>#NAME?</v>
      </c>
      <c r="T704" s="276" t="e">
        <f t="shared" si="81"/>
        <v>#NAME?</v>
      </c>
      <c r="U704" s="276" t="e">
        <f t="shared" si="81"/>
        <v>#NAME?</v>
      </c>
      <c r="V704" s="276" t="e">
        <f t="shared" si="81"/>
        <v>#NAME?</v>
      </c>
      <c r="W704" s="276" t="e">
        <f t="shared" si="81"/>
        <v>#NAME?</v>
      </c>
      <c r="X704" s="276" t="e">
        <f t="shared" si="81"/>
        <v>#NAME?</v>
      </c>
      <c r="Y704" s="276" t="e">
        <f t="shared" si="81"/>
        <v>#NAME?</v>
      </c>
      <c r="Z704" s="276" t="e">
        <f t="shared" si="81"/>
        <v>#NAME?</v>
      </c>
    </row>
    <row r="705" spans="1:26">
      <c r="A705" s="279" t="s">
        <v>594</v>
      </c>
      <c r="B705" s="235"/>
      <c r="C705" s="235"/>
      <c r="D705" s="235"/>
      <c r="E705" s="235"/>
      <c r="F705" s="235"/>
      <c r="G705" s="235"/>
      <c r="H705" s="235"/>
      <c r="I705" s="235"/>
      <c r="J705" s="235"/>
      <c r="K705" s="235"/>
      <c r="L705" s="235"/>
      <c r="M705" s="235"/>
      <c r="N705" s="235"/>
      <c r="O705" s="235"/>
      <c r="P705" s="235"/>
      <c r="Q705" s="235"/>
      <c r="R705" s="235"/>
      <c r="S705" s="235"/>
      <c r="T705" s="235"/>
      <c r="U705" s="235"/>
      <c r="V705" s="235"/>
      <c r="W705" s="235"/>
      <c r="X705" s="235"/>
      <c r="Y705" s="235"/>
      <c r="Z705" s="235"/>
    </row>
    <row r="706" spans="1:26">
      <c r="A706" s="231" t="s">
        <v>517</v>
      </c>
      <c r="B706" s="235"/>
      <c r="C706" s="235"/>
      <c r="D706" s="235"/>
      <c r="E706" s="235" t="s">
        <v>438</v>
      </c>
      <c r="F706" s="235" t="s">
        <v>438</v>
      </c>
      <c r="G706" s="235" t="s">
        <v>438</v>
      </c>
      <c r="H706" s="235" t="s">
        <v>438</v>
      </c>
      <c r="I706" s="235" t="s">
        <v>438</v>
      </c>
      <c r="J706" s="235" t="s">
        <v>438</v>
      </c>
      <c r="K706" s="235" t="s">
        <v>438</v>
      </c>
      <c r="L706" s="235" t="s">
        <v>438</v>
      </c>
      <c r="M706" s="235" t="s">
        <v>438</v>
      </c>
      <c r="N706" s="235" t="s">
        <v>438</v>
      </c>
      <c r="O706" s="235" t="s">
        <v>438</v>
      </c>
      <c r="P706" s="235" t="s">
        <v>438</v>
      </c>
      <c r="Q706" s="235" t="s">
        <v>438</v>
      </c>
      <c r="R706" s="235" t="s">
        <v>438</v>
      </c>
      <c r="S706" s="235" t="s">
        <v>438</v>
      </c>
      <c r="T706" s="235" t="s">
        <v>438</v>
      </c>
      <c r="U706" s="235" t="s">
        <v>438</v>
      </c>
      <c r="V706" s="235" t="s">
        <v>438</v>
      </c>
      <c r="W706" s="235" t="s">
        <v>438</v>
      </c>
      <c r="X706" s="235" t="s">
        <v>438</v>
      </c>
      <c r="Y706" s="235" t="s">
        <v>438</v>
      </c>
    </row>
    <row r="707" spans="1:26">
      <c r="A707" s="231" t="s">
        <v>518</v>
      </c>
      <c r="B707" s="232"/>
      <c r="C707" s="232"/>
      <c r="D707" s="232"/>
      <c r="E707" s="232"/>
      <c r="F707" s="232"/>
      <c r="G707" s="232"/>
      <c r="H707" s="232"/>
      <c r="I707" s="232"/>
      <c r="J707" s="232"/>
      <c r="K707" s="232"/>
      <c r="L707" s="232"/>
      <c r="M707" s="232"/>
      <c r="N707" s="232"/>
      <c r="O707" s="232"/>
      <c r="P707" s="232"/>
      <c r="Q707" s="232"/>
      <c r="R707" s="232"/>
      <c r="S707" s="232"/>
      <c r="T707" s="232"/>
      <c r="U707" s="232"/>
      <c r="V707" s="232"/>
      <c r="W707" s="232"/>
      <c r="X707" s="232"/>
      <c r="Y707" s="232"/>
    </row>
    <row r="708" spans="1:26">
      <c r="A708" s="231" t="s">
        <v>519</v>
      </c>
      <c r="B708" s="232"/>
      <c r="C708" s="232"/>
      <c r="D708" s="232"/>
      <c r="E708" s="232"/>
      <c r="F708" s="232"/>
      <c r="G708" s="232"/>
      <c r="H708" s="232"/>
      <c r="I708" s="232"/>
      <c r="J708" s="232"/>
      <c r="K708" s="232"/>
      <c r="L708" s="232"/>
      <c r="M708" s="232"/>
      <c r="N708" s="232"/>
      <c r="O708" s="232"/>
      <c r="P708" s="232"/>
      <c r="Q708" s="232"/>
      <c r="R708" s="232"/>
      <c r="S708" s="232"/>
      <c r="T708" s="232"/>
      <c r="U708" s="232"/>
      <c r="V708" s="232"/>
      <c r="W708" s="232"/>
      <c r="X708" s="232"/>
      <c r="Y708" s="232"/>
    </row>
    <row r="709" spans="1:26">
      <c r="A709" s="231" t="s">
        <v>520</v>
      </c>
      <c r="B709" s="232"/>
      <c r="C709" s="232"/>
      <c r="D709" s="232"/>
      <c r="E709" s="232"/>
      <c r="F709" s="232"/>
      <c r="G709" s="232"/>
      <c r="H709" s="232"/>
      <c r="I709" s="232"/>
      <c r="J709" s="232"/>
      <c r="K709" s="232"/>
      <c r="L709" s="232"/>
      <c r="M709" s="232"/>
      <c r="N709" s="232"/>
      <c r="O709" s="232"/>
      <c r="P709" s="232"/>
      <c r="Q709" s="232"/>
      <c r="R709" s="232"/>
      <c r="S709" s="232"/>
      <c r="T709" s="232"/>
      <c r="U709" s="232"/>
      <c r="V709" s="232"/>
      <c r="W709" s="232"/>
      <c r="X709" s="232"/>
      <c r="Y709" s="232"/>
    </row>
    <row r="710" spans="1:26">
      <c r="A710" s="231" t="s">
        <v>521</v>
      </c>
      <c r="B710" s="232"/>
      <c r="C710" s="232"/>
      <c r="D710" s="232"/>
      <c r="E710" s="232"/>
      <c r="F710" s="232"/>
      <c r="G710" s="232"/>
      <c r="H710" s="232"/>
      <c r="I710" s="232"/>
      <c r="J710" s="232"/>
      <c r="K710" s="232"/>
      <c r="L710" s="232"/>
      <c r="M710" s="232"/>
      <c r="N710" s="232"/>
      <c r="O710" s="232"/>
      <c r="P710" s="232"/>
      <c r="Q710" s="232"/>
      <c r="R710" s="232"/>
      <c r="S710" s="232"/>
      <c r="T710" s="232"/>
      <c r="U710" s="232"/>
      <c r="V710" s="232"/>
      <c r="W710" s="232"/>
      <c r="X710" s="232"/>
      <c r="Y710" s="232"/>
    </row>
    <row r="711" spans="1:26">
      <c r="A711" s="231" t="s">
        <v>522</v>
      </c>
      <c r="B711" s="232"/>
      <c r="C711" s="232"/>
      <c r="D711" s="232"/>
      <c r="E711" s="232"/>
      <c r="F711" s="232"/>
      <c r="G711" s="232"/>
      <c r="H711" s="232"/>
      <c r="I711" s="232"/>
      <c r="J711" s="232"/>
      <c r="K711" s="232"/>
      <c r="L711" s="232"/>
      <c r="M711" s="232"/>
      <c r="N711" s="232"/>
      <c r="O711" s="232"/>
      <c r="P711" s="232"/>
      <c r="Q711" s="232"/>
      <c r="R711" s="232"/>
      <c r="S711" s="232"/>
      <c r="T711" s="232"/>
      <c r="U711" s="232"/>
      <c r="V711" s="232"/>
      <c r="W711" s="232"/>
      <c r="X711" s="232"/>
      <c r="Y711" s="232"/>
    </row>
    <row r="712" spans="1:26">
      <c r="A712" s="231" t="s">
        <v>523</v>
      </c>
      <c r="B712" s="232"/>
      <c r="C712" s="232"/>
      <c r="D712" s="232"/>
      <c r="E712" s="232"/>
      <c r="F712" s="232"/>
      <c r="G712" s="232"/>
      <c r="H712" s="232"/>
      <c r="I712" s="232"/>
      <c r="J712" s="232"/>
      <c r="K712" s="232"/>
      <c r="L712" s="232"/>
      <c r="M712" s="232"/>
      <c r="N712" s="232"/>
      <c r="O712" s="232"/>
      <c r="P712" s="232"/>
      <c r="Q712" s="232"/>
      <c r="R712" s="232"/>
      <c r="S712" s="232"/>
      <c r="T712" s="232"/>
      <c r="U712" s="232"/>
      <c r="V712" s="232"/>
      <c r="W712" s="232"/>
      <c r="X712" s="232"/>
      <c r="Y712" s="232"/>
    </row>
    <row r="713" spans="1:26">
      <c r="A713" s="231" t="s">
        <v>524</v>
      </c>
      <c r="B713" s="232"/>
      <c r="C713" s="232"/>
      <c r="D713" s="232"/>
      <c r="E713" s="232"/>
      <c r="F713" s="232"/>
      <c r="G713" s="232"/>
      <c r="H713" s="232"/>
      <c r="I713" s="232"/>
      <c r="J713" s="232"/>
      <c r="K713" s="232"/>
      <c r="L713" s="232"/>
      <c r="M713" s="232"/>
      <c r="N713" s="232"/>
      <c r="O713" s="232"/>
      <c r="P713" s="232"/>
      <c r="Q713" s="232"/>
      <c r="R713" s="232"/>
      <c r="S713" s="232"/>
      <c r="T713" s="232"/>
      <c r="U713" s="232"/>
      <c r="V713" s="232"/>
      <c r="W713" s="232"/>
      <c r="X713" s="232"/>
      <c r="Y713" s="232"/>
    </row>
    <row r="714" spans="1:26">
      <c r="A714" s="231" t="s">
        <v>525</v>
      </c>
      <c r="B714" s="232"/>
      <c r="C714" s="232"/>
      <c r="D714" s="232"/>
      <c r="E714" s="232"/>
      <c r="F714" s="232"/>
      <c r="G714" s="232"/>
      <c r="H714" s="232"/>
      <c r="I714" s="232"/>
      <c r="J714" s="232"/>
      <c r="K714" s="232"/>
      <c r="L714" s="232"/>
      <c r="M714" s="232"/>
      <c r="N714" s="232"/>
      <c r="O714" s="232"/>
      <c r="P714" s="232"/>
      <c r="Q714" s="232"/>
      <c r="R714" s="232"/>
      <c r="S714" s="232"/>
      <c r="T714" s="232"/>
      <c r="U714" s="232"/>
      <c r="V714" s="232"/>
      <c r="W714" s="232"/>
      <c r="X714" s="232"/>
      <c r="Y714" s="232"/>
    </row>
    <row r="715" spans="1:26">
      <c r="A715" s="231" t="s">
        <v>530</v>
      </c>
      <c r="B715" s="232"/>
      <c r="C715" s="232"/>
      <c r="D715" s="232"/>
      <c r="E715" s="232"/>
      <c r="F715" s="232"/>
      <c r="G715" s="232"/>
      <c r="H715" s="232"/>
      <c r="I715" s="232"/>
      <c r="J715" s="232"/>
      <c r="K715" s="232"/>
      <c r="L715" s="232"/>
      <c r="M715" s="232"/>
      <c r="N715" s="232"/>
      <c r="O715" s="232"/>
      <c r="P715" s="232"/>
      <c r="Q715" s="232"/>
      <c r="R715" s="232"/>
      <c r="S715" s="232"/>
      <c r="T715" s="232"/>
      <c r="U715" s="232"/>
      <c r="V715" s="232"/>
      <c r="W715" s="232"/>
      <c r="X715" s="232"/>
      <c r="Y715" s="232"/>
    </row>
    <row r="716" spans="1:26">
      <c r="A716" s="231" t="s">
        <v>540</v>
      </c>
      <c r="B716" s="232"/>
      <c r="C716" s="232"/>
      <c r="D716" s="232"/>
      <c r="E716" s="232"/>
      <c r="F716" s="232"/>
      <c r="G716" s="232"/>
      <c r="H716" s="232"/>
      <c r="I716" s="232"/>
      <c r="J716" s="232"/>
      <c r="K716" s="232"/>
      <c r="L716" s="232"/>
      <c r="M716" s="232"/>
      <c r="N716" s="232"/>
      <c r="O716" s="232"/>
      <c r="P716" s="232"/>
      <c r="Q716" s="232"/>
      <c r="R716" s="232"/>
      <c r="S716" s="232"/>
      <c r="T716" s="232"/>
      <c r="U716" s="232"/>
      <c r="V716" s="232"/>
      <c r="W716" s="232"/>
      <c r="X716" s="232"/>
      <c r="Y716" s="232"/>
    </row>
    <row r="717" spans="1:26">
      <c r="A717" s="231" t="s">
        <v>541</v>
      </c>
      <c r="B717" s="232"/>
      <c r="C717" s="232"/>
      <c r="D717" s="232"/>
      <c r="E717" s="232"/>
      <c r="F717" s="232"/>
      <c r="G717" s="232"/>
      <c r="H717" s="232"/>
      <c r="I717" s="232"/>
      <c r="J717" s="232"/>
      <c r="K717" s="232"/>
      <c r="L717" s="232"/>
      <c r="M717" s="232"/>
      <c r="N717" s="232"/>
      <c r="O717" s="232"/>
      <c r="P717" s="232"/>
      <c r="Q717" s="232"/>
      <c r="R717" s="232"/>
      <c r="S717" s="232"/>
      <c r="T717" s="232"/>
      <c r="U717" s="232"/>
      <c r="V717" s="232"/>
      <c r="W717" s="232"/>
      <c r="X717" s="232"/>
      <c r="Y717" s="232"/>
    </row>
    <row r="718" spans="1:26">
      <c r="A718" s="231" t="s">
        <v>542</v>
      </c>
      <c r="B718" s="232"/>
      <c r="C718" s="232"/>
      <c r="D718" s="232"/>
      <c r="E718" s="232"/>
      <c r="F718" s="232"/>
      <c r="G718" s="232"/>
      <c r="H718" s="232"/>
      <c r="I718" s="232"/>
      <c r="J718" s="232"/>
      <c r="K718" s="232"/>
      <c r="L718" s="232"/>
      <c r="M718" s="232"/>
      <c r="N718" s="232"/>
      <c r="O718" s="232"/>
      <c r="P718" s="232"/>
      <c r="Q718" s="232"/>
      <c r="R718" s="232"/>
      <c r="S718" s="232"/>
      <c r="T718" s="232"/>
      <c r="U718" s="232"/>
      <c r="V718" s="232"/>
      <c r="W718" s="232"/>
      <c r="X718" s="232"/>
      <c r="Y718" s="232"/>
    </row>
    <row r="719" spans="1:26">
      <c r="A719" s="231" t="s">
        <v>543</v>
      </c>
      <c r="B719" s="232"/>
      <c r="C719" s="232"/>
      <c r="D719" s="232"/>
      <c r="E719" s="232"/>
      <c r="F719" s="232"/>
      <c r="G719" s="232"/>
      <c r="H719" s="232"/>
      <c r="I719" s="232"/>
      <c r="J719" s="232"/>
      <c r="K719" s="232"/>
      <c r="L719" s="232"/>
      <c r="M719" s="232"/>
      <c r="N719" s="232"/>
      <c r="O719" s="232"/>
      <c r="P719" s="232"/>
      <c r="Q719" s="232"/>
      <c r="R719" s="232"/>
      <c r="S719" s="232"/>
      <c r="T719" s="232"/>
      <c r="U719" s="232"/>
      <c r="V719" s="232"/>
      <c r="W719" s="232"/>
      <c r="X719" s="232"/>
      <c r="Y719" s="232"/>
    </row>
    <row r="720" spans="1:26">
      <c r="A720" s="231" t="s">
        <v>544</v>
      </c>
      <c r="B720" s="232"/>
      <c r="C720" s="232"/>
      <c r="D720" s="232"/>
      <c r="E720" s="232"/>
      <c r="F720" s="232"/>
      <c r="G720" s="232"/>
      <c r="H720" s="232"/>
      <c r="I720" s="232"/>
      <c r="J720" s="232"/>
      <c r="K720" s="232"/>
      <c r="L720" s="232"/>
      <c r="M720" s="232"/>
      <c r="N720" s="232"/>
      <c r="O720" s="232"/>
      <c r="P720" s="232"/>
      <c r="Q720" s="232"/>
      <c r="R720" s="232"/>
      <c r="S720" s="232"/>
      <c r="T720" s="232"/>
      <c r="U720" s="232"/>
      <c r="V720" s="232"/>
      <c r="W720" s="232"/>
      <c r="X720" s="232"/>
      <c r="Y720" s="232"/>
    </row>
    <row r="721" spans="1:25">
      <c r="A721" s="231" t="s">
        <v>545</v>
      </c>
      <c r="B721" s="232"/>
      <c r="C721" s="232"/>
      <c r="D721" s="232"/>
      <c r="E721" s="232"/>
      <c r="F721" s="232"/>
      <c r="G721" s="232"/>
      <c r="H721" s="232"/>
      <c r="I721" s="232"/>
      <c r="J721" s="232"/>
      <c r="K721" s="232"/>
      <c r="L721" s="232"/>
      <c r="M721" s="232"/>
      <c r="N721" s="232"/>
      <c r="O721" s="232"/>
      <c r="P721" s="232"/>
      <c r="Q721" s="232"/>
      <c r="R721" s="232"/>
      <c r="S721" s="232"/>
      <c r="T721" s="232"/>
      <c r="U721" s="232"/>
      <c r="V721" s="232"/>
      <c r="W721" s="232"/>
      <c r="X721" s="232"/>
      <c r="Y721" s="232"/>
    </row>
    <row r="722" spans="1:25">
      <c r="A722" s="231" t="s">
        <v>546</v>
      </c>
      <c r="B722" s="232"/>
      <c r="C722" s="232"/>
      <c r="D722" s="232"/>
      <c r="E722" s="232"/>
      <c r="F722" s="232"/>
      <c r="G722" s="232"/>
      <c r="H722" s="232"/>
      <c r="I722" s="232"/>
      <c r="J722" s="232"/>
      <c r="K722" s="232"/>
      <c r="L722" s="232"/>
      <c r="M722" s="232"/>
      <c r="N722" s="232"/>
      <c r="O722" s="232"/>
      <c r="P722" s="232"/>
      <c r="Q722" s="232"/>
      <c r="R722" s="232"/>
      <c r="S722" s="232"/>
      <c r="T722" s="232"/>
      <c r="U722" s="232"/>
      <c r="V722" s="232"/>
      <c r="W722" s="232"/>
      <c r="X722" s="232"/>
      <c r="Y722" s="232"/>
    </row>
    <row r="723" spans="1:25">
      <c r="A723" s="231" t="s">
        <v>550</v>
      </c>
      <c r="B723" s="232"/>
      <c r="C723" s="232"/>
      <c r="D723" s="232"/>
      <c r="E723" s="232"/>
      <c r="F723" s="232"/>
      <c r="G723" s="232"/>
      <c r="H723" s="232"/>
      <c r="I723" s="232"/>
      <c r="J723" s="232"/>
      <c r="K723" s="232"/>
      <c r="L723" s="232"/>
      <c r="M723" s="232"/>
      <c r="N723" s="232"/>
      <c r="O723" s="232"/>
      <c r="P723" s="232"/>
      <c r="Q723" s="232"/>
      <c r="R723" s="232"/>
      <c r="S723" s="232"/>
      <c r="T723" s="232"/>
      <c r="U723" s="232"/>
      <c r="V723" s="232"/>
      <c r="W723" s="232"/>
      <c r="X723" s="232"/>
      <c r="Y723" s="232"/>
    </row>
    <row r="724" spans="1:25">
      <c r="A724" s="231" t="s">
        <v>551</v>
      </c>
      <c r="B724" s="232"/>
      <c r="C724" s="232"/>
      <c r="D724" s="232"/>
      <c r="E724" s="232"/>
      <c r="F724" s="232"/>
      <c r="G724" s="232"/>
      <c r="H724" s="232"/>
      <c r="I724" s="232"/>
      <c r="J724" s="232"/>
      <c r="K724" s="232"/>
      <c r="L724" s="232"/>
      <c r="M724" s="232"/>
      <c r="N724" s="232"/>
      <c r="O724" s="232"/>
      <c r="P724" s="232"/>
      <c r="Q724" s="232"/>
      <c r="R724" s="232"/>
      <c r="S724" s="232"/>
      <c r="T724" s="232"/>
      <c r="U724" s="232"/>
      <c r="V724" s="232"/>
      <c r="W724" s="232"/>
      <c r="X724" s="232"/>
      <c r="Y724" s="232"/>
    </row>
    <row r="725" spans="1:25">
      <c r="A725" s="231" t="s">
        <v>552</v>
      </c>
      <c r="B725" s="232"/>
      <c r="C725" s="232"/>
      <c r="D725" s="232"/>
      <c r="E725" s="232"/>
      <c r="F725" s="232"/>
      <c r="G725" s="232"/>
      <c r="H725" s="232"/>
      <c r="I725" s="232"/>
      <c r="J725" s="232"/>
      <c r="K725" s="232"/>
      <c r="L725" s="232"/>
      <c r="M725" s="232"/>
      <c r="N725" s="232"/>
      <c r="O725" s="232"/>
      <c r="P725" s="232"/>
      <c r="Q725" s="232"/>
      <c r="R725" s="232"/>
      <c r="S725" s="232"/>
      <c r="T725" s="232"/>
      <c r="U725" s="232"/>
      <c r="V725" s="232"/>
      <c r="W725" s="232"/>
      <c r="X725" s="232"/>
      <c r="Y725" s="232"/>
    </row>
    <row r="726" spans="1:25">
      <c r="A726" s="231" t="s">
        <v>553</v>
      </c>
      <c r="B726" s="232"/>
      <c r="C726" s="232"/>
      <c r="D726" s="232"/>
      <c r="E726" s="232"/>
      <c r="F726" s="232"/>
      <c r="G726" s="232"/>
      <c r="H726" s="232"/>
      <c r="I726" s="232"/>
      <c r="J726" s="232"/>
      <c r="K726" s="232"/>
      <c r="L726" s="232"/>
      <c r="M726" s="232"/>
      <c r="N726" s="232"/>
      <c r="O726" s="232"/>
      <c r="P726" s="232"/>
      <c r="Q726" s="232"/>
      <c r="R726" s="232"/>
      <c r="S726" s="232"/>
      <c r="T726" s="232"/>
      <c r="U726" s="232"/>
      <c r="V726" s="232"/>
      <c r="W726" s="232"/>
      <c r="X726" s="232"/>
      <c r="Y726" s="232"/>
    </row>
    <row r="727" spans="1:25">
      <c r="A727" s="231" t="s">
        <v>554</v>
      </c>
      <c r="B727" s="232"/>
      <c r="C727" s="232"/>
      <c r="D727" s="232"/>
      <c r="E727" s="232"/>
      <c r="F727" s="232"/>
      <c r="G727" s="232"/>
      <c r="H727" s="232"/>
      <c r="I727" s="232"/>
      <c r="J727" s="232"/>
      <c r="K727" s="232"/>
      <c r="L727" s="232"/>
      <c r="M727" s="232"/>
      <c r="N727" s="232"/>
      <c r="O727" s="232"/>
      <c r="P727" s="232"/>
      <c r="Q727" s="232"/>
      <c r="R727" s="232"/>
      <c r="S727" s="232"/>
      <c r="T727" s="232"/>
      <c r="U727" s="232"/>
      <c r="V727" s="232"/>
      <c r="W727" s="232"/>
      <c r="X727" s="232"/>
      <c r="Y727" s="232"/>
    </row>
    <row r="728" spans="1:25">
      <c r="A728" s="231" t="s">
        <v>555</v>
      </c>
      <c r="B728" s="232"/>
      <c r="C728" s="232"/>
      <c r="D728" s="232"/>
      <c r="E728" s="232"/>
      <c r="F728" s="232"/>
      <c r="G728" s="232"/>
      <c r="H728" s="232"/>
      <c r="I728" s="232"/>
      <c r="J728" s="232"/>
      <c r="K728" s="232"/>
      <c r="L728" s="232"/>
      <c r="M728" s="232"/>
      <c r="N728" s="232"/>
      <c r="O728" s="232"/>
      <c r="P728" s="232"/>
      <c r="Q728" s="232"/>
      <c r="R728" s="232"/>
      <c r="S728" s="232"/>
      <c r="T728" s="232"/>
      <c r="U728" s="232"/>
      <c r="V728" s="232"/>
      <c r="W728" s="232"/>
      <c r="X728" s="232"/>
      <c r="Y728" s="232"/>
    </row>
    <row r="729" spans="1:25">
      <c r="A729" s="231" t="s">
        <v>556</v>
      </c>
      <c r="B729" s="232"/>
      <c r="C729" s="232"/>
      <c r="D729" s="232"/>
      <c r="E729" s="232"/>
      <c r="F729" s="232"/>
      <c r="G729" s="232"/>
      <c r="H729" s="232"/>
      <c r="I729" s="232"/>
      <c r="J729" s="232"/>
      <c r="K729" s="232"/>
      <c r="L729" s="232"/>
      <c r="M729" s="232"/>
      <c r="N729" s="232"/>
      <c r="O729" s="232"/>
      <c r="P729" s="232"/>
      <c r="Q729" s="232"/>
      <c r="R729" s="232"/>
      <c r="S729" s="232"/>
      <c r="T729" s="232"/>
      <c r="U729" s="232"/>
      <c r="V729" s="232"/>
      <c r="W729" s="232"/>
      <c r="X729" s="232"/>
      <c r="Y729" s="232"/>
    </row>
    <row r="730" spans="1:25">
      <c r="A730" s="231" t="s">
        <v>557</v>
      </c>
      <c r="B730" s="232"/>
      <c r="C730" s="232"/>
      <c r="D730" s="232"/>
      <c r="E730" s="232"/>
      <c r="F730" s="232"/>
      <c r="G730" s="232"/>
      <c r="H730" s="232"/>
      <c r="I730" s="232"/>
      <c r="J730" s="232"/>
      <c r="K730" s="232"/>
      <c r="L730" s="232"/>
      <c r="M730" s="232"/>
      <c r="N730" s="232"/>
      <c r="O730" s="232"/>
      <c r="P730" s="232"/>
      <c r="Q730" s="232"/>
      <c r="R730" s="232"/>
      <c r="S730" s="232"/>
      <c r="T730" s="232"/>
      <c r="U730" s="232"/>
      <c r="V730" s="232"/>
      <c r="W730" s="232"/>
      <c r="X730" s="232"/>
      <c r="Y730" s="232"/>
    </row>
    <row r="731" spans="1:25" ht="14" thickBot="1">
      <c r="A731" s="236" t="s">
        <v>562</v>
      </c>
      <c r="B731" s="239"/>
      <c r="C731" s="239"/>
      <c r="D731" s="239"/>
      <c r="E731" s="239"/>
      <c r="F731" s="239"/>
      <c r="G731" s="239"/>
      <c r="H731" s="239"/>
      <c r="I731" s="239"/>
      <c r="J731" s="239"/>
      <c r="K731" s="239"/>
      <c r="L731" s="239"/>
      <c r="M731" s="239"/>
      <c r="N731" s="239"/>
      <c r="O731" s="239"/>
      <c r="P731" s="239"/>
      <c r="Q731" s="239"/>
      <c r="R731" s="239"/>
      <c r="S731" s="239"/>
      <c r="T731" s="239"/>
      <c r="U731" s="239"/>
      <c r="V731" s="239"/>
      <c r="W731" s="239"/>
      <c r="X731" s="239"/>
      <c r="Y731" s="239"/>
    </row>
    <row r="732" spans="1:25">
      <c r="A732" s="1589" t="s">
        <v>435</v>
      </c>
      <c r="B732" s="1589"/>
      <c r="C732" s="1589"/>
      <c r="D732" s="1589"/>
      <c r="E732" s="1589"/>
      <c r="F732" s="1589"/>
      <c r="G732" s="1589"/>
      <c r="H732" s="1589"/>
      <c r="I732" s="1589"/>
      <c r="J732" s="1589"/>
      <c r="K732" s="1589"/>
      <c r="L732" s="1589"/>
      <c r="M732" s="1589"/>
      <c r="N732" s="232"/>
      <c r="O732" s="232"/>
      <c r="P732" s="232"/>
      <c r="Q732" s="232"/>
      <c r="R732" s="232"/>
      <c r="S732" s="232"/>
      <c r="T732" s="232"/>
      <c r="U732" s="232"/>
      <c r="V732" s="232"/>
      <c r="W732" s="232"/>
      <c r="X732" s="232"/>
      <c r="Y732" s="232"/>
    </row>
    <row r="733" spans="1:25">
      <c r="A733" s="232" t="s">
        <v>1086</v>
      </c>
      <c r="B733" s="232"/>
      <c r="C733" s="232"/>
      <c r="D733" s="232"/>
      <c r="E733" s="232"/>
      <c r="F733" s="232"/>
      <c r="G733" s="232"/>
      <c r="H733" s="232"/>
      <c r="I733" s="232"/>
      <c r="J733" s="232"/>
      <c r="K733" s="232"/>
      <c r="L733" s="232"/>
      <c r="M733" s="232"/>
      <c r="N733" s="232"/>
      <c r="O733" s="232"/>
      <c r="P733" s="232"/>
      <c r="Q733" s="232"/>
      <c r="R733" s="232"/>
      <c r="S733" s="232"/>
      <c r="T733" s="232"/>
      <c r="U733" s="232"/>
      <c r="V733" s="232"/>
      <c r="W733" s="232"/>
      <c r="X733" s="232"/>
      <c r="Y733" s="232"/>
    </row>
    <row r="736" spans="1:25" ht="14" thickBot="1">
      <c r="A736" s="1587" t="s">
        <v>563</v>
      </c>
      <c r="B736" s="1588"/>
      <c r="C736" s="1588"/>
    </row>
    <row r="737" spans="1:10" ht="43" thickTop="1">
      <c r="A737" s="240"/>
      <c r="B737" s="241" t="s">
        <v>564</v>
      </c>
      <c r="C737" s="241" t="s">
        <v>565</v>
      </c>
      <c r="D737" s="241" t="s">
        <v>566</v>
      </c>
      <c r="E737" s="241" t="s">
        <v>588</v>
      </c>
      <c r="F737" s="242"/>
      <c r="G737" s="242"/>
      <c r="H737" s="242"/>
      <c r="I737" s="242"/>
      <c r="J737" s="243"/>
    </row>
    <row r="738" spans="1:10">
      <c r="A738" s="244"/>
      <c r="B738" s="245"/>
      <c r="C738" s="245"/>
      <c r="D738" s="245"/>
      <c r="E738" s="245"/>
      <c r="F738" s="245"/>
      <c r="G738" s="245"/>
      <c r="H738" s="245"/>
      <c r="I738" s="245"/>
      <c r="J738" s="246"/>
    </row>
    <row r="739" spans="1:10">
      <c r="A739" s="244"/>
      <c r="B739" s="245"/>
      <c r="C739" s="245"/>
      <c r="D739" s="245"/>
      <c r="E739" s="245"/>
      <c r="F739" s="245"/>
      <c r="G739" s="245"/>
      <c r="H739" s="245"/>
      <c r="I739" s="245"/>
      <c r="J739" s="246"/>
    </row>
    <row r="740" spans="1:10">
      <c r="A740" s="244" t="s">
        <v>567</v>
      </c>
      <c r="B740" s="255">
        <v>1.0439774739816527</v>
      </c>
      <c r="C740" s="255">
        <v>1.0284486209328481</v>
      </c>
      <c r="D740" s="255">
        <v>1.0094828736442827</v>
      </c>
      <c r="E740" s="255">
        <f t="shared" ref="E740:E747" si="82">F752/E752</f>
        <v>1.0704312355553662</v>
      </c>
      <c r="F740" s="245"/>
      <c r="G740" s="245"/>
      <c r="H740" s="245"/>
      <c r="I740" s="245"/>
      <c r="J740" s="246"/>
    </row>
    <row r="741" spans="1:10">
      <c r="A741" s="244" t="s">
        <v>568</v>
      </c>
      <c r="B741" s="245">
        <v>1.2097805877102306</v>
      </c>
      <c r="C741" s="245">
        <v>1.1729343042703535</v>
      </c>
      <c r="D741" s="245">
        <v>1.0576447680901178</v>
      </c>
      <c r="E741" s="245">
        <f t="shared" si="82"/>
        <v>1.1340871534488071</v>
      </c>
      <c r="F741" s="245"/>
      <c r="G741" s="245"/>
      <c r="H741" s="245"/>
      <c r="I741" s="245"/>
      <c r="J741" s="246"/>
    </row>
    <row r="742" spans="1:10">
      <c r="A742" s="244" t="s">
        <v>569</v>
      </c>
      <c r="B742" s="252">
        <v>1.1697889782905726</v>
      </c>
      <c r="C742" s="252">
        <v>1.1485262991479412</v>
      </c>
      <c r="D742" s="252">
        <v>1.049508766382647</v>
      </c>
      <c r="E742" s="252">
        <f t="shared" si="82"/>
        <v>1.1040561955262993</v>
      </c>
      <c r="F742" s="245"/>
      <c r="G742" s="245"/>
      <c r="H742" s="245"/>
      <c r="I742" s="245"/>
      <c r="J742" s="246"/>
    </row>
    <row r="743" spans="1:10">
      <c r="A743" s="244" t="s">
        <v>570</v>
      </c>
      <c r="B743" s="245">
        <v>1.1587647303602575</v>
      </c>
      <c r="C743" s="245">
        <v>1.0854096786599328</v>
      </c>
      <c r="D743" s="245">
        <v>1.0284698928866443</v>
      </c>
      <c r="E743" s="245">
        <f t="shared" si="82"/>
        <v>1.363594657351775</v>
      </c>
      <c r="F743" s="245"/>
      <c r="G743" s="245"/>
      <c r="H743" s="245"/>
      <c r="I743" s="245"/>
      <c r="J743" s="246"/>
    </row>
    <row r="744" spans="1:10">
      <c r="A744" s="244" t="s">
        <v>571</v>
      </c>
      <c r="B744" s="257">
        <v>1.1587647303602575</v>
      </c>
      <c r="C744" s="257">
        <v>1.0854096786599328</v>
      </c>
      <c r="D744" s="257">
        <v>1.0284698928866443</v>
      </c>
      <c r="E744" s="257">
        <f t="shared" si="82"/>
        <v>1.3635946573517748</v>
      </c>
      <c r="F744" s="245"/>
      <c r="G744" s="245"/>
      <c r="H744" s="245"/>
      <c r="I744" s="245"/>
      <c r="J744" s="246"/>
    </row>
    <row r="745" spans="1:10">
      <c r="A745" s="244" t="s">
        <v>572</v>
      </c>
      <c r="B745" s="43">
        <v>0.99410318905494366</v>
      </c>
      <c r="C745" s="43">
        <v>1.0095287120834378</v>
      </c>
      <c r="D745" s="43">
        <v>1.0031762373611459</v>
      </c>
      <c r="E745" s="43">
        <f t="shared" si="82"/>
        <v>0.97316968165904427</v>
      </c>
      <c r="F745" s="245"/>
      <c r="G745" s="245"/>
      <c r="H745" s="245"/>
      <c r="I745" s="245"/>
      <c r="J745" s="246"/>
    </row>
    <row r="746" spans="1:10">
      <c r="A746" s="244" t="s">
        <v>573</v>
      </c>
      <c r="B746" s="274">
        <v>1.0099752422488564</v>
      </c>
      <c r="C746" s="274">
        <v>1.0050974522479115</v>
      </c>
      <c r="D746" s="274">
        <v>1.0016991507493038</v>
      </c>
      <c r="E746" s="274">
        <f t="shared" si="82"/>
        <v>0.99922998787640482</v>
      </c>
      <c r="F746" s="245"/>
      <c r="G746" s="245"/>
      <c r="H746" s="245"/>
      <c r="I746" s="245"/>
      <c r="J746" s="246"/>
    </row>
    <row r="747" spans="1:10">
      <c r="A747" s="244" t="s">
        <v>312</v>
      </c>
      <c r="B747" s="259">
        <v>1.0099752422488564</v>
      </c>
      <c r="C747" s="259">
        <v>1.0050974522479115</v>
      </c>
      <c r="D747" s="259">
        <v>1.0016991507493038</v>
      </c>
      <c r="E747" s="259">
        <f t="shared" si="82"/>
        <v>0.99922998787640471</v>
      </c>
      <c r="F747" s="245"/>
      <c r="G747" s="245"/>
      <c r="H747" s="245"/>
      <c r="I747" s="245"/>
      <c r="J747" s="246"/>
    </row>
    <row r="748" spans="1:10">
      <c r="A748" s="244"/>
      <c r="B748" s="245"/>
      <c r="C748" s="245"/>
      <c r="D748" s="245"/>
      <c r="E748" s="245"/>
      <c r="F748" s="245"/>
      <c r="G748" s="245"/>
      <c r="H748" s="245"/>
      <c r="I748" s="245"/>
      <c r="J748" s="246"/>
    </row>
    <row r="749" spans="1:10">
      <c r="A749" s="244"/>
      <c r="B749" s="245"/>
      <c r="C749" s="245"/>
      <c r="D749" s="245"/>
      <c r="E749" s="1586" t="s">
        <v>574</v>
      </c>
      <c r="F749" s="1586"/>
      <c r="G749" s="1586"/>
      <c r="H749" s="1586"/>
      <c r="I749" s="1586"/>
      <c r="J749" s="247"/>
    </row>
    <row r="750" spans="1:10">
      <c r="A750" s="244" t="s">
        <v>575</v>
      </c>
      <c r="B750" s="245"/>
      <c r="C750" s="245" t="s">
        <v>576</v>
      </c>
      <c r="D750" s="245" t="s">
        <v>576</v>
      </c>
      <c r="E750" s="245"/>
      <c r="F750" s="245"/>
      <c r="G750" s="245"/>
      <c r="H750" s="245"/>
      <c r="I750" s="245"/>
      <c r="J750" s="246"/>
    </row>
    <row r="751" spans="1:10">
      <c r="A751" s="244"/>
      <c r="B751" s="245" t="s">
        <v>1046</v>
      </c>
      <c r="C751" s="245">
        <v>2000</v>
      </c>
      <c r="D751" s="245">
        <v>2005</v>
      </c>
      <c r="E751" s="245">
        <v>2020</v>
      </c>
      <c r="F751" s="245">
        <v>2035</v>
      </c>
      <c r="G751" s="245">
        <v>2050</v>
      </c>
      <c r="H751" s="245">
        <v>2065</v>
      </c>
      <c r="I751" s="245">
        <v>2080</v>
      </c>
      <c r="J751" s="246"/>
    </row>
    <row r="752" spans="1:10">
      <c r="A752" s="244" t="s">
        <v>567</v>
      </c>
      <c r="B752" s="245" t="s">
        <v>577</v>
      </c>
      <c r="C752" s="245">
        <v>25.276500000000002</v>
      </c>
      <c r="D752" s="245">
        <v>25.071000000000002</v>
      </c>
      <c r="E752" s="245">
        <v>24.427484559</v>
      </c>
      <c r="F752" s="245">
        <v>26.147942478000001</v>
      </c>
      <c r="G752" s="245">
        <v>27.297862937999998</v>
      </c>
      <c r="H752" s="245">
        <v>28.074449492999999</v>
      </c>
      <c r="I752" s="245">
        <v>29.9967939</v>
      </c>
      <c r="J752" s="246"/>
    </row>
    <row r="753" spans="1:10">
      <c r="A753" s="244" t="s">
        <v>568</v>
      </c>
      <c r="B753" s="245" t="s">
        <v>578</v>
      </c>
      <c r="C753" s="245">
        <v>3.83</v>
      </c>
      <c r="D753" s="245">
        <v>2.88</v>
      </c>
      <c r="E753" s="245">
        <v>3.1020351176470586</v>
      </c>
      <c r="F753" s="245">
        <v>3.5179781764705877</v>
      </c>
      <c r="G753" s="245">
        <v>4.2559817058823528</v>
      </c>
      <c r="H753" s="245">
        <v>4.9919869411764699</v>
      </c>
      <c r="I753" s="245">
        <v>5.7211905294117642</v>
      </c>
      <c r="J753" s="246"/>
    </row>
    <row r="754" spans="1:10">
      <c r="A754" s="244" t="s">
        <v>569</v>
      </c>
      <c r="B754" s="245" t="s">
        <v>578</v>
      </c>
      <c r="C754" s="245">
        <v>4.333333333333333</v>
      </c>
      <c r="D754" s="245">
        <v>3.2058823529411766</v>
      </c>
      <c r="E754" s="245">
        <v>4.0727964705882354</v>
      </c>
      <c r="F754" s="245">
        <v>4.4965961764705868</v>
      </c>
      <c r="G754" s="245">
        <v>5.2600686470588229</v>
      </c>
      <c r="H754" s="245">
        <v>6.0413271764705883</v>
      </c>
      <c r="I754" s="245">
        <v>6.8262844117647052</v>
      </c>
      <c r="J754" s="246"/>
    </row>
    <row r="755" spans="1:10">
      <c r="A755" s="244" t="s">
        <v>570</v>
      </c>
      <c r="B755" s="245" t="s">
        <v>579</v>
      </c>
      <c r="C755" s="245">
        <v>28.35</v>
      </c>
      <c r="D755" s="245">
        <v>23.27</v>
      </c>
      <c r="E755" s="245">
        <v>17.294973600000002</v>
      </c>
      <c r="F755" s="245">
        <v>23.583333599999996</v>
      </c>
      <c r="G755" s="245">
        <v>27.327535199999996</v>
      </c>
      <c r="H755" s="245">
        <v>29.661571199999997</v>
      </c>
      <c r="I755" s="245"/>
      <c r="J755" s="246"/>
    </row>
    <row r="756" spans="1:10">
      <c r="A756" s="244" t="s">
        <v>571</v>
      </c>
      <c r="B756" s="245" t="s">
        <v>580</v>
      </c>
      <c r="C756" s="245">
        <v>1.5176666666666667</v>
      </c>
      <c r="D756" s="245">
        <v>1.2925714285714285</v>
      </c>
      <c r="E756" s="245">
        <v>0.93587519480519499</v>
      </c>
      <c r="F756" s="245">
        <v>1.2761544155844153</v>
      </c>
      <c r="G756" s="245">
        <v>1.4787627272727271</v>
      </c>
      <c r="H756" s="245">
        <v>1.6050633766233764</v>
      </c>
      <c r="I756" s="245"/>
      <c r="J756" s="246"/>
    </row>
    <row r="757" spans="1:10">
      <c r="A757" s="244" t="s">
        <v>572</v>
      </c>
      <c r="B757" s="245" t="s">
        <v>581</v>
      </c>
      <c r="C757" s="245">
        <v>6.9</v>
      </c>
      <c r="D757" s="245">
        <v>6.4</v>
      </c>
      <c r="E757" s="245">
        <v>6.9130361604720001</v>
      </c>
      <c r="F757" s="245">
        <v>6.7275571995839982</v>
      </c>
      <c r="G757" s="245">
        <v>6.6878860666559987</v>
      </c>
      <c r="H757" s="245">
        <v>6.7516130074319989</v>
      </c>
      <c r="I757" s="245">
        <v>6.8294477356799987</v>
      </c>
      <c r="J757" s="246"/>
    </row>
    <row r="758" spans="1:10">
      <c r="A758" s="244" t="s">
        <v>573</v>
      </c>
      <c r="B758" s="245" t="s">
        <v>582</v>
      </c>
      <c r="C758" s="245"/>
      <c r="D758" s="245"/>
      <c r="E758" s="245">
        <v>3.8637053999999993</v>
      </c>
      <c r="F758" s="245">
        <v>3.8607302999999993</v>
      </c>
      <c r="G758" s="245">
        <v>3.8992420199999995</v>
      </c>
      <c r="H758" s="245">
        <v>3.9191182199999997</v>
      </c>
      <c r="I758" s="245">
        <v>4.4580291000000001</v>
      </c>
      <c r="J758" s="246"/>
    </row>
    <row r="759" spans="1:10">
      <c r="A759" s="244" t="s">
        <v>312</v>
      </c>
      <c r="B759" s="245" t="s">
        <v>582</v>
      </c>
      <c r="C759" s="245"/>
      <c r="D759" s="245"/>
      <c r="E759" s="245">
        <v>19.318526999999996</v>
      </c>
      <c r="F759" s="245">
        <v>19.303651499999994</v>
      </c>
      <c r="G759" s="245">
        <v>19.496210099999995</v>
      </c>
      <c r="H759" s="245">
        <v>19.595591099999996</v>
      </c>
      <c r="I759" s="245">
        <v>22.290145499999998</v>
      </c>
      <c r="J759" s="246"/>
    </row>
    <row r="760" spans="1:10">
      <c r="A760" s="244"/>
      <c r="B760" s="245"/>
      <c r="C760" s="245"/>
      <c r="D760" s="245"/>
      <c r="E760" s="245"/>
      <c r="F760" s="245"/>
      <c r="G760" s="245"/>
      <c r="H760" s="245"/>
      <c r="I760" s="245"/>
      <c r="J760" s="246"/>
    </row>
    <row r="761" spans="1:10" ht="42">
      <c r="A761" s="248" t="s">
        <v>583</v>
      </c>
      <c r="B761" s="245" t="s">
        <v>577</v>
      </c>
      <c r="C761" s="245"/>
      <c r="D761" s="245"/>
      <c r="E761" s="245">
        <v>76.455732879999985</v>
      </c>
      <c r="F761" s="245">
        <v>76.404561159999986</v>
      </c>
      <c r="G761" s="245">
        <v>77.066962743999994</v>
      </c>
      <c r="H761" s="245">
        <v>77.40883338399999</v>
      </c>
      <c r="I761" s="245">
        <v>86.678100520000001</v>
      </c>
      <c r="J761" s="246"/>
    </row>
    <row r="762" spans="1:10" ht="14" thickBot="1">
      <c r="A762" s="249"/>
      <c r="B762" s="250">
        <v>17.2</v>
      </c>
      <c r="C762" s="250" t="s">
        <v>584</v>
      </c>
      <c r="D762" s="250"/>
      <c r="E762" s="250"/>
      <c r="F762" s="250"/>
      <c r="G762" s="250"/>
      <c r="H762" s="250"/>
      <c r="I762" s="250"/>
      <c r="J762" s="251"/>
    </row>
    <row r="763" spans="1:10" ht="14" thickTop="1"/>
    <row r="764" spans="1:10">
      <c r="A764" s="40" t="s">
        <v>811</v>
      </c>
    </row>
    <row r="765" spans="1:10">
      <c r="A765" t="s">
        <v>805</v>
      </c>
    </row>
    <row r="766" spans="1:10">
      <c r="A766" t="s">
        <v>806</v>
      </c>
    </row>
    <row r="767" spans="1:10">
      <c r="A767" t="s">
        <v>807</v>
      </c>
    </row>
    <row r="769" spans="1:27">
      <c r="A769" t="s">
        <v>445</v>
      </c>
    </row>
    <row r="770" spans="1:27">
      <c r="A770" t="s">
        <v>720</v>
      </c>
    </row>
    <row r="773" spans="1:27">
      <c r="AA773" t="s">
        <v>808</v>
      </c>
    </row>
    <row r="774" spans="1:27">
      <c r="B774" t="s">
        <v>451</v>
      </c>
      <c r="C774" t="s">
        <v>452</v>
      </c>
      <c r="D774" t="s">
        <v>453</v>
      </c>
      <c r="E774" t="s">
        <v>454</v>
      </c>
      <c r="F774" t="s">
        <v>455</v>
      </c>
      <c r="G774" t="s">
        <v>456</v>
      </c>
      <c r="H774" t="s">
        <v>457</v>
      </c>
      <c r="I774" t="s">
        <v>458</v>
      </c>
      <c r="J774" t="s">
        <v>459</v>
      </c>
      <c r="K774" t="s">
        <v>460</v>
      </c>
      <c r="L774" t="s">
        <v>461</v>
      </c>
      <c r="M774" t="s">
        <v>462</v>
      </c>
      <c r="N774" t="s">
        <v>463</v>
      </c>
      <c r="O774" t="s">
        <v>464</v>
      </c>
      <c r="P774" t="s">
        <v>465</v>
      </c>
      <c r="Q774" t="s">
        <v>466</v>
      </c>
      <c r="R774" t="s">
        <v>467</v>
      </c>
      <c r="S774" t="s">
        <v>468</v>
      </c>
      <c r="T774" t="s">
        <v>469</v>
      </c>
      <c r="U774" t="s">
        <v>470</v>
      </c>
      <c r="V774" t="s">
        <v>602</v>
      </c>
      <c r="W774" t="s">
        <v>603</v>
      </c>
      <c r="X774" t="s">
        <v>604</v>
      </c>
      <c r="Y774" t="s">
        <v>605</v>
      </c>
      <c r="Z774" t="s">
        <v>606</v>
      </c>
      <c r="AA774" t="s">
        <v>606</v>
      </c>
    </row>
    <row r="777" spans="1:27">
      <c r="A777" t="s">
        <v>471</v>
      </c>
    </row>
    <row r="778" spans="1:27">
      <c r="A778" t="s">
        <v>607</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c r="A779" t="s">
        <v>608</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c r="A780" t="s">
        <v>508</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c r="A781" t="s">
        <v>477</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c r="A783" t="s">
        <v>478</v>
      </c>
    </row>
    <row r="784" spans="1:27">
      <c r="A784" t="s">
        <v>607</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c r="A785" t="s">
        <v>608</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c r="A786" t="s">
        <v>721</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c r="A787" t="s">
        <v>508</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c r="A788" t="s">
        <v>477</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c r="A790" t="s">
        <v>610</v>
      </c>
    </row>
    <row r="791" spans="1:27">
      <c r="A791" t="s">
        <v>607</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c r="A792" t="s">
        <v>608</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c r="A793" t="s">
        <v>609</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c r="A794" t="s">
        <v>611</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c r="A795" t="s">
        <v>612</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c r="A796" t="s">
        <v>613</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c r="A797" t="s">
        <v>614</v>
      </c>
      <c r="B797" t="s">
        <v>786</v>
      </c>
      <c r="C797" t="s">
        <v>786</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786</v>
      </c>
    </row>
    <row r="798" spans="1:27">
      <c r="A798" t="s">
        <v>477</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c r="A800" t="s">
        <v>485</v>
      </c>
    </row>
    <row r="801" spans="1:27">
      <c r="A801" t="s">
        <v>615</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c r="A802" t="s">
        <v>616</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c r="A803" t="s">
        <v>617</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c r="A804" t="s">
        <v>618</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c r="A805" t="s">
        <v>722</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c r="A806" t="s">
        <v>609</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c r="A807" t="s">
        <v>620</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c r="A808" t="s">
        <v>477</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c r="A810" t="s">
        <v>621</v>
      </c>
    </row>
    <row r="811" spans="1:27">
      <c r="A811" t="s">
        <v>608</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c r="A812" t="s">
        <v>609</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c r="A813" t="s">
        <v>508</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c r="A814" t="s">
        <v>622</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c r="A816" t="s">
        <v>623</v>
      </c>
    </row>
    <row r="817" spans="1:27">
      <c r="A817" t="s">
        <v>607</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c r="A818" t="s">
        <v>616</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c r="A819" t="s">
        <v>617</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c r="A820" t="s">
        <v>624</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c r="A821" t="s">
        <v>608</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c r="A822" t="s">
        <v>609</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c r="A823" t="s">
        <v>508</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c r="A824" t="s">
        <v>612</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c r="A825" t="s">
        <v>625</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c r="A826" t="s">
        <v>614</v>
      </c>
      <c r="B826" t="s">
        <v>786</v>
      </c>
      <c r="C826" t="s">
        <v>786</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786</v>
      </c>
    </row>
    <row r="827" spans="1:27">
      <c r="A827" t="s">
        <v>477</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c r="A829" t="s">
        <v>511</v>
      </c>
    </row>
    <row r="830" spans="1:27">
      <c r="A830" t="s">
        <v>723</v>
      </c>
    </row>
    <row r="831" spans="1:27">
      <c r="A831" t="s">
        <v>471</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c r="A832" t="s">
        <v>478</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c r="A833" t="s">
        <v>513</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c r="A834" t="s">
        <v>485</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c r="A835" t="s">
        <v>514</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c r="A836" t="s">
        <v>627</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c r="A837" t="s">
        <v>516</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c r="A840" t="s">
        <v>724</v>
      </c>
    </row>
    <row r="841" spans="1:27">
      <c r="A841" t="s">
        <v>471</v>
      </c>
    </row>
    <row r="842" spans="1:27">
      <c r="A842" t="s">
        <v>607</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c r="A843" t="s">
        <v>608</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c r="A844" t="s">
        <v>508</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c r="A845" t="s">
        <v>477</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c r="A847" t="s">
        <v>478</v>
      </c>
    </row>
    <row r="848" spans="1:27">
      <c r="A848" t="s">
        <v>607</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c r="A849" t="s">
        <v>608</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c r="A850" t="s">
        <v>721</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c r="A851" t="s">
        <v>508</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c r="A852" t="s">
        <v>477</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c r="A854" t="s">
        <v>610</v>
      </c>
    </row>
    <row r="855" spans="1:27">
      <c r="A855" t="s">
        <v>607</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c r="A856" t="s">
        <v>608</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c r="A857" t="s">
        <v>609</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c r="A858" t="s">
        <v>611</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c r="A859" t="s">
        <v>612</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c r="A860" t="s">
        <v>613</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c r="A861" t="s">
        <v>614</v>
      </c>
      <c r="B861" t="s">
        <v>786</v>
      </c>
      <c r="C861" t="s">
        <v>786</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786</v>
      </c>
    </row>
    <row r="862" spans="1:27">
      <c r="A862" t="s">
        <v>477</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c r="A864" s="282" t="s">
        <v>485</v>
      </c>
      <c r="B864" s="282"/>
      <c r="C864" s="282"/>
      <c r="D864" s="282"/>
      <c r="E864" s="282"/>
      <c r="F864" s="282"/>
      <c r="G864" s="282"/>
      <c r="H864" s="282"/>
      <c r="I864" s="282"/>
      <c r="J864" s="282"/>
      <c r="K864" s="282"/>
      <c r="L864" s="282"/>
      <c r="M864" s="282"/>
      <c r="N864" s="282"/>
      <c r="O864" s="282"/>
      <c r="P864" s="282"/>
      <c r="Q864" s="282"/>
      <c r="R864" s="282"/>
      <c r="S864" s="282"/>
      <c r="T864" s="282"/>
      <c r="U864" s="282"/>
      <c r="V864" s="282"/>
      <c r="W864" s="282"/>
      <c r="X864" s="282"/>
      <c r="Y864" s="282"/>
      <c r="Z864" s="282"/>
    </row>
    <row r="865" spans="1:27">
      <c r="A865" t="s">
        <v>615</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c r="A866" t="s">
        <v>616</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c r="A867" t="s">
        <v>617</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c r="A868" t="s">
        <v>618</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c r="A869" t="s">
        <v>722</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c r="A870" t="s">
        <v>609</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c r="A871" t="s">
        <v>620</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c r="A872" t="s">
        <v>477</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c r="A874" t="s">
        <v>621</v>
      </c>
    </row>
    <row r="875" spans="1:27">
      <c r="A875" t="s">
        <v>608</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c r="A876" t="s">
        <v>609</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c r="A877" t="s">
        <v>508</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c r="A878" t="s">
        <v>622</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c r="A880" t="s">
        <v>623</v>
      </c>
    </row>
    <row r="881" spans="1:27">
      <c r="A881" t="s">
        <v>607</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c r="A882" t="s">
        <v>616</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c r="A883" t="s">
        <v>617</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c r="A884" t="s">
        <v>624</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c r="A885" t="s">
        <v>608</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c r="A886" t="s">
        <v>609</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c r="A887" t="s">
        <v>508</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c r="A888" t="s">
        <v>612</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c r="A889" t="s">
        <v>625</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c r="A890" t="s">
        <v>614</v>
      </c>
      <c r="B890" t="s">
        <v>786</v>
      </c>
      <c r="C890" t="s">
        <v>786</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786</v>
      </c>
    </row>
    <row r="891" spans="1:27">
      <c r="A891" t="s">
        <v>477</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c r="A893" t="s">
        <v>511</v>
      </c>
    </row>
    <row r="894" spans="1:27">
      <c r="A894" t="s">
        <v>725</v>
      </c>
    </row>
    <row r="895" spans="1:27">
      <c r="A895" t="s">
        <v>471</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c r="A896" t="s">
        <v>478</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c r="A897" t="s">
        <v>513</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c r="A898" t="s">
        <v>485</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c r="A899" t="s">
        <v>514</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c r="A900" t="s">
        <v>627</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c r="A901" t="s">
        <v>516</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c r="A905" t="s">
        <v>628</v>
      </c>
    </row>
    <row r="906" spans="1:27">
      <c r="A906" t="s">
        <v>629</v>
      </c>
    </row>
    <row r="907" spans="1:27">
      <c r="A907" t="s">
        <v>630</v>
      </c>
    </row>
    <row r="908" spans="1:27">
      <c r="A908" t="s">
        <v>726</v>
      </c>
    </row>
    <row r="909" spans="1:27">
      <c r="A909" t="s">
        <v>727</v>
      </c>
    </row>
    <row r="910" spans="1:27">
      <c r="A910" t="s">
        <v>647</v>
      </c>
    </row>
    <row r="911" spans="1:27">
      <c r="A911" t="s">
        <v>648</v>
      </c>
    </row>
    <row r="912" spans="1:27">
      <c r="A912" t="s">
        <v>649</v>
      </c>
    </row>
    <row r="913" spans="1:1">
      <c r="A913" t="s">
        <v>650</v>
      </c>
    </row>
    <row r="914" spans="1:1">
      <c r="A914" t="s">
        <v>651</v>
      </c>
    </row>
    <row r="915" spans="1:1">
      <c r="A915" t="s">
        <v>652</v>
      </c>
    </row>
    <row r="916" spans="1:1">
      <c r="A916" t="s">
        <v>543</v>
      </c>
    </row>
    <row r="917" spans="1:1">
      <c r="A917" t="s">
        <v>728</v>
      </c>
    </row>
    <row r="918" spans="1:1">
      <c r="A918" t="s">
        <v>729</v>
      </c>
    </row>
    <row r="919" spans="1:1">
      <c r="A919" t="s">
        <v>730</v>
      </c>
    </row>
    <row r="920" spans="1:1">
      <c r="A920" t="s">
        <v>731</v>
      </c>
    </row>
    <row r="921" spans="1:1">
      <c r="A921" t="s">
        <v>732</v>
      </c>
    </row>
    <row r="922" spans="1:1">
      <c r="A922" t="s">
        <v>733</v>
      </c>
    </row>
    <row r="923" spans="1:1">
      <c r="A923" t="s">
        <v>734</v>
      </c>
    </row>
    <row r="924" spans="1:1">
      <c r="A924" t="s">
        <v>735</v>
      </c>
    </row>
    <row r="925" spans="1:1">
      <c r="A925" t="s">
        <v>736</v>
      </c>
    </row>
    <row r="926" spans="1:1">
      <c r="A926" t="s">
        <v>737</v>
      </c>
    </row>
    <row r="927" spans="1:1">
      <c r="A927" t="s">
        <v>809</v>
      </c>
    </row>
    <row r="928" spans="1:1">
      <c r="A928" t="s">
        <v>739</v>
      </c>
    </row>
    <row r="929" spans="1:1">
      <c r="A929" t="s">
        <v>810</v>
      </c>
    </row>
  </sheetData>
  <mergeCells count="26">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 ref="J27:K27"/>
    <mergeCell ref="J28:J29"/>
    <mergeCell ref="K28:K29"/>
    <mergeCell ref="A36:D37"/>
    <mergeCell ref="A56:K56"/>
    <mergeCell ref="A38:B38"/>
    <mergeCell ref="E38:I38"/>
    <mergeCell ref="J45:K48"/>
    <mergeCell ref="A53:K53"/>
    <mergeCell ref="A54:K55"/>
  </mergeCells>
  <phoneticPr fontId="2"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zoomScale="150" zoomScaleNormal="70" workbookViewId="0">
      <selection activeCell="E7" sqref="E7"/>
    </sheetView>
  </sheetViews>
  <sheetFormatPr baseColWidth="10" defaultColWidth="8.83203125" defaultRowHeight="13"/>
  <cols>
    <col min="1" max="1" width="33" customWidth="1"/>
    <col min="2" max="2" width="28.5" customWidth="1"/>
    <col min="3" max="3" width="14" customWidth="1"/>
    <col min="4" max="4" width="12.6640625" customWidth="1"/>
    <col min="5" max="5" width="15.33203125" customWidth="1"/>
    <col min="6" max="6" width="21.5" customWidth="1"/>
    <col min="7" max="8" width="14" customWidth="1"/>
    <col min="9" max="9" width="15.33203125" customWidth="1"/>
    <col min="10" max="10" width="17.6640625" customWidth="1"/>
    <col min="11" max="11" width="19.33203125" customWidth="1"/>
    <col min="12" max="12" width="17.33203125" customWidth="1"/>
    <col min="13" max="14" width="18.6640625" customWidth="1"/>
    <col min="15" max="15" width="8.5" customWidth="1"/>
    <col min="16" max="18" width="18.6640625" customWidth="1"/>
    <col min="19" max="20" width="13.5" customWidth="1"/>
    <col min="23" max="23" width="12.5" bestFit="1" customWidth="1"/>
  </cols>
  <sheetData>
    <row r="1" spans="1:23" ht="14">
      <c r="A1" s="2" t="s">
        <v>301</v>
      </c>
    </row>
    <row r="2" spans="1:23" ht="12.75" customHeight="1">
      <c r="A2" s="1607" t="s">
        <v>865</v>
      </c>
      <c r="B2" s="1608"/>
      <c r="C2" s="1608"/>
      <c r="D2" s="1608"/>
      <c r="E2" s="1608"/>
      <c r="F2" s="1608"/>
      <c r="G2" s="1608"/>
      <c r="H2" s="1608"/>
      <c r="I2" s="1608"/>
      <c r="J2" s="1608"/>
      <c r="K2" s="1608"/>
    </row>
    <row r="3" spans="1:23" ht="14" thickBot="1">
      <c r="A3" s="1609"/>
      <c r="B3" s="1609"/>
      <c r="C3" s="1609"/>
      <c r="D3" s="1609"/>
      <c r="E3" s="1609"/>
      <c r="F3" s="1609"/>
      <c r="G3" s="1609"/>
      <c r="H3" s="1609"/>
      <c r="I3" s="1609"/>
      <c r="J3" s="1609"/>
      <c r="K3" s="1609"/>
    </row>
    <row r="4" spans="1:23" ht="14">
      <c r="A4" s="3" t="s">
        <v>302</v>
      </c>
      <c r="B4" s="4"/>
      <c r="C4" s="1610" t="s">
        <v>303</v>
      </c>
      <c r="D4" s="1610"/>
      <c r="E4" s="1610"/>
      <c r="F4" s="5"/>
      <c r="G4" s="1610" t="s">
        <v>304</v>
      </c>
      <c r="H4" s="1610"/>
      <c r="I4" s="1610"/>
      <c r="J4" s="5"/>
      <c r="K4" s="6" t="s">
        <v>305</v>
      </c>
      <c r="O4" s="2" t="s">
        <v>631</v>
      </c>
    </row>
    <row r="5" spans="1:23" ht="14">
      <c r="A5" s="7" t="s">
        <v>866</v>
      </c>
      <c r="B5" s="8"/>
      <c r="C5" s="9" t="s">
        <v>867</v>
      </c>
      <c r="D5" s="9" t="s">
        <v>306</v>
      </c>
      <c r="E5" s="9" t="s">
        <v>307</v>
      </c>
      <c r="F5" s="9"/>
      <c r="G5" s="9" t="s">
        <v>867</v>
      </c>
      <c r="H5" s="9" t="s">
        <v>306</v>
      </c>
      <c r="I5" s="9" t="s">
        <v>307</v>
      </c>
      <c r="J5" s="9"/>
      <c r="K5" s="10" t="s">
        <v>868</v>
      </c>
      <c r="O5" s="1"/>
      <c r="P5" s="1"/>
      <c r="Q5" s="475"/>
      <c r="R5" s="475">
        <v>2005</v>
      </c>
      <c r="S5" s="475">
        <v>2007</v>
      </c>
      <c r="T5" s="475">
        <v>2005</v>
      </c>
      <c r="U5" s="475">
        <v>2007</v>
      </c>
      <c r="V5" s="474"/>
      <c r="W5" s="474"/>
    </row>
    <row r="6" spans="1:23" ht="14">
      <c r="A6" s="15" t="s">
        <v>527</v>
      </c>
      <c r="B6" s="12"/>
      <c r="C6" s="13">
        <v>983</v>
      </c>
      <c r="D6" s="14">
        <f>C6/$K6*453.59</f>
        <v>20267.225909090906</v>
      </c>
      <c r="E6" s="467">
        <f>D6*1.05506/1000*2.2046</f>
        <v>47.141269049911173</v>
      </c>
      <c r="F6" s="13"/>
      <c r="G6" s="13">
        <v>1089</v>
      </c>
      <c r="H6" s="14">
        <f>G6/$K6*453.59</f>
        <v>22452.704999999998</v>
      </c>
      <c r="I6" s="467">
        <f>H6*1.05506/1000*2.2046</f>
        <v>52.224661236371581</v>
      </c>
      <c r="J6" s="13"/>
      <c r="K6" s="468">
        <v>22</v>
      </c>
      <c r="O6" s="1" t="s">
        <v>248</v>
      </c>
      <c r="P6" s="1" t="s">
        <v>1046</v>
      </c>
      <c r="Q6" s="475" t="s">
        <v>635</v>
      </c>
      <c r="R6" s="475" t="s">
        <v>634</v>
      </c>
      <c r="S6" s="475" t="s">
        <v>634</v>
      </c>
      <c r="T6" s="475" t="s">
        <v>1035</v>
      </c>
      <c r="U6" s="475" t="s">
        <v>1035</v>
      </c>
      <c r="V6" s="474"/>
      <c r="W6" s="474"/>
    </row>
    <row r="7" spans="1:23" ht="14">
      <c r="A7" s="15" t="s">
        <v>869</v>
      </c>
      <c r="B7" s="16"/>
      <c r="C7" s="469">
        <v>290</v>
      </c>
      <c r="D7" s="17">
        <f t="shared" ref="D7:D40" si="0">C7/K7*453.59</f>
        <v>51682.028917177428</v>
      </c>
      <c r="E7" s="470">
        <f t="shared" ref="E7:E40" si="1">D7*1.05506/1000*2.2046</f>
        <v>120.21163829516094</v>
      </c>
      <c r="F7" s="18"/>
      <c r="G7" s="19">
        <v>343</v>
      </c>
      <c r="H7" s="17">
        <f t="shared" ref="H7:H40" si="2">G7/$K7*453.59</f>
        <v>61127.365236523648</v>
      </c>
      <c r="I7" s="470">
        <f t="shared" ref="I7:I40" si="3">H7*1.05506/1000*2.2046</f>
        <v>142.1813515008283</v>
      </c>
      <c r="J7" s="18"/>
      <c r="K7" s="471">
        <v>2.5451999999999999</v>
      </c>
      <c r="O7" t="s">
        <v>848</v>
      </c>
      <c r="P7" t="s">
        <v>636</v>
      </c>
      <c r="Q7" s="474">
        <v>930</v>
      </c>
      <c r="R7" s="474">
        <v>1027</v>
      </c>
      <c r="S7" s="474">
        <v>1030</v>
      </c>
      <c r="T7" s="474">
        <f>R7/Q7</f>
        <v>1.1043010752688172</v>
      </c>
      <c r="U7" s="474">
        <f>S7/Q7</f>
        <v>1.10752688172043</v>
      </c>
      <c r="V7" s="474"/>
      <c r="W7" s="474"/>
    </row>
    <row r="8" spans="1:23" ht="14">
      <c r="A8" s="15" t="s">
        <v>870</v>
      </c>
      <c r="B8" s="16"/>
      <c r="C8" s="469">
        <v>1458</v>
      </c>
      <c r="D8" s="17">
        <f t="shared" si="0"/>
        <v>20162.628658536585</v>
      </c>
      <c r="E8" s="467">
        <f t="shared" si="1"/>
        <v>46.897977385211739</v>
      </c>
      <c r="F8" s="18"/>
      <c r="G8" s="19">
        <v>1584</v>
      </c>
      <c r="H8" s="17">
        <f t="shared" si="2"/>
        <v>21905.078048780488</v>
      </c>
      <c r="I8" s="467">
        <f t="shared" si="3"/>
        <v>50.950889011094226</v>
      </c>
      <c r="J8" s="18"/>
      <c r="K8" s="20">
        <v>32.799999999999997</v>
      </c>
      <c r="O8" t="s">
        <v>849</v>
      </c>
      <c r="P8" t="s">
        <v>636</v>
      </c>
      <c r="Q8" s="474">
        <v>930</v>
      </c>
      <c r="R8" s="474">
        <v>1027</v>
      </c>
      <c r="S8" s="474">
        <v>1030</v>
      </c>
      <c r="T8" s="474">
        <f>R8/Q8</f>
        <v>1.1043010752688172</v>
      </c>
      <c r="U8" s="474">
        <f>S8/Q8</f>
        <v>1.10752688172043</v>
      </c>
      <c r="V8" s="474"/>
      <c r="W8" s="474"/>
    </row>
    <row r="9" spans="1:23" ht="14">
      <c r="A9" s="7" t="s">
        <v>308</v>
      </c>
      <c r="B9" s="8"/>
      <c r="C9" s="9" t="s">
        <v>309</v>
      </c>
      <c r="D9" s="9" t="s">
        <v>306</v>
      </c>
      <c r="E9" s="9" t="s">
        <v>307</v>
      </c>
      <c r="F9" s="9"/>
      <c r="G9" s="9" t="s">
        <v>309</v>
      </c>
      <c r="H9" s="9" t="s">
        <v>306</v>
      </c>
      <c r="I9" s="9" t="s">
        <v>307</v>
      </c>
      <c r="J9" s="9"/>
      <c r="K9" s="10" t="s">
        <v>310</v>
      </c>
      <c r="O9" t="s">
        <v>850</v>
      </c>
      <c r="P9" t="s">
        <v>636</v>
      </c>
      <c r="Q9" s="474">
        <v>930</v>
      </c>
      <c r="R9" s="474">
        <v>1027</v>
      </c>
      <c r="S9" s="474">
        <v>1030</v>
      </c>
      <c r="T9" s="474">
        <f>R9/Q9</f>
        <v>1.1043010752688172</v>
      </c>
      <c r="U9" s="474">
        <f>S9/Q9</f>
        <v>1.10752688172043</v>
      </c>
      <c r="V9" s="474"/>
      <c r="W9" s="474"/>
    </row>
    <row r="10" spans="1:23" ht="14">
      <c r="A10" s="11" t="s">
        <v>871</v>
      </c>
      <c r="B10" s="16"/>
      <c r="C10" s="19">
        <v>129670</v>
      </c>
      <c r="D10" s="17">
        <f t="shared" si="0"/>
        <v>18351.642839313572</v>
      </c>
      <c r="E10" s="467">
        <f t="shared" si="1"/>
        <v>42.685651034654214</v>
      </c>
      <c r="F10" s="18"/>
      <c r="G10" s="19">
        <v>138350</v>
      </c>
      <c r="H10" s="17">
        <f t="shared" si="2"/>
        <v>19580.086271450855</v>
      </c>
      <c r="I10" s="467">
        <f t="shared" si="3"/>
        <v>45.542992370204438</v>
      </c>
      <c r="J10" s="18"/>
      <c r="K10" s="21">
        <v>3205</v>
      </c>
      <c r="O10" t="s">
        <v>925</v>
      </c>
      <c r="Q10" s="474"/>
      <c r="R10" s="474"/>
      <c r="S10" s="474"/>
      <c r="T10" s="474">
        <v>1</v>
      </c>
      <c r="U10" s="474">
        <v>1</v>
      </c>
      <c r="V10" s="474"/>
      <c r="W10" s="474"/>
    </row>
    <row r="11" spans="1:23" ht="14">
      <c r="A11" s="11" t="s">
        <v>872</v>
      </c>
      <c r="B11" s="16"/>
      <c r="C11" s="19">
        <v>116090</v>
      </c>
      <c r="D11" s="17">
        <f t="shared" si="0"/>
        <v>18679.412238382403</v>
      </c>
      <c r="E11" s="467">
        <f t="shared" si="1"/>
        <v>43.448037830811678</v>
      </c>
      <c r="F11" s="18"/>
      <c r="G11" s="19">
        <v>124340</v>
      </c>
      <c r="H11" s="17">
        <f t="shared" si="2"/>
        <v>20006.874991131608</v>
      </c>
      <c r="I11" s="467">
        <f t="shared" si="3"/>
        <v>46.535696648144757</v>
      </c>
      <c r="J11" s="18"/>
      <c r="K11" s="21">
        <v>2819</v>
      </c>
      <c r="O11" t="s">
        <v>927</v>
      </c>
      <c r="Q11" s="474"/>
      <c r="R11" s="474"/>
      <c r="S11" s="474"/>
      <c r="T11" s="474">
        <v>1</v>
      </c>
      <c r="U11" s="474">
        <v>1</v>
      </c>
      <c r="V11" s="474"/>
      <c r="W11" s="474"/>
    </row>
    <row r="12" spans="1:23" ht="14">
      <c r="A12" s="11" t="s">
        <v>873</v>
      </c>
      <c r="B12" s="16"/>
      <c r="C12" s="19">
        <v>113601.50975397152</v>
      </c>
      <c r="D12" s="17">
        <f t="shared" si="0"/>
        <v>18210.67343395916</v>
      </c>
      <c r="E12" s="467">
        <f t="shared" si="1"/>
        <v>42.357758273433376</v>
      </c>
      <c r="F12" s="18"/>
      <c r="G12" s="19">
        <v>121848.38036482914</v>
      </c>
      <c r="H12" s="17">
        <f t="shared" si="2"/>
        <v>19532.672304147527</v>
      </c>
      <c r="I12" s="467">
        <f t="shared" si="3"/>
        <v>45.432708180380153</v>
      </c>
      <c r="J12" s="18"/>
      <c r="K12" s="21">
        <v>2829.5773353012783</v>
      </c>
      <c r="O12" t="s">
        <v>851</v>
      </c>
      <c r="P12" t="s">
        <v>637</v>
      </c>
      <c r="Q12" s="476">
        <v>19546300</v>
      </c>
      <c r="R12" s="476">
        <v>20754000</v>
      </c>
      <c r="S12" s="476">
        <v>20231000</v>
      </c>
      <c r="T12" s="474">
        <f>R12/Q12</f>
        <v>1.0617866296946226</v>
      </c>
      <c r="U12" s="474">
        <f>S12/Q12</f>
        <v>1.0350296475547802</v>
      </c>
      <c r="V12" s="474"/>
      <c r="W12" s="474"/>
    </row>
    <row r="13" spans="1:23" ht="14">
      <c r="A13" s="11" t="s">
        <v>874</v>
      </c>
      <c r="B13" s="16"/>
      <c r="C13" s="19">
        <v>113927.15396104372</v>
      </c>
      <c r="D13" s="17">
        <f t="shared" si="0"/>
        <v>18271.813278014368</v>
      </c>
      <c r="E13" s="467">
        <f t="shared" si="1"/>
        <v>42.499968650482714</v>
      </c>
      <c r="F13" s="18"/>
      <c r="G13" s="19">
        <v>122174.43408423416</v>
      </c>
      <c r="H13" s="17">
        <f t="shared" si="2"/>
        <v>19594.524828536756</v>
      </c>
      <c r="I13" s="467">
        <f t="shared" si="3"/>
        <v>45.576576241392928</v>
      </c>
      <c r="J13" s="18"/>
      <c r="K13" s="21">
        <v>2828.193183616288</v>
      </c>
      <c r="O13" t="s">
        <v>908</v>
      </c>
      <c r="P13" t="s">
        <v>638</v>
      </c>
      <c r="Q13" s="476">
        <v>128450</v>
      </c>
      <c r="R13" s="476">
        <f>5825000/42</f>
        <v>138690.47619047618</v>
      </c>
      <c r="S13" s="476">
        <f>5799000/42</f>
        <v>138071.42857142858</v>
      </c>
      <c r="T13" s="474">
        <f>R13/Q13</f>
        <v>1.0797234425105191</v>
      </c>
      <c r="U13" s="474">
        <f>S13/Q13</f>
        <v>1.0749040760718458</v>
      </c>
      <c r="V13" s="474"/>
      <c r="W13" s="474"/>
    </row>
    <row r="14" spans="1:23" ht="14">
      <c r="A14" s="11" t="s">
        <v>875</v>
      </c>
      <c r="B14" s="16"/>
      <c r="C14" s="19">
        <v>128450</v>
      </c>
      <c r="D14" s="17">
        <f t="shared" si="0"/>
        <v>18397.106251973477</v>
      </c>
      <c r="E14" s="467">
        <f t="shared" si="1"/>
        <v>42.791398263097854</v>
      </c>
      <c r="F14" s="18"/>
      <c r="G14" s="19">
        <v>137380</v>
      </c>
      <c r="H14" s="17">
        <f t="shared" si="2"/>
        <v>19676.095421534574</v>
      </c>
      <c r="I14" s="467">
        <f t="shared" si="3"/>
        <v>45.766308239660439</v>
      </c>
      <c r="J14" s="18"/>
      <c r="K14" s="21">
        <v>3167</v>
      </c>
      <c r="O14" t="s">
        <v>906</v>
      </c>
      <c r="P14" t="s">
        <v>638</v>
      </c>
      <c r="Q14" s="476">
        <v>86668</v>
      </c>
      <c r="R14" s="476">
        <v>94706</v>
      </c>
      <c r="S14" s="476">
        <v>94854</v>
      </c>
      <c r="T14" s="474">
        <f>R14/Q14</f>
        <v>1.0927447270041999</v>
      </c>
      <c r="U14" s="474">
        <f>S14/Q14</f>
        <v>1.0944523930401071</v>
      </c>
      <c r="V14" s="474"/>
      <c r="W14" s="474"/>
    </row>
    <row r="15" spans="1:23" ht="14">
      <c r="A15" s="11" t="s">
        <v>526</v>
      </c>
      <c r="B15" s="16"/>
      <c r="C15" s="19">
        <v>129487.84757606639</v>
      </c>
      <c r="D15" s="17">
        <f t="shared" si="0"/>
        <v>18320.147467881456</v>
      </c>
      <c r="E15" s="467">
        <f t="shared" si="1"/>
        <v>42.612393264440954</v>
      </c>
      <c r="F15" s="18"/>
      <c r="G15" s="19">
        <v>138490</v>
      </c>
      <c r="H15" s="17">
        <f t="shared" si="2"/>
        <v>19593.786369307545</v>
      </c>
      <c r="I15" s="467">
        <f t="shared" si="3"/>
        <v>45.574858596098856</v>
      </c>
      <c r="J15" s="18"/>
      <c r="K15" s="21">
        <v>3206</v>
      </c>
      <c r="O15" t="s">
        <v>852</v>
      </c>
      <c r="P15" t="s">
        <v>638</v>
      </c>
      <c r="Q15" s="476"/>
      <c r="R15" s="476"/>
      <c r="S15" s="476"/>
      <c r="T15" s="474">
        <f>$I$19/$E$19</f>
        <v>1.1388646288209607</v>
      </c>
      <c r="U15" s="474">
        <f>$I$19/$E$19</f>
        <v>1.1388646288209607</v>
      </c>
      <c r="V15" s="474"/>
      <c r="W15" s="474"/>
    </row>
    <row r="16" spans="1:23" ht="14">
      <c r="A16" s="11" t="s">
        <v>876</v>
      </c>
      <c r="B16" s="16"/>
      <c r="C16" s="19">
        <v>116920</v>
      </c>
      <c r="D16" s="17">
        <f t="shared" si="0"/>
        <v>19320.124881602911</v>
      </c>
      <c r="E16" s="467">
        <f t="shared" si="1"/>
        <v>44.938326005089621</v>
      </c>
      <c r="F16" s="18"/>
      <c r="G16" s="19">
        <v>125080</v>
      </c>
      <c r="H16" s="17">
        <f t="shared" si="2"/>
        <v>20668.501712204008</v>
      </c>
      <c r="I16" s="467">
        <f t="shared" si="3"/>
        <v>48.074630659567319</v>
      </c>
      <c r="J16" s="18"/>
      <c r="K16" s="22">
        <v>2745</v>
      </c>
      <c r="O16" t="s">
        <v>911</v>
      </c>
      <c r="P16" t="s">
        <v>638</v>
      </c>
      <c r="Q16" s="476">
        <v>116090</v>
      </c>
      <c r="R16" s="476">
        <f>5194000/42</f>
        <v>123666.66666666667</v>
      </c>
      <c r="S16" s="476">
        <f>5218000/42</f>
        <v>124238.09523809524</v>
      </c>
      <c r="T16" s="474">
        <f>R16/Q16</f>
        <v>1.0652654549631033</v>
      </c>
      <c r="U16" s="474">
        <f>S16/Q16</f>
        <v>1.0701877443198831</v>
      </c>
      <c r="V16" s="474"/>
      <c r="W16" s="474"/>
    </row>
    <row r="17" spans="1:23" ht="14">
      <c r="A17" s="11" t="s">
        <v>877</v>
      </c>
      <c r="B17" s="16"/>
      <c r="C17" s="19">
        <v>111520</v>
      </c>
      <c r="D17" s="17">
        <f t="shared" si="0"/>
        <v>19081.236061863448</v>
      </c>
      <c r="E17" s="467">
        <f t="shared" si="1"/>
        <v>44.382674127774621</v>
      </c>
      <c r="F17" s="18"/>
      <c r="G17" s="19">
        <v>119740</v>
      </c>
      <c r="H17" s="17">
        <f t="shared" si="2"/>
        <v>20487.69015465862</v>
      </c>
      <c r="I17" s="467">
        <f t="shared" si="3"/>
        <v>47.654065638986118</v>
      </c>
      <c r="J17" s="18"/>
      <c r="K17" s="21">
        <v>2651</v>
      </c>
      <c r="O17" t="s">
        <v>853</v>
      </c>
      <c r="P17" t="s">
        <v>637</v>
      </c>
      <c r="Q17" s="476">
        <v>16811000</v>
      </c>
      <c r="R17" s="476">
        <v>17200000</v>
      </c>
      <c r="S17" s="476">
        <v>17200000</v>
      </c>
      <c r="T17" s="474">
        <f>R17/Q17</f>
        <v>1.0231396109690083</v>
      </c>
      <c r="U17" s="474">
        <f>S17/Q17</f>
        <v>1.0231396109690083</v>
      </c>
      <c r="V17" s="474"/>
      <c r="W17" s="474"/>
    </row>
    <row r="18" spans="1:23" ht="14">
      <c r="A18" s="11" t="s">
        <v>878</v>
      </c>
      <c r="B18" s="16"/>
      <c r="C18" s="19">
        <v>140352.52220119376</v>
      </c>
      <c r="D18" s="17">
        <f t="shared" si="0"/>
        <v>16967.617416108602</v>
      </c>
      <c r="E18" s="467">
        <f t="shared" si="1"/>
        <v>39.466428278669781</v>
      </c>
      <c r="F18" s="18"/>
      <c r="G18" s="19">
        <v>150110</v>
      </c>
      <c r="H18" s="17">
        <f t="shared" si="2"/>
        <v>18147.226785714287</v>
      </c>
      <c r="I18" s="467">
        <f t="shared" si="3"/>
        <v>42.210182303804245</v>
      </c>
      <c r="J18" s="18"/>
      <c r="K18" s="21">
        <v>3752</v>
      </c>
      <c r="O18" t="s">
        <v>854</v>
      </c>
      <c r="P18" t="s">
        <v>639</v>
      </c>
      <c r="Q18" s="477">
        <v>2.8300000000000001E-3</v>
      </c>
      <c r="R18" s="476"/>
      <c r="S18" s="476"/>
      <c r="T18" s="474">
        <v>1</v>
      </c>
      <c r="U18" s="474">
        <v>1</v>
      </c>
      <c r="V18" s="474"/>
      <c r="W18" s="474"/>
    </row>
    <row r="19" spans="1:23" ht="14">
      <c r="A19" s="11" t="s">
        <v>311</v>
      </c>
      <c r="B19" s="23"/>
      <c r="C19" s="19">
        <v>57250</v>
      </c>
      <c r="D19" s="17">
        <f t="shared" si="0"/>
        <v>8638.7317032601459</v>
      </c>
      <c r="E19" s="467">
        <f t="shared" si="1"/>
        <v>20.093562745097504</v>
      </c>
      <c r="F19" s="18"/>
      <c r="G19" s="19">
        <v>65200</v>
      </c>
      <c r="H19" s="17">
        <f t="shared" si="2"/>
        <v>9838.345974717231</v>
      </c>
      <c r="I19" s="467">
        <f t="shared" si="3"/>
        <v>22.883847877386152</v>
      </c>
      <c r="J19" s="18"/>
      <c r="K19" s="22">
        <v>3006</v>
      </c>
      <c r="Q19" s="474"/>
      <c r="R19" s="474"/>
      <c r="S19" s="474"/>
      <c r="T19" s="474"/>
      <c r="U19" s="474"/>
      <c r="V19" s="474"/>
      <c r="W19" s="474"/>
    </row>
    <row r="20" spans="1:23" ht="14">
      <c r="A20" s="11" t="s">
        <v>312</v>
      </c>
      <c r="B20" s="23"/>
      <c r="C20" s="19">
        <v>76330</v>
      </c>
      <c r="D20" s="17">
        <f t="shared" si="0"/>
        <v>11587.19032797858</v>
      </c>
      <c r="E20" s="467">
        <f t="shared" si="1"/>
        <v>26.95163409308779</v>
      </c>
      <c r="F20" s="18"/>
      <c r="G20" s="19">
        <v>84530</v>
      </c>
      <c r="H20" s="17">
        <f t="shared" si="2"/>
        <v>12831.982161981257</v>
      </c>
      <c r="I20" s="467">
        <f t="shared" si="3"/>
        <v>29.847001570663057</v>
      </c>
      <c r="J20" s="18"/>
      <c r="K20" s="22">
        <v>2988</v>
      </c>
      <c r="Q20" s="474"/>
      <c r="R20" s="474"/>
      <c r="S20" s="474"/>
      <c r="T20" s="474"/>
      <c r="U20" s="474"/>
      <c r="V20" s="474"/>
      <c r="W20" s="474"/>
    </row>
    <row r="21" spans="1:23" ht="14">
      <c r="A21" s="11" t="s">
        <v>963</v>
      </c>
      <c r="B21" s="23"/>
      <c r="C21" s="19">
        <v>99837</v>
      </c>
      <c r="D21" s="17">
        <f t="shared" si="0"/>
        <v>14774.898802610114</v>
      </c>
      <c r="E21" s="467">
        <f t="shared" si="1"/>
        <v>34.366197069261162</v>
      </c>
      <c r="F21" s="18"/>
      <c r="G21" s="19">
        <v>108458</v>
      </c>
      <c r="H21" s="17">
        <f t="shared" si="2"/>
        <v>16050.722420880913</v>
      </c>
      <c r="I21" s="467">
        <f t="shared" si="3"/>
        <v>37.33374402013208</v>
      </c>
      <c r="J21" s="18"/>
      <c r="K21" s="22">
        <v>3065</v>
      </c>
      <c r="Q21" s="474"/>
      <c r="R21" s="474"/>
      <c r="S21" s="474"/>
      <c r="T21" s="474"/>
      <c r="U21" s="474"/>
      <c r="V21" s="474"/>
      <c r="W21" s="474"/>
    </row>
    <row r="22" spans="1:23" ht="14">
      <c r="A22" s="11" t="s">
        <v>964</v>
      </c>
      <c r="B22" s="23"/>
      <c r="C22" s="19">
        <v>83127</v>
      </c>
      <c r="D22" s="17">
        <f t="shared" si="0"/>
        <v>12721.179463562754</v>
      </c>
      <c r="E22" s="467">
        <f t="shared" si="1"/>
        <v>29.589276125600549</v>
      </c>
      <c r="F22" s="18"/>
      <c r="G22" s="19">
        <v>89511</v>
      </c>
      <c r="H22" s="17">
        <f t="shared" si="2"/>
        <v>13698.142540485829</v>
      </c>
      <c r="I22" s="467">
        <f t="shared" si="3"/>
        <v>31.861677857719279</v>
      </c>
      <c r="J22" s="18"/>
      <c r="K22" s="22">
        <v>2964</v>
      </c>
      <c r="Q22" s="474"/>
      <c r="R22" s="474"/>
      <c r="S22" s="474"/>
      <c r="T22" s="474"/>
      <c r="U22" s="474"/>
      <c r="V22" s="474"/>
      <c r="W22" s="474"/>
    </row>
    <row r="23" spans="1:23" ht="14">
      <c r="A23" s="11" t="s">
        <v>879</v>
      </c>
      <c r="B23" s="23"/>
      <c r="C23" s="19">
        <v>116090</v>
      </c>
      <c r="D23" s="17">
        <f t="shared" si="0"/>
        <v>18679.412238382403</v>
      </c>
      <c r="E23" s="467">
        <f t="shared" si="1"/>
        <v>43.448037830811678</v>
      </c>
      <c r="F23" s="18"/>
      <c r="G23" s="19">
        <v>124340</v>
      </c>
      <c r="H23" s="17">
        <f t="shared" si="2"/>
        <v>20006.874991131608</v>
      </c>
      <c r="I23" s="467">
        <f t="shared" si="3"/>
        <v>46.535696648144757</v>
      </c>
      <c r="J23" s="18"/>
      <c r="K23" s="22">
        <v>2819</v>
      </c>
      <c r="Q23" s="474"/>
      <c r="R23" s="474"/>
      <c r="S23" s="474"/>
      <c r="T23" s="474"/>
      <c r="U23" s="474"/>
      <c r="V23" s="474"/>
      <c r="W23" s="474"/>
    </row>
    <row r="24" spans="1:23" ht="14">
      <c r="A24" s="11" t="s">
        <v>880</v>
      </c>
      <c r="B24" s="23"/>
      <c r="C24" s="19">
        <v>84950</v>
      </c>
      <c r="D24" s="17">
        <f t="shared" si="0"/>
        <v>20037.686167446696</v>
      </c>
      <c r="E24" s="467">
        <f t="shared" si="1"/>
        <v>46.607362990589891</v>
      </c>
      <c r="F24" s="18"/>
      <c r="G24" s="19">
        <v>91410</v>
      </c>
      <c r="H24" s="17">
        <f t="shared" si="2"/>
        <v>21561.446645865835</v>
      </c>
      <c r="I24" s="467">
        <f t="shared" si="3"/>
        <v>50.151607427543532</v>
      </c>
      <c r="J24" s="18"/>
      <c r="K24" s="22">
        <v>1923</v>
      </c>
      <c r="Q24" s="474"/>
      <c r="R24" s="474"/>
      <c r="S24" s="474"/>
      <c r="T24" s="474"/>
      <c r="U24" s="474"/>
      <c r="V24" s="474"/>
      <c r="W24" s="474"/>
    </row>
    <row r="25" spans="1:23" ht="14">
      <c r="A25" s="11" t="s">
        <v>881</v>
      </c>
      <c r="B25" s="23"/>
      <c r="C25" s="19">
        <v>74720</v>
      </c>
      <c r="D25" s="17">
        <f t="shared" si="0"/>
        <v>20908.23244910549</v>
      </c>
      <c r="E25" s="467">
        <f t="shared" si="1"/>
        <v>48.632240823804793</v>
      </c>
      <c r="F25" s="18"/>
      <c r="G25" s="19">
        <v>84820</v>
      </c>
      <c r="H25" s="17">
        <f t="shared" si="2"/>
        <v>23734.425539790249</v>
      </c>
      <c r="I25" s="467">
        <f t="shared" si="3"/>
        <v>55.205924339870478</v>
      </c>
      <c r="J25" s="18"/>
      <c r="K25" s="22">
        <v>1621</v>
      </c>
      <c r="Q25" s="474"/>
      <c r="R25" s="474"/>
      <c r="S25" s="474"/>
      <c r="T25" s="474"/>
      <c r="U25" s="474"/>
      <c r="V25" s="474"/>
      <c r="W25" s="474"/>
    </row>
    <row r="26" spans="1:23" ht="14">
      <c r="A26" s="11" t="s">
        <v>882</v>
      </c>
      <c r="B26" s="23"/>
      <c r="C26" s="19">
        <v>68930</v>
      </c>
      <c r="D26" s="17">
        <f t="shared" si="0"/>
        <v>12416.981215250198</v>
      </c>
      <c r="E26" s="467">
        <f t="shared" si="1"/>
        <v>28.881715479040551</v>
      </c>
      <c r="F26" s="18"/>
      <c r="G26" s="19">
        <v>75610</v>
      </c>
      <c r="H26" s="17">
        <f t="shared" si="2"/>
        <v>13620.3097299444</v>
      </c>
      <c r="I26" s="467">
        <f t="shared" si="3"/>
        <v>31.680639886410216</v>
      </c>
      <c r="J26" s="18"/>
      <c r="K26" s="22">
        <v>2518</v>
      </c>
      <c r="Q26" s="474"/>
      <c r="R26" s="474"/>
      <c r="S26" s="474"/>
      <c r="T26" s="474"/>
      <c r="U26" s="474"/>
      <c r="V26" s="474"/>
      <c r="W26" s="474"/>
    </row>
    <row r="27" spans="1:23" ht="14">
      <c r="A27" s="11" t="s">
        <v>883</v>
      </c>
      <c r="B27" s="23"/>
      <c r="C27" s="19">
        <v>72200</v>
      </c>
      <c r="D27" s="17">
        <f t="shared" si="0"/>
        <v>10061.197542242702</v>
      </c>
      <c r="E27" s="467">
        <f t="shared" si="1"/>
        <v>23.402197342183918</v>
      </c>
      <c r="F27" s="18"/>
      <c r="G27" s="19">
        <v>79196.89540113158</v>
      </c>
      <c r="H27" s="17">
        <f t="shared" si="2"/>
        <v>11036.227276497471</v>
      </c>
      <c r="I27" s="467">
        <f t="shared" si="3"/>
        <v>25.670102147722705</v>
      </c>
      <c r="J27" s="18"/>
      <c r="K27" s="22">
        <v>3255</v>
      </c>
      <c r="Q27" s="474"/>
      <c r="R27" s="474"/>
      <c r="S27" s="474"/>
      <c r="T27" s="474"/>
      <c r="U27" s="474"/>
      <c r="V27" s="474"/>
      <c r="W27" s="474"/>
    </row>
    <row r="28" spans="1:23" ht="14">
      <c r="A28" s="11" t="s">
        <v>884</v>
      </c>
      <c r="B28" s="23"/>
      <c r="C28" s="19">
        <v>119550</v>
      </c>
      <c r="D28" s="17">
        <f t="shared" si="0"/>
        <v>16134.09238321928</v>
      </c>
      <c r="E28" s="467">
        <f t="shared" si="1"/>
        <v>37.527661324991804</v>
      </c>
      <c r="F28" s="18"/>
      <c r="G28" s="19">
        <v>127960</v>
      </c>
      <c r="H28" s="17">
        <f t="shared" si="2"/>
        <v>17269.079559654863</v>
      </c>
      <c r="I28" s="467">
        <f t="shared" si="3"/>
        <v>40.167624785829787</v>
      </c>
      <c r="J28" s="18"/>
      <c r="K28" s="22">
        <v>3361</v>
      </c>
      <c r="Q28" s="474"/>
      <c r="R28" s="474"/>
      <c r="S28" s="474"/>
      <c r="T28" s="474"/>
      <c r="U28" s="474"/>
      <c r="V28" s="474"/>
      <c r="W28" s="474"/>
    </row>
    <row r="29" spans="1:23" ht="14">
      <c r="A29" s="11" t="s">
        <v>885</v>
      </c>
      <c r="B29" s="23"/>
      <c r="C29" s="19">
        <v>123670</v>
      </c>
      <c r="D29" s="17">
        <f t="shared" si="0"/>
        <v>18593.130692741131</v>
      </c>
      <c r="E29" s="467">
        <f t="shared" si="1"/>
        <v>43.247348226059557</v>
      </c>
      <c r="F29" s="18"/>
      <c r="G29" s="19">
        <v>130030</v>
      </c>
      <c r="H29" s="17">
        <f t="shared" si="2"/>
        <v>19549.323069274113</v>
      </c>
      <c r="I29" s="467">
        <f t="shared" si="3"/>
        <v>45.471437614898726</v>
      </c>
      <c r="J29" s="18"/>
      <c r="K29" s="22">
        <v>3017</v>
      </c>
      <c r="Q29" s="474"/>
      <c r="R29" s="474"/>
      <c r="S29" s="474"/>
      <c r="T29" s="474"/>
      <c r="U29" s="474"/>
      <c r="V29" s="474"/>
      <c r="W29" s="474"/>
    </row>
    <row r="30" spans="1:23" ht="14">
      <c r="A30" s="11" t="s">
        <v>965</v>
      </c>
      <c r="B30" s="23"/>
      <c r="C30" s="19">
        <v>117059</v>
      </c>
      <c r="D30" s="17">
        <f t="shared" si="0"/>
        <v>18729.027093474426</v>
      </c>
      <c r="E30" s="467">
        <f t="shared" si="1"/>
        <v>43.563441253226593</v>
      </c>
      <c r="F30" s="18"/>
      <c r="G30" s="19">
        <v>125294</v>
      </c>
      <c r="H30" s="17">
        <f t="shared" si="2"/>
        <v>20046.598045855379</v>
      </c>
      <c r="I30" s="467">
        <f t="shared" si="3"/>
        <v>46.628091888549989</v>
      </c>
      <c r="J30" s="18"/>
      <c r="K30" s="22">
        <v>2835</v>
      </c>
      <c r="Q30" s="474"/>
      <c r="R30" s="474"/>
      <c r="S30" s="474"/>
      <c r="T30" s="474"/>
      <c r="U30" s="474"/>
      <c r="V30" s="474"/>
      <c r="W30" s="474"/>
    </row>
    <row r="31" spans="1:23" ht="14">
      <c r="A31" s="11" t="s">
        <v>966</v>
      </c>
      <c r="B31" s="23"/>
      <c r="C31" s="19">
        <v>122887</v>
      </c>
      <c r="D31" s="17">
        <f t="shared" si="0"/>
        <v>18907.840681818183</v>
      </c>
      <c r="E31" s="467">
        <f t="shared" si="1"/>
        <v>43.979359026862895</v>
      </c>
      <c r="F31" s="18"/>
      <c r="G31" s="19">
        <v>130817</v>
      </c>
      <c r="H31" s="17">
        <f t="shared" si="2"/>
        <v>20127.979318181817</v>
      </c>
      <c r="I31" s="467">
        <f t="shared" si="3"/>
        <v>46.817383529723436</v>
      </c>
      <c r="J31" s="18"/>
      <c r="K31" s="22">
        <v>2948</v>
      </c>
      <c r="Q31" s="474"/>
      <c r="R31" s="474"/>
      <c r="S31" s="474"/>
      <c r="T31" s="474"/>
      <c r="U31" s="474"/>
      <c r="V31" s="474"/>
      <c r="W31" s="474"/>
    </row>
    <row r="32" spans="1:23" ht="14">
      <c r="A32" s="11" t="s">
        <v>967</v>
      </c>
      <c r="B32" s="23"/>
      <c r="C32" s="19">
        <v>115983</v>
      </c>
      <c r="D32" s="17">
        <f t="shared" si="0"/>
        <v>18589.656879858656</v>
      </c>
      <c r="E32" s="467">
        <f t="shared" si="1"/>
        <v>43.23926818844334</v>
      </c>
      <c r="F32" s="18"/>
      <c r="G32" s="19">
        <v>124230</v>
      </c>
      <c r="H32" s="17">
        <f t="shared" si="2"/>
        <v>19911.479045936394</v>
      </c>
      <c r="I32" s="467">
        <f t="shared" si="3"/>
        <v>46.313807084230582</v>
      </c>
      <c r="J32" s="18"/>
      <c r="K32" s="22">
        <v>2830</v>
      </c>
      <c r="Q32" s="474"/>
      <c r="R32" s="474"/>
      <c r="S32" s="474"/>
      <c r="T32" s="474"/>
      <c r="U32" s="474"/>
      <c r="V32" s="474"/>
      <c r="W32" s="474"/>
    </row>
    <row r="33" spans="1:23" ht="14">
      <c r="A33" s="11" t="s">
        <v>886</v>
      </c>
      <c r="B33" s="23"/>
      <c r="C33" s="19">
        <v>30500</v>
      </c>
      <c r="D33" s="17">
        <f t="shared" si="0"/>
        <v>51621.249999999993</v>
      </c>
      <c r="E33" s="470">
        <f t="shared" si="1"/>
        <v>120.070267428715</v>
      </c>
      <c r="F33" s="18"/>
      <c r="G33" s="19">
        <v>36020</v>
      </c>
      <c r="H33" s="17">
        <f t="shared" si="2"/>
        <v>60963.849999999991</v>
      </c>
      <c r="I33" s="470">
        <f t="shared" si="3"/>
        <v>141.80101746827262</v>
      </c>
      <c r="J33" s="18"/>
      <c r="K33" s="22">
        <v>268</v>
      </c>
      <c r="Q33" s="474"/>
      <c r="R33" s="474"/>
      <c r="S33" s="474"/>
      <c r="T33" s="474"/>
      <c r="U33" s="474"/>
      <c r="V33" s="474"/>
      <c r="W33" s="474"/>
    </row>
    <row r="34" spans="1:23" ht="14">
      <c r="A34" s="11" t="s">
        <v>887</v>
      </c>
      <c r="B34" s="23"/>
      <c r="C34" s="19">
        <v>93540</v>
      </c>
      <c r="D34" s="17">
        <f t="shared" si="0"/>
        <v>15093.848665955175</v>
      </c>
      <c r="E34" s="467">
        <f t="shared" si="1"/>
        <v>35.108069755183983</v>
      </c>
      <c r="F34" s="18"/>
      <c r="G34" s="19">
        <v>101130</v>
      </c>
      <c r="H34" s="17">
        <f t="shared" si="2"/>
        <v>16318.59007470651</v>
      </c>
      <c r="I34" s="467">
        <f t="shared" si="3"/>
        <v>37.95680023884708</v>
      </c>
      <c r="J34" s="18"/>
      <c r="K34" s="22">
        <v>2811</v>
      </c>
      <c r="Q34" s="474"/>
      <c r="R34" s="474"/>
      <c r="S34" s="474"/>
      <c r="T34" s="474"/>
      <c r="U34" s="474"/>
      <c r="V34" s="474"/>
      <c r="W34" s="474"/>
    </row>
    <row r="35" spans="1:23" ht="14">
      <c r="A35" s="11" t="s">
        <v>888</v>
      </c>
      <c r="B35" s="16"/>
      <c r="C35" s="19">
        <v>96720</v>
      </c>
      <c r="D35" s="17">
        <f t="shared" si="0"/>
        <v>15612.535516014234</v>
      </c>
      <c r="E35" s="467">
        <f t="shared" si="1"/>
        <v>36.314527731276172</v>
      </c>
      <c r="F35" s="18"/>
      <c r="G35" s="19">
        <v>104530</v>
      </c>
      <c r="H35" s="17">
        <f t="shared" si="2"/>
        <v>16873.225160142349</v>
      </c>
      <c r="I35" s="467">
        <f t="shared" si="3"/>
        <v>39.246873281123854</v>
      </c>
      <c r="J35" s="18"/>
      <c r="K35" s="21">
        <v>2810</v>
      </c>
      <c r="Q35" s="474"/>
      <c r="R35" s="474"/>
      <c r="S35" s="474"/>
      <c r="T35" s="474"/>
      <c r="U35" s="474"/>
      <c r="V35" s="474"/>
      <c r="W35" s="474"/>
    </row>
    <row r="36" spans="1:23" ht="14">
      <c r="A36" s="11" t="s">
        <v>889</v>
      </c>
      <c r="B36" s="16"/>
      <c r="C36" s="19">
        <v>100480</v>
      </c>
      <c r="D36" s="17">
        <f t="shared" si="0"/>
        <v>15645.974322004806</v>
      </c>
      <c r="E36" s="467">
        <f t="shared" si="1"/>
        <v>36.392305901657274</v>
      </c>
      <c r="F36" s="18"/>
      <c r="G36" s="19">
        <v>108570</v>
      </c>
      <c r="H36" s="17">
        <f t="shared" si="2"/>
        <v>16905.687023686918</v>
      </c>
      <c r="I36" s="467">
        <f t="shared" si="3"/>
        <v>39.322379097760042</v>
      </c>
      <c r="J36" s="18"/>
      <c r="K36" s="21">
        <v>2913</v>
      </c>
      <c r="Q36" s="474"/>
      <c r="R36" s="474"/>
      <c r="S36" s="474"/>
      <c r="T36" s="474"/>
      <c r="U36" s="474"/>
      <c r="V36" s="474"/>
      <c r="W36" s="474"/>
    </row>
    <row r="37" spans="1:23" ht="14">
      <c r="A37" s="11" t="s">
        <v>890</v>
      </c>
      <c r="B37" s="16"/>
      <c r="C37" s="19">
        <v>94970</v>
      </c>
      <c r="D37" s="17">
        <f t="shared" si="0"/>
        <v>19465.631405332126</v>
      </c>
      <c r="E37" s="467">
        <f t="shared" si="1"/>
        <v>45.27677203684572</v>
      </c>
      <c r="F37" s="18"/>
      <c r="G37" s="19">
        <v>103220</v>
      </c>
      <c r="H37" s="17">
        <f t="shared" si="2"/>
        <v>21156.601807501127</v>
      </c>
      <c r="I37" s="467">
        <f t="shared" si="3"/>
        <v>49.209944294442614</v>
      </c>
      <c r="J37" s="18"/>
      <c r="K37" s="21">
        <v>2213</v>
      </c>
      <c r="Q37" s="474"/>
      <c r="R37" s="474"/>
      <c r="S37" s="474"/>
      <c r="T37" s="474"/>
      <c r="U37" s="474"/>
      <c r="V37" s="474"/>
      <c r="W37" s="474"/>
    </row>
    <row r="38" spans="1:23" ht="14">
      <c r="A38" s="11" t="s">
        <v>891</v>
      </c>
      <c r="B38" s="16"/>
      <c r="C38" s="19">
        <v>90060</v>
      </c>
      <c r="D38" s="17">
        <f t="shared" si="0"/>
        <v>19287.212181303115</v>
      </c>
      <c r="E38" s="467">
        <f t="shared" si="1"/>
        <v>44.861771548798892</v>
      </c>
      <c r="F38" s="18"/>
      <c r="G38" s="19">
        <v>98560</v>
      </c>
      <c r="H38" s="17">
        <f t="shared" si="2"/>
        <v>21107.568649669498</v>
      </c>
      <c r="I38" s="467">
        <f t="shared" si="3"/>
        <v>49.095893891290459</v>
      </c>
      <c r="J38" s="18"/>
      <c r="K38" s="21">
        <v>2118</v>
      </c>
      <c r="Q38" s="474"/>
      <c r="R38" s="474"/>
      <c r="S38" s="474"/>
      <c r="T38" s="474"/>
      <c r="U38" s="474"/>
      <c r="V38" s="474"/>
      <c r="W38" s="474"/>
    </row>
    <row r="39" spans="1:23" ht="14">
      <c r="A39" s="11" t="s">
        <v>892</v>
      </c>
      <c r="B39" s="16"/>
      <c r="C39" s="19">
        <v>95720</v>
      </c>
      <c r="D39" s="17">
        <f t="shared" si="0"/>
        <v>19271.031868619615</v>
      </c>
      <c r="E39" s="467">
        <f t="shared" si="1"/>
        <v>44.824136379735997</v>
      </c>
      <c r="F39" s="18"/>
      <c r="G39" s="19">
        <v>103010</v>
      </c>
      <c r="H39" s="17">
        <f t="shared" si="2"/>
        <v>20738.706569019083</v>
      </c>
      <c r="I39" s="467">
        <f t="shared" si="3"/>
        <v>48.237926122822877</v>
      </c>
      <c r="J39" s="18"/>
      <c r="K39" s="21">
        <v>2253</v>
      </c>
      <c r="Q39" s="474"/>
      <c r="R39" s="474"/>
      <c r="S39" s="474"/>
      <c r="T39" s="474"/>
      <c r="U39" s="474"/>
      <c r="V39" s="474"/>
      <c r="W39" s="474"/>
    </row>
    <row r="40" spans="1:23" ht="14">
      <c r="A40" s="11" t="s">
        <v>313</v>
      </c>
      <c r="B40" s="16"/>
      <c r="C40" s="19">
        <v>84250</v>
      </c>
      <c r="D40" s="17">
        <f t="shared" si="0"/>
        <v>19903.623697916668</v>
      </c>
      <c r="E40" s="467">
        <f t="shared" si="1"/>
        <v>46.295535660398848</v>
      </c>
      <c r="F40" s="18"/>
      <c r="G40" s="19">
        <v>91420</v>
      </c>
      <c r="H40" s="17">
        <f t="shared" si="2"/>
        <v>21597.498854166668</v>
      </c>
      <c r="I40" s="467">
        <f t="shared" si="3"/>
        <v>50.235464333218552</v>
      </c>
      <c r="J40" s="18"/>
      <c r="K40" s="21">
        <v>1920</v>
      </c>
      <c r="Q40" s="474"/>
      <c r="R40" s="474"/>
      <c r="S40" s="474"/>
      <c r="T40" s="474"/>
      <c r="U40" s="474"/>
      <c r="V40" s="474"/>
      <c r="W40" s="474"/>
    </row>
    <row r="41" spans="1:23" ht="14">
      <c r="A41" s="7" t="s">
        <v>314</v>
      </c>
      <c r="B41" s="8"/>
      <c r="C41" s="9" t="s">
        <v>315</v>
      </c>
      <c r="D41" s="9" t="s">
        <v>316</v>
      </c>
      <c r="E41" s="9" t="s">
        <v>307</v>
      </c>
      <c r="F41" s="9"/>
      <c r="G41" s="9" t="s">
        <v>315</v>
      </c>
      <c r="H41" s="9" t="s">
        <v>316</v>
      </c>
      <c r="I41" s="9" t="s">
        <v>307</v>
      </c>
      <c r="J41" s="9"/>
      <c r="K41" s="10"/>
      <c r="Q41" s="474"/>
      <c r="R41" s="474"/>
      <c r="S41" s="474"/>
      <c r="T41" s="474"/>
      <c r="U41" s="474"/>
      <c r="V41" s="474"/>
      <c r="W41" s="474"/>
    </row>
    <row r="42" spans="1:23" ht="14">
      <c r="A42" s="15" t="s">
        <v>893</v>
      </c>
      <c r="B42" s="16"/>
      <c r="C42" s="24">
        <v>19546300</v>
      </c>
      <c r="D42" s="17">
        <f t="shared" ref="D42:D50" si="4">C42/2000</f>
        <v>9773.15</v>
      </c>
      <c r="E42" s="467">
        <f t="shared" ref="E42:E50" si="5">D42*1.05506/1000*2.2046</f>
        <v>22.7322030001394</v>
      </c>
      <c r="F42" s="18"/>
      <c r="G42" s="19">
        <v>20608570</v>
      </c>
      <c r="H42" s="17">
        <f>G42/2000</f>
        <v>10304.285</v>
      </c>
      <c r="I42" s="467">
        <f t="shared" ref="I42:I50" si="6">H42*1.05506/1000*2.2046</f>
        <v>23.967615189707661</v>
      </c>
      <c r="J42" s="18"/>
      <c r="K42" s="22"/>
      <c r="Q42" s="474"/>
      <c r="R42" s="474"/>
      <c r="S42" s="474"/>
      <c r="T42" s="474"/>
      <c r="U42" s="474"/>
      <c r="V42" s="474"/>
      <c r="W42" s="474"/>
    </row>
    <row r="43" spans="1:23" ht="14">
      <c r="A43" s="15" t="s">
        <v>894</v>
      </c>
      <c r="B43" s="16"/>
      <c r="C43" s="24">
        <v>22460600</v>
      </c>
      <c r="D43" s="17">
        <f t="shared" si="4"/>
        <v>11230.3</v>
      </c>
      <c r="E43" s="467">
        <f t="shared" si="5"/>
        <v>26.121512445062798</v>
      </c>
      <c r="F43" s="18"/>
      <c r="G43" s="19">
        <v>23445900</v>
      </c>
      <c r="H43" s="17">
        <f t="shared" ref="H43:H50" si="7">G43/2000</f>
        <v>11722.95</v>
      </c>
      <c r="I43" s="467">
        <f t="shared" si="6"/>
        <v>27.267409091284208</v>
      </c>
      <c r="J43" s="18"/>
      <c r="K43" s="22"/>
      <c r="Q43" s="474"/>
      <c r="R43" s="474"/>
      <c r="S43" s="474"/>
      <c r="T43" s="474"/>
      <c r="U43" s="474"/>
      <c r="V43" s="474"/>
      <c r="W43" s="474"/>
    </row>
    <row r="44" spans="1:23" ht="14">
      <c r="A44" s="11" t="s">
        <v>895</v>
      </c>
      <c r="B44" s="12"/>
      <c r="C44" s="24">
        <v>24600497.144575384</v>
      </c>
      <c r="D44" s="17">
        <f t="shared" si="4"/>
        <v>12300.248572287692</v>
      </c>
      <c r="E44" s="467">
        <f t="shared" si="5"/>
        <v>28.610197070281195</v>
      </c>
      <c r="F44" s="18"/>
      <c r="G44" s="19">
        <v>25679670</v>
      </c>
      <c r="H44" s="17">
        <f t="shared" si="7"/>
        <v>12839.834999999999</v>
      </c>
      <c r="I44" s="467">
        <f t="shared" si="6"/>
        <v>29.865267156269461</v>
      </c>
      <c r="J44" s="18"/>
      <c r="K44" s="22"/>
    </row>
    <row r="45" spans="1:23" ht="14">
      <c r="A45" s="15" t="s">
        <v>896</v>
      </c>
      <c r="B45" s="16"/>
      <c r="C45" s="24">
        <v>16811000</v>
      </c>
      <c r="D45" s="17">
        <f t="shared" si="4"/>
        <v>8405.5</v>
      </c>
      <c r="E45" s="467">
        <f t="shared" si="5"/>
        <v>19.551069237418005</v>
      </c>
      <c r="F45" s="18"/>
      <c r="G45" s="19">
        <v>17703170</v>
      </c>
      <c r="H45" s="17">
        <f t="shared" si="7"/>
        <v>8851.5849999999991</v>
      </c>
      <c r="I45" s="467">
        <f t="shared" si="6"/>
        <v>20.588656379262464</v>
      </c>
      <c r="J45" s="18"/>
      <c r="K45" s="22"/>
    </row>
    <row r="46" spans="1:23" ht="14">
      <c r="A46" s="15" t="s">
        <v>897</v>
      </c>
      <c r="B46" s="16"/>
      <c r="C46" s="24">
        <v>14797554.763920812</v>
      </c>
      <c r="D46" s="17">
        <f t="shared" si="4"/>
        <v>7398.7773819604063</v>
      </c>
      <c r="E46" s="467">
        <f t="shared" si="5"/>
        <v>17.209447250841734</v>
      </c>
      <c r="F46" s="18"/>
      <c r="G46" s="19">
        <v>15582870</v>
      </c>
      <c r="H46" s="17">
        <f t="shared" si="7"/>
        <v>7791.4350000000004</v>
      </c>
      <c r="I46" s="467">
        <f t="shared" si="6"/>
        <v>18.122763088911064</v>
      </c>
      <c r="J46" s="18"/>
      <c r="K46" s="22"/>
    </row>
    <row r="47" spans="1:23" ht="14">
      <c r="A47" s="15" t="s">
        <v>898</v>
      </c>
      <c r="B47" s="16"/>
      <c r="C47" s="24">
        <v>14075990</v>
      </c>
      <c r="D47" s="17">
        <f t="shared" si="4"/>
        <v>7037.9949999999999</v>
      </c>
      <c r="E47" s="467">
        <f t="shared" si="5"/>
        <v>16.370272742561625</v>
      </c>
      <c r="F47" s="18"/>
      <c r="G47" s="19">
        <v>14974460</v>
      </c>
      <c r="H47" s="17">
        <f t="shared" si="7"/>
        <v>7487.23</v>
      </c>
      <c r="I47" s="467">
        <f t="shared" si="6"/>
        <v>17.415186738025483</v>
      </c>
      <c r="J47" s="18"/>
      <c r="K47" s="22"/>
    </row>
    <row r="48" spans="1:23" ht="14">
      <c r="A48" s="15" t="s">
        <v>899</v>
      </c>
      <c r="B48" s="16"/>
      <c r="C48" s="24">
        <v>13243490</v>
      </c>
      <c r="D48" s="17">
        <f t="shared" si="4"/>
        <v>6621.7449999999999</v>
      </c>
      <c r="E48" s="467">
        <f t="shared" si="5"/>
        <v>15.40208137142662</v>
      </c>
      <c r="F48" s="18"/>
      <c r="G48" s="19">
        <v>14164160</v>
      </c>
      <c r="H48" s="17">
        <f t="shared" si="7"/>
        <v>7082.08</v>
      </c>
      <c r="I48" s="467">
        <f t="shared" si="6"/>
        <v>16.472813803454081</v>
      </c>
      <c r="J48" s="18"/>
      <c r="K48" s="22"/>
    </row>
    <row r="49" spans="1:11" ht="14">
      <c r="A49" s="15" t="s">
        <v>968</v>
      </c>
      <c r="B49" s="16"/>
      <c r="C49" s="24">
        <v>12947318</v>
      </c>
      <c r="D49" s="17">
        <f t="shared" si="4"/>
        <v>6473.6589999999997</v>
      </c>
      <c r="E49" s="467">
        <f t="shared" si="5"/>
        <v>15.057635515844886</v>
      </c>
      <c r="F49" s="18"/>
      <c r="G49" s="19">
        <v>14062678</v>
      </c>
      <c r="H49" s="17">
        <f t="shared" si="7"/>
        <v>7031.3389999999999</v>
      </c>
      <c r="I49" s="467">
        <f t="shared" si="6"/>
        <v>16.354790984564566</v>
      </c>
      <c r="J49" s="18"/>
      <c r="K49" s="22"/>
    </row>
    <row r="50" spans="1:11" ht="14">
      <c r="A50" s="15" t="s">
        <v>969</v>
      </c>
      <c r="B50" s="16"/>
      <c r="C50" s="24">
        <v>25370000</v>
      </c>
      <c r="D50" s="17">
        <f t="shared" si="4"/>
        <v>12685</v>
      </c>
      <c r="E50" s="467">
        <f t="shared" si="5"/>
        <v>29.505123226060004</v>
      </c>
      <c r="F50" s="18"/>
      <c r="G50" s="19">
        <v>26920000</v>
      </c>
      <c r="H50" s="17">
        <f t="shared" si="7"/>
        <v>13460</v>
      </c>
      <c r="I50" s="467">
        <f t="shared" si="6"/>
        <v>31.307761814960006</v>
      </c>
      <c r="J50" s="18"/>
      <c r="K50" s="22"/>
    </row>
    <row r="51" spans="1:11">
      <c r="A51" s="1599" t="s">
        <v>317</v>
      </c>
      <c r="B51" s="1600"/>
      <c r="C51" s="1600"/>
      <c r="D51" s="1600"/>
      <c r="E51" s="1600"/>
      <c r="F51" s="1600"/>
      <c r="G51" s="1600"/>
      <c r="H51" s="1600"/>
      <c r="I51" s="1600"/>
      <c r="J51" s="1600"/>
      <c r="K51" s="1601"/>
    </row>
    <row r="52" spans="1:11">
      <c r="A52" s="1596" t="s">
        <v>900</v>
      </c>
      <c r="B52" s="1597"/>
      <c r="C52" s="1597"/>
      <c r="D52" s="1597"/>
      <c r="E52" s="1597"/>
      <c r="F52" s="1597"/>
      <c r="G52" s="1597"/>
      <c r="H52" s="1597"/>
      <c r="I52" s="1597"/>
      <c r="J52" s="1597"/>
      <c r="K52" s="1598"/>
    </row>
    <row r="53" spans="1:11">
      <c r="A53" s="1604" t="s">
        <v>901</v>
      </c>
      <c r="B53" s="1605"/>
      <c r="C53" s="1605"/>
      <c r="D53" s="1605"/>
      <c r="E53" s="1605"/>
      <c r="F53" s="1605"/>
      <c r="G53" s="1605"/>
      <c r="H53" s="1605"/>
      <c r="I53" s="1605"/>
      <c r="J53" s="1605"/>
      <c r="K53" s="1606"/>
    </row>
    <row r="54" spans="1:11">
      <c r="A54" s="1604" t="s">
        <v>902</v>
      </c>
      <c r="B54" s="1605"/>
      <c r="C54" s="1605"/>
      <c r="D54" s="1605"/>
      <c r="E54" s="1605"/>
      <c r="F54" s="1605"/>
      <c r="G54" s="1605"/>
      <c r="H54" s="1605"/>
      <c r="I54" s="1605"/>
      <c r="J54" s="1605"/>
      <c r="K54" s="1606"/>
    </row>
    <row r="55" spans="1:11">
      <c r="A55" s="1604" t="s">
        <v>903</v>
      </c>
      <c r="B55" s="1605"/>
      <c r="C55" s="1605"/>
      <c r="D55" s="1605"/>
      <c r="E55" s="1605"/>
      <c r="F55" s="1605"/>
      <c r="G55" s="1605"/>
      <c r="H55" s="1605"/>
      <c r="I55" s="1605"/>
      <c r="J55" s="1605"/>
      <c r="K55" s="1606"/>
    </row>
    <row r="56" spans="1:11">
      <c r="A56" s="1611" t="s">
        <v>318</v>
      </c>
      <c r="B56" s="1612"/>
      <c r="C56" s="1612"/>
      <c r="D56" s="1612"/>
      <c r="E56" s="1612"/>
      <c r="F56" s="1612"/>
      <c r="G56" s="1612"/>
      <c r="H56" s="1612"/>
      <c r="I56" s="1612"/>
      <c r="J56" s="1612"/>
      <c r="K56" s="1613"/>
    </row>
    <row r="57" spans="1:11">
      <c r="A57" s="1604" t="s">
        <v>319</v>
      </c>
      <c r="B57" s="1605"/>
      <c r="C57" s="1605"/>
      <c r="D57" s="1605"/>
      <c r="E57" s="1605"/>
      <c r="F57" s="1605"/>
      <c r="G57" s="1605"/>
      <c r="H57" s="1605"/>
      <c r="I57" s="1605"/>
      <c r="J57" s="1605"/>
      <c r="K57" s="1606"/>
    </row>
    <row r="58" spans="1:11">
      <c r="A58" s="1604" t="s">
        <v>904</v>
      </c>
      <c r="B58" s="1605"/>
      <c r="C58" s="1605"/>
      <c r="D58" s="1605"/>
      <c r="E58" s="1605"/>
      <c r="F58" s="1605"/>
      <c r="G58" s="1605"/>
      <c r="H58" s="1605"/>
      <c r="I58" s="1605"/>
      <c r="J58" s="1605"/>
      <c r="K58" s="1606"/>
    </row>
    <row r="59" spans="1:11">
      <c r="A59" s="1604" t="s">
        <v>905</v>
      </c>
      <c r="B59" s="1605"/>
      <c r="C59" s="1605"/>
      <c r="D59" s="1605"/>
      <c r="E59" s="1605"/>
      <c r="F59" s="1605"/>
      <c r="G59" s="1605"/>
      <c r="H59" s="1605"/>
      <c r="I59" s="1605"/>
      <c r="J59" s="1605"/>
      <c r="K59" s="1606"/>
    </row>
    <row r="60" spans="1:11">
      <c r="A60" s="25"/>
      <c r="B60" s="26"/>
      <c r="C60" s="26"/>
      <c r="D60" s="26"/>
      <c r="E60" s="26"/>
      <c r="F60" s="26"/>
      <c r="G60" s="26"/>
      <c r="H60" s="26"/>
      <c r="I60" s="26"/>
      <c r="J60" s="26"/>
      <c r="K60" s="27"/>
    </row>
    <row r="61" spans="1:11">
      <c r="A61" s="1604" t="s">
        <v>320</v>
      </c>
      <c r="B61" s="1605"/>
      <c r="C61" s="1605"/>
      <c r="D61" s="1605"/>
      <c r="E61" s="1605"/>
      <c r="F61" s="1605"/>
      <c r="G61" s="1605"/>
      <c r="H61" s="1605"/>
      <c r="I61" s="1605"/>
      <c r="J61" s="1605"/>
      <c r="K61" s="1606"/>
    </row>
    <row r="62" spans="1:11" ht="14" thickBot="1">
      <c r="A62" s="1619" t="s">
        <v>970</v>
      </c>
      <c r="B62" s="1620"/>
      <c r="C62" s="1620"/>
      <c r="D62" s="1620"/>
      <c r="E62" s="1620"/>
      <c r="F62" s="1620"/>
      <c r="G62" s="1620"/>
      <c r="H62" s="1620"/>
      <c r="I62" s="1620"/>
      <c r="J62" s="1620"/>
      <c r="K62" s="1621"/>
    </row>
    <row r="63" spans="1:11">
      <c r="A63" s="465"/>
      <c r="B63" s="466"/>
      <c r="C63" s="466"/>
      <c r="D63" s="466"/>
      <c r="E63" s="466"/>
      <c r="F63" s="466"/>
      <c r="G63" s="466"/>
      <c r="H63" s="466"/>
      <c r="I63" s="466"/>
      <c r="J63" s="466"/>
      <c r="K63" s="466"/>
    </row>
    <row r="64" spans="1:11">
      <c r="A64" s="465"/>
      <c r="B64" s="466"/>
      <c r="C64" s="466"/>
      <c r="D64" s="466"/>
      <c r="E64" s="466"/>
      <c r="F64" s="466"/>
      <c r="G64" s="466"/>
      <c r="H64" s="466"/>
      <c r="I64" s="466"/>
      <c r="J64" s="466"/>
      <c r="K64" s="466"/>
    </row>
    <row r="65" spans="1:14">
      <c r="A65" s="465"/>
      <c r="B65" s="466"/>
      <c r="C65" s="466"/>
      <c r="D65" s="466"/>
      <c r="E65" s="466"/>
      <c r="F65" s="466"/>
      <c r="G65" s="466"/>
      <c r="H65" s="466"/>
      <c r="I65" s="466"/>
      <c r="J65" s="466"/>
      <c r="K65" s="466"/>
    </row>
    <row r="66" spans="1:14">
      <c r="A66" s="465"/>
      <c r="B66" s="466"/>
      <c r="C66" s="466"/>
      <c r="D66" s="466"/>
      <c r="E66" s="466"/>
      <c r="F66" s="466"/>
      <c r="G66" s="466"/>
      <c r="H66" s="466"/>
      <c r="I66" s="466"/>
      <c r="J66" s="466"/>
      <c r="K66" s="466"/>
    </row>
    <row r="68" spans="1:14" ht="14" thickBot="1"/>
    <row r="69" spans="1:14" ht="43.5" customHeight="1" thickTop="1" thickBot="1">
      <c r="A69" s="340" t="s">
        <v>1080</v>
      </c>
      <c r="B69" s="341"/>
      <c r="C69" s="341"/>
      <c r="D69" s="341"/>
      <c r="E69" s="341"/>
      <c r="F69" s="341"/>
      <c r="G69" s="341"/>
      <c r="H69" s="341"/>
      <c r="I69" s="341"/>
      <c r="J69" s="341"/>
      <c r="K69" s="342"/>
      <c r="L69" s="342"/>
      <c r="M69" s="555"/>
      <c r="N69" s="47"/>
    </row>
    <row r="70" spans="1:14" ht="61" thickTop="1">
      <c r="A70" s="556" t="s">
        <v>1087</v>
      </c>
      <c r="B70" s="557" t="s">
        <v>1028</v>
      </c>
      <c r="C70" s="558" t="s">
        <v>1037</v>
      </c>
      <c r="D70" s="558" t="s">
        <v>1038</v>
      </c>
      <c r="E70" s="557" t="s">
        <v>190</v>
      </c>
      <c r="F70" s="557" t="s">
        <v>1036</v>
      </c>
      <c r="G70" s="559" t="s">
        <v>1035</v>
      </c>
      <c r="H70" s="560" t="s">
        <v>267</v>
      </c>
      <c r="I70" s="557" t="s">
        <v>701</v>
      </c>
      <c r="J70" s="557" t="s">
        <v>1053</v>
      </c>
      <c r="K70" s="561" t="s">
        <v>700</v>
      </c>
      <c r="L70" s="561" t="s">
        <v>928</v>
      </c>
      <c r="M70" s="556" t="s">
        <v>531</v>
      </c>
      <c r="N70" s="562" t="s">
        <v>532</v>
      </c>
    </row>
    <row r="71" spans="1:14" ht="42">
      <c r="A71" s="753" t="s">
        <v>1082</v>
      </c>
      <c r="B71" s="567" t="s">
        <v>862</v>
      </c>
      <c r="C71" s="754" t="s">
        <v>697</v>
      </c>
      <c r="D71" s="567">
        <v>2007</v>
      </c>
      <c r="E71" s="755" t="s">
        <v>698</v>
      </c>
      <c r="F71" s="568"/>
      <c r="G71" s="567"/>
      <c r="H71" s="755" t="s">
        <v>861</v>
      </c>
      <c r="I71" s="719">
        <f>mmBTU_to_GJ</f>
        <v>1.0549999999999999</v>
      </c>
      <c r="J71" s="563" t="s">
        <v>1055</v>
      </c>
      <c r="K71" s="564">
        <v>56.31533863997597</v>
      </c>
      <c r="L71" s="564" t="s">
        <v>929</v>
      </c>
      <c r="M71" s="565"/>
      <c r="N71" s="566"/>
    </row>
    <row r="72" spans="1:14" ht="42">
      <c r="A72" s="753" t="s">
        <v>283</v>
      </c>
      <c r="B72" s="567" t="s">
        <v>862</v>
      </c>
      <c r="C72" s="754" t="s">
        <v>697</v>
      </c>
      <c r="D72" s="567">
        <v>2007</v>
      </c>
      <c r="E72" s="755" t="s">
        <v>698</v>
      </c>
      <c r="F72" s="568"/>
      <c r="G72" s="567"/>
      <c r="H72" s="755" t="s">
        <v>861</v>
      </c>
      <c r="I72" s="719">
        <f>mmBTU_to_GJ</f>
        <v>1.0549999999999999</v>
      </c>
      <c r="J72" s="563" t="s">
        <v>1055</v>
      </c>
      <c r="K72" s="564">
        <v>56.31533863997597</v>
      </c>
      <c r="L72" s="564" t="s">
        <v>929</v>
      </c>
      <c r="M72" s="565"/>
      <c r="N72" s="566"/>
    </row>
    <row r="73" spans="1:14" ht="42">
      <c r="A73" s="753" t="s">
        <v>679</v>
      </c>
      <c r="B73" s="567" t="s">
        <v>862</v>
      </c>
      <c r="C73" s="754" t="s">
        <v>697</v>
      </c>
      <c r="D73" s="567">
        <v>2007</v>
      </c>
      <c r="E73" s="755" t="s">
        <v>698</v>
      </c>
      <c r="F73" s="568"/>
      <c r="G73" s="567"/>
      <c r="H73" s="755" t="s">
        <v>861</v>
      </c>
      <c r="I73" s="719">
        <f>mmBTU_to_GJ</f>
        <v>1.0549999999999999</v>
      </c>
      <c r="J73" s="563" t="s">
        <v>1055</v>
      </c>
      <c r="K73" s="564">
        <v>56.31533863997597</v>
      </c>
      <c r="L73" s="564" t="s">
        <v>929</v>
      </c>
      <c r="M73" s="565"/>
      <c r="N73" s="566"/>
    </row>
    <row r="74" spans="1:14" ht="42">
      <c r="A74" s="753" t="s">
        <v>1083</v>
      </c>
      <c r="B74" s="567" t="s">
        <v>862</v>
      </c>
      <c r="C74" s="754" t="s">
        <v>697</v>
      </c>
      <c r="D74" s="567">
        <v>2007</v>
      </c>
      <c r="E74" s="755" t="s">
        <v>698</v>
      </c>
      <c r="F74" s="568"/>
      <c r="G74" s="567"/>
      <c r="H74" s="755" t="s">
        <v>861</v>
      </c>
      <c r="I74" s="719">
        <f>mmBTU_to_GJ</f>
        <v>1.0549999999999999</v>
      </c>
      <c r="J74" s="563" t="s">
        <v>1055</v>
      </c>
      <c r="K74" s="564">
        <v>56.31533863997597</v>
      </c>
      <c r="L74" s="564" t="s">
        <v>929</v>
      </c>
      <c r="M74" s="565"/>
      <c r="N74" s="566"/>
    </row>
    <row r="75" spans="1:14" ht="28">
      <c r="A75" s="753" t="s">
        <v>680</v>
      </c>
      <c r="B75" s="567"/>
      <c r="C75" s="754" t="s">
        <v>697</v>
      </c>
      <c r="D75" s="567">
        <v>2007</v>
      </c>
      <c r="E75" s="755" t="s">
        <v>698</v>
      </c>
      <c r="F75" s="568"/>
      <c r="G75" s="567"/>
      <c r="H75" s="755" t="s">
        <v>861</v>
      </c>
      <c r="I75" s="719">
        <f>mmBTU_to_GJ</f>
        <v>1.0549999999999999</v>
      </c>
      <c r="J75" s="563" t="s">
        <v>1055</v>
      </c>
      <c r="K75" s="564">
        <v>56.31533863997597</v>
      </c>
      <c r="L75" s="564" t="s">
        <v>929</v>
      </c>
      <c r="M75" s="565"/>
      <c r="N75" s="566"/>
    </row>
    <row r="76" spans="1:14" ht="42">
      <c r="A76" s="753" t="s">
        <v>681</v>
      </c>
      <c r="B76" s="567" t="s">
        <v>862</v>
      </c>
      <c r="C76" s="754" t="s">
        <v>697</v>
      </c>
      <c r="D76" s="567">
        <v>2007</v>
      </c>
      <c r="E76" s="755" t="s">
        <v>699</v>
      </c>
      <c r="F76" s="567"/>
      <c r="G76" s="567"/>
      <c r="H76" s="563" t="s">
        <v>296</v>
      </c>
      <c r="I76" s="719">
        <f>1/MJ_to_kWh/1000</f>
        <v>3.5999999999999995E-3</v>
      </c>
      <c r="J76" s="563" t="s">
        <v>1068</v>
      </c>
      <c r="K76" s="564">
        <v>0</v>
      </c>
      <c r="L76" s="564" t="s">
        <v>929</v>
      </c>
      <c r="M76" s="565"/>
      <c r="N76" s="566"/>
    </row>
    <row r="77" spans="1:14" ht="42">
      <c r="A77" s="753" t="s">
        <v>696</v>
      </c>
      <c r="B77" s="567" t="s">
        <v>862</v>
      </c>
      <c r="C77" s="754" t="s">
        <v>697</v>
      </c>
      <c r="D77" s="567">
        <v>2007</v>
      </c>
      <c r="E77" s="755" t="s">
        <v>699</v>
      </c>
      <c r="F77" s="567"/>
      <c r="G77" s="567"/>
      <c r="H77" s="563" t="s">
        <v>296</v>
      </c>
      <c r="I77" s="719">
        <f>1/MJ_to_kWh/1000</f>
        <v>3.5999999999999995E-3</v>
      </c>
      <c r="J77" s="563" t="s">
        <v>1068</v>
      </c>
      <c r="K77" s="564">
        <v>0</v>
      </c>
      <c r="L77" s="564" t="s">
        <v>929</v>
      </c>
      <c r="M77" s="565"/>
      <c r="N77" s="566"/>
    </row>
    <row r="78" spans="1:14" ht="42">
      <c r="A78" s="753" t="s">
        <v>682</v>
      </c>
      <c r="B78" s="567" t="s">
        <v>862</v>
      </c>
      <c r="C78" s="754" t="s">
        <v>697</v>
      </c>
      <c r="D78" s="567">
        <v>2007</v>
      </c>
      <c r="E78" s="755" t="s">
        <v>699</v>
      </c>
      <c r="F78" s="567"/>
      <c r="G78" s="567"/>
      <c r="H78" s="563" t="s">
        <v>296</v>
      </c>
      <c r="I78" s="719">
        <f>1/MJ_to_kWh/1000</f>
        <v>3.5999999999999995E-3</v>
      </c>
      <c r="J78" s="563" t="s">
        <v>1068</v>
      </c>
      <c r="K78" s="564">
        <v>0</v>
      </c>
      <c r="L78" s="564" t="s">
        <v>929</v>
      </c>
      <c r="M78" s="565"/>
      <c r="N78" s="566"/>
    </row>
    <row r="79" spans="1:14" ht="42">
      <c r="A79" s="753" t="s">
        <v>1084</v>
      </c>
      <c r="B79" s="567" t="s">
        <v>862</v>
      </c>
      <c r="C79" s="754" t="s">
        <v>697</v>
      </c>
      <c r="D79" s="567">
        <v>2007</v>
      </c>
      <c r="E79" s="755" t="s">
        <v>698</v>
      </c>
      <c r="F79" s="568"/>
      <c r="G79" s="567"/>
      <c r="H79" s="563" t="s">
        <v>268</v>
      </c>
      <c r="I79" s="719">
        <f>$C$42/2000/lb_to_kg/1000000*mmBTU_to_GJ</f>
        <v>2.2735034516249999E-2</v>
      </c>
      <c r="J79" s="563" t="s">
        <v>1049</v>
      </c>
      <c r="K79" s="564">
        <v>102.75287348239476</v>
      </c>
      <c r="L79" s="564" t="s">
        <v>929</v>
      </c>
      <c r="M79" s="565"/>
      <c r="N79" s="566"/>
    </row>
    <row r="80" spans="1:14" ht="42">
      <c r="A80" s="753" t="s">
        <v>714</v>
      </c>
      <c r="B80" s="567" t="s">
        <v>862</v>
      </c>
      <c r="C80" s="754" t="s">
        <v>697</v>
      </c>
      <c r="D80" s="567">
        <v>2007</v>
      </c>
      <c r="E80" s="755" t="s">
        <v>698</v>
      </c>
      <c r="F80" s="568"/>
      <c r="G80" s="567"/>
      <c r="H80" s="563" t="s">
        <v>268</v>
      </c>
      <c r="I80" s="719">
        <f>$C$42/2000/lb_to_kg/1000000*mmBTU_to_GJ</f>
        <v>2.2735034516249999E-2</v>
      </c>
      <c r="J80" s="563" t="s">
        <v>1049</v>
      </c>
      <c r="K80" s="564">
        <v>102.75287348239476</v>
      </c>
      <c r="L80" s="564" t="s">
        <v>929</v>
      </c>
      <c r="M80" s="565"/>
      <c r="N80" s="566"/>
    </row>
    <row r="81" spans="1:14" ht="42">
      <c r="A81" s="753" t="s">
        <v>715</v>
      </c>
      <c r="B81" s="567" t="s">
        <v>862</v>
      </c>
      <c r="C81" s="754" t="s">
        <v>697</v>
      </c>
      <c r="D81" s="567">
        <v>2007</v>
      </c>
      <c r="E81" s="755" t="s">
        <v>698</v>
      </c>
      <c r="F81" s="568"/>
      <c r="G81" s="567"/>
      <c r="H81" s="563" t="s">
        <v>268</v>
      </c>
      <c r="I81" s="719">
        <f>$C$42/2000/lb_to_kg/1000000*mmBTU_to_GJ</f>
        <v>2.2735034516249999E-2</v>
      </c>
      <c r="J81" s="563" t="s">
        <v>1049</v>
      </c>
      <c r="K81" s="564">
        <v>102.75287348239476</v>
      </c>
      <c r="L81" s="564" t="s">
        <v>929</v>
      </c>
      <c r="M81" s="565"/>
      <c r="N81" s="566"/>
    </row>
    <row r="82" spans="1:14" ht="42">
      <c r="A82" s="753" t="s">
        <v>909</v>
      </c>
      <c r="B82" s="567" t="s">
        <v>862</v>
      </c>
      <c r="C82" s="754" t="s">
        <v>697</v>
      </c>
      <c r="D82" s="567">
        <v>2007</v>
      </c>
      <c r="E82" s="755" t="s">
        <v>698</v>
      </c>
      <c r="F82" s="568"/>
      <c r="G82" s="567"/>
      <c r="H82" s="563" t="s">
        <v>269</v>
      </c>
      <c r="I82" s="719">
        <f>$C$14/gal_to_liters*mmBTU_to_GJ/1000000</f>
        <v>3.5803104359313075E-2</v>
      </c>
      <c r="J82" s="563" t="s">
        <v>1055</v>
      </c>
      <c r="K82" s="564">
        <v>74.122324937568308</v>
      </c>
      <c r="L82" s="564" t="s">
        <v>929</v>
      </c>
      <c r="M82" s="565"/>
      <c r="N82" s="566"/>
    </row>
    <row r="83" spans="1:14" ht="42">
      <c r="A83" s="753" t="s">
        <v>907</v>
      </c>
      <c r="B83" s="567" t="s">
        <v>862</v>
      </c>
      <c r="C83" s="754" t="s">
        <v>697</v>
      </c>
      <c r="D83" s="567">
        <v>2007</v>
      </c>
      <c r="E83" s="755" t="s">
        <v>698</v>
      </c>
      <c r="F83" s="568"/>
      <c r="G83" s="567"/>
      <c r="H83" s="563" t="s">
        <v>269</v>
      </c>
      <c r="I83" s="719">
        <f>$Q$14/gal_to_liters*mmBTU_to_GJ/1000000</f>
        <v>2.4157130779392338E-2</v>
      </c>
      <c r="J83" s="563" t="s">
        <v>1049</v>
      </c>
      <c r="K83" s="564">
        <v>71.019041167591709</v>
      </c>
      <c r="L83" s="564" t="s">
        <v>929</v>
      </c>
      <c r="M83" s="565"/>
      <c r="N83" s="566"/>
    </row>
    <row r="84" spans="1:14" ht="42">
      <c r="A84" s="753" t="s">
        <v>910</v>
      </c>
      <c r="B84" s="567" t="s">
        <v>862</v>
      </c>
      <c r="C84" s="754" t="s">
        <v>697</v>
      </c>
      <c r="D84" s="567">
        <v>2007</v>
      </c>
      <c r="E84" s="755" t="s">
        <v>698</v>
      </c>
      <c r="F84" s="568"/>
      <c r="G84" s="567"/>
      <c r="H84" s="563" t="s">
        <v>269</v>
      </c>
      <c r="I84" s="719">
        <f>$C$11/gal_to_liters*mmBTU_to_GJ/1000000</f>
        <v>3.2357978863936591E-2</v>
      </c>
      <c r="J84" s="563" t="s">
        <v>1049</v>
      </c>
      <c r="K84" s="564">
        <v>72.833307273582633</v>
      </c>
      <c r="L84" s="564" t="s">
        <v>929</v>
      </c>
      <c r="M84" s="565"/>
      <c r="N84" s="566"/>
    </row>
    <row r="85" spans="1:14" ht="306">
      <c r="A85" s="753" t="s">
        <v>1078</v>
      </c>
      <c r="B85" s="567" t="s">
        <v>435</v>
      </c>
      <c r="C85" s="754" t="s">
        <v>697</v>
      </c>
      <c r="D85" s="567">
        <v>2007</v>
      </c>
      <c r="E85" s="755" t="s">
        <v>699</v>
      </c>
      <c r="F85" s="568"/>
      <c r="G85" s="567"/>
      <c r="H85" s="563" t="s">
        <v>268</v>
      </c>
      <c r="I85" s="719">
        <f>$E$45/1000</f>
        <v>1.9551069237418006E-2</v>
      </c>
      <c r="J85" s="563" t="s">
        <v>1049</v>
      </c>
      <c r="K85" s="564">
        <v>97.876597052612851</v>
      </c>
      <c r="L85" s="564" t="s">
        <v>929</v>
      </c>
      <c r="M85" s="565"/>
      <c r="N85" s="566"/>
    </row>
    <row r="86" spans="1:14" ht="14">
      <c r="A86" s="753" t="s">
        <v>813</v>
      </c>
      <c r="B86" s="567"/>
      <c r="C86" s="754"/>
      <c r="D86" s="567"/>
      <c r="E86" s="755" t="s">
        <v>699</v>
      </c>
      <c r="F86" s="568"/>
      <c r="G86" s="567"/>
      <c r="H86" s="563" t="s">
        <v>268</v>
      </c>
      <c r="I86" s="719">
        <f>$E$45/1000</f>
        <v>1.9551069237418006E-2</v>
      </c>
      <c r="J86" s="563" t="s">
        <v>1049</v>
      </c>
      <c r="K86" s="564">
        <v>97.876597052612851</v>
      </c>
      <c r="L86" s="564" t="s">
        <v>929</v>
      </c>
      <c r="M86" s="565"/>
      <c r="N86" s="566"/>
    </row>
    <row r="87" spans="1:14" ht="84">
      <c r="A87" s="753" t="s">
        <v>822</v>
      </c>
      <c r="B87" s="754" t="s">
        <v>829</v>
      </c>
      <c r="C87" s="754"/>
      <c r="D87" s="567"/>
      <c r="E87" s="755" t="s">
        <v>699</v>
      </c>
      <c r="F87" s="568"/>
      <c r="G87" s="567"/>
      <c r="H87" s="563" t="s">
        <v>268</v>
      </c>
      <c r="I87" s="719">
        <f>18.608/1000</f>
        <v>1.8608E-2</v>
      </c>
      <c r="J87" s="563" t="s">
        <v>1049</v>
      </c>
      <c r="K87" s="564">
        <v>97.876597052612851</v>
      </c>
      <c r="L87" s="564" t="s">
        <v>929</v>
      </c>
      <c r="M87" s="565"/>
      <c r="N87" s="566"/>
    </row>
    <row r="88" spans="1:14" ht="84">
      <c r="A88" s="753" t="s">
        <v>1085</v>
      </c>
      <c r="B88" s="567" t="s">
        <v>1086</v>
      </c>
      <c r="C88" s="754" t="s">
        <v>697</v>
      </c>
      <c r="D88" s="567">
        <v>2007</v>
      </c>
      <c r="E88" s="755" t="s">
        <v>699</v>
      </c>
      <c r="F88" s="568"/>
      <c r="G88" s="567"/>
      <c r="H88" s="563" t="s">
        <v>268</v>
      </c>
      <c r="I88" s="719">
        <v>2.8300000000000001E-3</v>
      </c>
      <c r="J88" s="563" t="s">
        <v>1068</v>
      </c>
      <c r="K88" s="564">
        <v>0</v>
      </c>
      <c r="L88" s="564" t="s">
        <v>929</v>
      </c>
      <c r="M88" s="565"/>
      <c r="N88" s="566"/>
    </row>
    <row r="90" spans="1:14" ht="14" thickBot="1"/>
    <row r="91" spans="1:14" ht="33.75" customHeight="1" thickTop="1">
      <c r="A91" s="1602" t="s">
        <v>989</v>
      </c>
      <c r="B91" s="1603"/>
      <c r="D91" s="1602" t="s">
        <v>683</v>
      </c>
      <c r="E91" s="1603"/>
      <c r="G91" s="1602" t="s">
        <v>684</v>
      </c>
      <c r="H91" s="1603"/>
      <c r="K91" s="1622" t="s">
        <v>686</v>
      </c>
      <c r="L91" s="1623"/>
    </row>
    <row r="92" spans="1:14" ht="41.25" customHeight="1" thickBot="1">
      <c r="A92" s="1006" t="s">
        <v>1097</v>
      </c>
      <c r="B92" s="832"/>
      <c r="D92" s="1614" t="s">
        <v>685</v>
      </c>
      <c r="E92" s="1615"/>
      <c r="G92" s="1006" t="s">
        <v>1098</v>
      </c>
      <c r="H92" s="832"/>
      <c r="K92" s="1614" t="s">
        <v>687</v>
      </c>
      <c r="L92" s="1615"/>
      <c r="N92" s="1056"/>
    </row>
    <row r="93" spans="1:14" ht="14">
      <c r="A93" s="30" t="s">
        <v>1081</v>
      </c>
      <c r="B93" s="31" t="s">
        <v>1089</v>
      </c>
      <c r="D93" s="30" t="s">
        <v>1081</v>
      </c>
      <c r="E93" s="31" t="s">
        <v>1089</v>
      </c>
      <c r="G93" s="30" t="s">
        <v>1081</v>
      </c>
      <c r="H93" s="31" t="s">
        <v>1089</v>
      </c>
      <c r="K93" s="30" t="s">
        <v>1081</v>
      </c>
      <c r="L93" s="31" t="s">
        <v>1089</v>
      </c>
    </row>
    <row r="94" spans="1:14">
      <c r="A94" s="830">
        <v>1992</v>
      </c>
      <c r="B94" s="831">
        <v>70.800676680058203</v>
      </c>
      <c r="C94" s="731"/>
      <c r="D94" s="1007">
        <v>1992</v>
      </c>
      <c r="E94" s="1008">
        <v>358.2</v>
      </c>
      <c r="F94" s="1058"/>
      <c r="G94" s="1007">
        <v>1992</v>
      </c>
      <c r="H94" s="1009">
        <v>13.7</v>
      </c>
      <c r="K94" s="1007">
        <v>1992</v>
      </c>
      <c r="L94" s="1010">
        <v>80.280791320995533</v>
      </c>
    </row>
    <row r="95" spans="1:14">
      <c r="A95" s="830">
        <v>1993</v>
      </c>
      <c r="B95" s="831">
        <v>72.480274460589698</v>
      </c>
      <c r="D95" s="1007">
        <v>1993</v>
      </c>
      <c r="E95" s="1008">
        <v>359.2</v>
      </c>
      <c r="F95" s="1058"/>
      <c r="G95" s="1007">
        <v>1993</v>
      </c>
      <c r="H95" s="1009">
        <v>13.97</v>
      </c>
      <c r="K95" s="1007">
        <v>1993</v>
      </c>
      <c r="L95" s="1010">
        <v>81.174218251435875</v>
      </c>
    </row>
    <row r="96" spans="1:14">
      <c r="A96" s="830">
        <v>1994</v>
      </c>
      <c r="B96" s="831">
        <v>74.02700932145197</v>
      </c>
      <c r="D96" s="1007">
        <v>1994</v>
      </c>
      <c r="E96" s="1008">
        <v>368.1</v>
      </c>
      <c r="F96" s="1058"/>
      <c r="G96" s="1007">
        <v>1994</v>
      </c>
      <c r="H96" s="1009">
        <v>14.33</v>
      </c>
      <c r="K96" s="1007">
        <v>1994</v>
      </c>
      <c r="L96" s="1010">
        <v>82.961072112316543</v>
      </c>
    </row>
    <row r="97" spans="1:15">
      <c r="A97" s="830">
        <v>1995</v>
      </c>
      <c r="B97" s="831">
        <v>75.581637029027263</v>
      </c>
      <c r="D97" s="1007">
        <v>1995</v>
      </c>
      <c r="E97" s="1008">
        <v>381.1</v>
      </c>
      <c r="F97" s="1058"/>
      <c r="G97" s="1007">
        <v>1995</v>
      </c>
      <c r="H97" s="1009">
        <v>14.86</v>
      </c>
      <c r="K97" s="1007">
        <v>1995</v>
      </c>
      <c r="L97" s="1010">
        <v>91.512444160816855</v>
      </c>
    </row>
    <row r="98" spans="1:15">
      <c r="A98" s="830">
        <v>1996</v>
      </c>
      <c r="B98" s="831">
        <v>76.96367448847775</v>
      </c>
      <c r="D98" s="1007">
        <v>1996</v>
      </c>
      <c r="E98" s="1008">
        <v>381.7</v>
      </c>
      <c r="F98" s="1058"/>
      <c r="G98" s="1007">
        <v>1996</v>
      </c>
      <c r="H98" s="1009">
        <v>15.37</v>
      </c>
      <c r="K98" s="1007">
        <v>1996</v>
      </c>
      <c r="L98" s="1010">
        <v>93.044033184428855</v>
      </c>
    </row>
    <row r="99" spans="1:15">
      <c r="A99" s="830">
        <v>1997</v>
      </c>
      <c r="B99" s="831">
        <v>78.291514400498826</v>
      </c>
      <c r="D99" s="1007">
        <v>1997</v>
      </c>
      <c r="E99" s="1008">
        <v>386.5</v>
      </c>
      <c r="F99" s="1058"/>
      <c r="G99" s="1007">
        <v>1997</v>
      </c>
      <c r="H99" s="1009">
        <v>15.78</v>
      </c>
      <c r="K99" s="1007">
        <v>1997</v>
      </c>
      <c r="L99" s="1010">
        <v>93.873643905552015</v>
      </c>
      <c r="M99" s="1058"/>
    </row>
    <row r="100" spans="1:15">
      <c r="A100" s="830">
        <v>1998</v>
      </c>
      <c r="B100" s="831">
        <v>79.172882283453163</v>
      </c>
      <c r="D100" s="1007">
        <v>1998</v>
      </c>
      <c r="E100" s="1008">
        <v>389.5</v>
      </c>
      <c r="F100" s="1058"/>
      <c r="G100" s="1007">
        <v>1998</v>
      </c>
      <c r="H100" s="1009">
        <v>16.23</v>
      </c>
      <c r="K100" s="1007">
        <v>1998</v>
      </c>
      <c r="L100" s="1010">
        <v>94.894703254626677</v>
      </c>
      <c r="M100" s="1058"/>
      <c r="N100" s="1059"/>
      <c r="O100" s="1059"/>
    </row>
    <row r="101" spans="1:15">
      <c r="A101" s="830">
        <v>1999</v>
      </c>
      <c r="B101" s="831">
        <v>80.287352239332165</v>
      </c>
      <c r="D101" s="1007">
        <v>1999</v>
      </c>
      <c r="E101" s="1008">
        <v>390.6</v>
      </c>
      <c r="F101" s="1058"/>
      <c r="G101" s="1007">
        <v>1999</v>
      </c>
      <c r="H101" s="1009">
        <v>16.399999999999999</v>
      </c>
      <c r="K101" s="1007">
        <v>1999</v>
      </c>
      <c r="L101" s="1010">
        <v>95.532865347798349</v>
      </c>
      <c r="M101" s="1058"/>
      <c r="N101" s="1059"/>
      <c r="O101" s="1059"/>
    </row>
    <row r="102" spans="1:15">
      <c r="A102" s="830">
        <v>2000</v>
      </c>
      <c r="B102" s="831">
        <v>82.107442691355487</v>
      </c>
      <c r="D102" s="1007">
        <v>2000</v>
      </c>
      <c r="E102" s="1008">
        <v>394.1</v>
      </c>
      <c r="F102" s="1058"/>
      <c r="G102" s="1007">
        <v>2000</v>
      </c>
      <c r="H102" s="1009">
        <v>17.09</v>
      </c>
      <c r="K102" s="1007">
        <v>2000</v>
      </c>
      <c r="L102" s="1010">
        <v>100</v>
      </c>
      <c r="M102" s="1058"/>
      <c r="N102" s="1059"/>
      <c r="O102" s="1059"/>
    </row>
    <row r="103" spans="1:15">
      <c r="A103" s="830">
        <v>2001</v>
      </c>
      <c r="B103" s="831">
        <v>83.960946194463943</v>
      </c>
      <c r="D103" s="1007">
        <v>2001</v>
      </c>
      <c r="E103" s="1008">
        <v>394.3</v>
      </c>
      <c r="F103" s="1058"/>
      <c r="G103" s="1007">
        <v>2001</v>
      </c>
      <c r="H103" s="1009">
        <v>17.57</v>
      </c>
      <c r="K103" s="1007">
        <v>2001</v>
      </c>
      <c r="L103" s="1010">
        <v>101.08487555839186</v>
      </c>
      <c r="M103" s="1058"/>
      <c r="N103" s="1059"/>
      <c r="O103" s="1059"/>
    </row>
    <row r="104" spans="1:15">
      <c r="A104" s="830">
        <v>2002</v>
      </c>
      <c r="B104" s="831">
        <v>85.268264705031157</v>
      </c>
      <c r="D104" s="1007">
        <v>2002</v>
      </c>
      <c r="E104" s="1008">
        <v>395.6</v>
      </c>
      <c r="F104" s="1058"/>
      <c r="G104" s="1007">
        <v>2002</v>
      </c>
      <c r="H104" s="1009">
        <v>17.97</v>
      </c>
      <c r="K104" s="1007">
        <v>2002</v>
      </c>
      <c r="L104" s="1010">
        <v>100.38289725590302</v>
      </c>
      <c r="M104" s="1058"/>
      <c r="N104" s="1059"/>
      <c r="O104" s="1059"/>
    </row>
    <row r="105" spans="1:15">
      <c r="A105" s="830">
        <v>2003</v>
      </c>
      <c r="B105" s="831">
        <v>86.946283916220068</v>
      </c>
      <c r="D105" s="1007">
        <v>2003</v>
      </c>
      <c r="E105" s="1008">
        <v>402</v>
      </c>
      <c r="F105" s="1058"/>
      <c r="G105" s="1007">
        <v>2003</v>
      </c>
      <c r="H105" s="1009">
        <v>18.5</v>
      </c>
      <c r="K105" s="1007">
        <v>2003</v>
      </c>
      <c r="L105" s="1010">
        <v>105.04148053605616</v>
      </c>
      <c r="M105" s="1058"/>
      <c r="N105" s="1059"/>
      <c r="O105" s="1059"/>
    </row>
    <row r="106" spans="1:15">
      <c r="A106" s="830">
        <v>2004</v>
      </c>
      <c r="B106" s="831">
        <v>89.280198689261255</v>
      </c>
      <c r="D106" s="1007">
        <v>2004</v>
      </c>
      <c r="E106" s="1008">
        <v>444.2</v>
      </c>
      <c r="F106" s="1058"/>
      <c r="G106" s="1007">
        <v>2004</v>
      </c>
      <c r="H106" s="1009">
        <v>19.170000000000002</v>
      </c>
      <c r="K106" s="1007">
        <v>2004</v>
      </c>
      <c r="L106" s="1010">
        <v>110.27440970006384</v>
      </c>
      <c r="M106" s="1058"/>
      <c r="N106" s="1059"/>
      <c r="O106" s="1059"/>
    </row>
    <row r="107" spans="1:15">
      <c r="A107" s="830">
        <v>2005</v>
      </c>
      <c r="B107" s="831">
        <v>92.081633082603915</v>
      </c>
      <c r="D107" s="1007">
        <v>2005</v>
      </c>
      <c r="E107" s="1008">
        <v>468.2</v>
      </c>
      <c r="F107" s="1058"/>
      <c r="G107" s="1007">
        <v>2005</v>
      </c>
      <c r="H107" s="1147">
        <v>19.670000000000002</v>
      </c>
      <c r="K107" s="1007">
        <v>2005</v>
      </c>
      <c r="L107" s="1010">
        <v>119.52776005105299</v>
      </c>
      <c r="M107" s="1058"/>
      <c r="N107" s="1059"/>
      <c r="O107" s="1059"/>
    </row>
    <row r="108" spans="1:15">
      <c r="A108" s="830">
        <v>2006</v>
      </c>
      <c r="B108" s="831">
        <v>94.92568884819687</v>
      </c>
      <c r="D108" s="1007">
        <v>2006</v>
      </c>
      <c r="E108" s="1008">
        <v>499.6</v>
      </c>
      <c r="F108" s="1058"/>
      <c r="G108" s="1007">
        <v>2006</v>
      </c>
      <c r="H108" s="1009">
        <v>19.600000000000001</v>
      </c>
      <c r="K108" s="1007">
        <v>2006</v>
      </c>
      <c r="L108" s="1010">
        <v>125.5902999361838</v>
      </c>
      <c r="M108" s="1058"/>
      <c r="N108" s="1059"/>
      <c r="O108" s="1059"/>
    </row>
    <row r="109" spans="1:15">
      <c r="A109" s="830">
        <v>2007</v>
      </c>
      <c r="B109" s="831">
        <v>97.490337840148811</v>
      </c>
      <c r="D109" s="1007">
        <v>2007</v>
      </c>
      <c r="E109" s="1008">
        <v>525.4</v>
      </c>
      <c r="F109" s="1088"/>
      <c r="G109" s="1007">
        <v>2007</v>
      </c>
      <c r="H109" s="1009">
        <v>19.55</v>
      </c>
      <c r="K109" s="1007">
        <v>2007</v>
      </c>
      <c r="L109" s="1010">
        <v>129.73835354179963</v>
      </c>
      <c r="M109" s="1058"/>
      <c r="N109" s="1059"/>
      <c r="O109" s="1059"/>
    </row>
    <row r="110" spans="1:15">
      <c r="A110" s="830">
        <v>2008</v>
      </c>
      <c r="B110" s="831">
        <v>99.368309168067654</v>
      </c>
      <c r="D110" s="1007">
        <v>2008</v>
      </c>
      <c r="E110" s="1008">
        <v>575.4</v>
      </c>
      <c r="F110" s="1058"/>
      <c r="G110" s="1007">
        <v>2008</v>
      </c>
      <c r="H110" s="1009">
        <v>19.5</v>
      </c>
      <c r="K110" s="1007">
        <v>2008</v>
      </c>
      <c r="L110" s="1010">
        <v>145.6285896617741</v>
      </c>
      <c r="M110" s="1058"/>
      <c r="N110" s="1059"/>
      <c r="O110" s="1059"/>
    </row>
    <row r="111" spans="1:15" ht="15">
      <c r="A111" s="830">
        <v>2009</v>
      </c>
      <c r="B111" s="831">
        <v>100</v>
      </c>
      <c r="D111" s="730">
        <v>2009</v>
      </c>
      <c r="E111" s="1008">
        <v>521.9</v>
      </c>
      <c r="F111" s="1058"/>
      <c r="G111" s="730">
        <v>2009</v>
      </c>
      <c r="H111" s="833">
        <v>20.3</v>
      </c>
      <c r="K111" s="1007">
        <v>2009</v>
      </c>
      <c r="L111" s="1011">
        <v>143.39502233567327</v>
      </c>
      <c r="M111" s="1058"/>
      <c r="N111" s="1059"/>
      <c r="O111" s="1059"/>
    </row>
    <row r="112" spans="1:15" ht="15">
      <c r="A112" s="830">
        <v>2010</v>
      </c>
      <c r="B112" s="831">
        <v>101.19839722592747</v>
      </c>
      <c r="D112" s="730">
        <v>2010</v>
      </c>
      <c r="E112" s="1008">
        <v>550.79999999999995</v>
      </c>
      <c r="F112" s="1058"/>
      <c r="G112" s="730">
        <v>2010</v>
      </c>
      <c r="H112" s="833">
        <v>21.07</v>
      </c>
      <c r="K112" s="1007">
        <v>2010</v>
      </c>
      <c r="L112" s="1011">
        <v>149.13848117421827</v>
      </c>
      <c r="M112" s="1058"/>
      <c r="N112" s="1059"/>
      <c r="O112" s="1059"/>
    </row>
    <row r="113" spans="1:15" ht="15">
      <c r="A113" s="830">
        <v>2011</v>
      </c>
      <c r="B113" s="831">
        <v>103.30263015961967</v>
      </c>
      <c r="D113" s="730">
        <v>2011</v>
      </c>
      <c r="E113" s="1008">
        <v>585.70000000000005</v>
      </c>
      <c r="F113" s="1058"/>
      <c r="G113" s="730">
        <v>2011</v>
      </c>
      <c r="H113" s="833">
        <v>21.45</v>
      </c>
      <c r="K113" s="1007">
        <v>2011</v>
      </c>
      <c r="L113" s="1011">
        <v>160.8806636885769</v>
      </c>
      <c r="M113" s="1058"/>
      <c r="N113" s="1059"/>
      <c r="O113" s="1059"/>
    </row>
    <row r="114" spans="1:15" ht="15">
      <c r="A114" s="830">
        <v>2012</v>
      </c>
      <c r="B114" s="831">
        <v>105.23637760431055</v>
      </c>
      <c r="D114" s="730">
        <v>2012</v>
      </c>
      <c r="E114" s="1008">
        <v>584.6</v>
      </c>
      <c r="F114" s="1058"/>
      <c r="G114" s="730">
        <v>2012</v>
      </c>
      <c r="H114" s="833">
        <v>21.447500000000002</v>
      </c>
      <c r="K114" s="1007">
        <v>2012</v>
      </c>
      <c r="L114" s="1011">
        <v>166.11359285258459</v>
      </c>
      <c r="M114" s="1058"/>
      <c r="N114" s="1059"/>
      <c r="O114" s="1059"/>
    </row>
    <row r="115" spans="1:15" ht="15">
      <c r="A115" s="830">
        <v>2013</v>
      </c>
      <c r="B115" s="831">
        <v>107.07698945778775</v>
      </c>
      <c r="D115" s="730">
        <v>2013</v>
      </c>
      <c r="E115" s="1008">
        <v>567.29999999999995</v>
      </c>
      <c r="F115" s="1058"/>
      <c r="G115" s="730">
        <v>2013</v>
      </c>
      <c r="H115" s="833">
        <v>21.4025</v>
      </c>
      <c r="K115" s="1007">
        <v>2013</v>
      </c>
      <c r="L115" s="1011">
        <v>168.41097638800255</v>
      </c>
      <c r="M115" s="1058"/>
      <c r="N115" s="1059"/>
      <c r="O115" s="1059"/>
    </row>
    <row r="116" spans="1:15" ht="15">
      <c r="A116" s="830">
        <v>2014</v>
      </c>
      <c r="B116" s="831">
        <v>109.07756300464888</v>
      </c>
      <c r="D116" s="730">
        <v>2014</v>
      </c>
      <c r="E116" s="1008">
        <v>576.1</v>
      </c>
      <c r="F116" s="1058"/>
      <c r="G116" s="730">
        <v>2014</v>
      </c>
      <c r="H116" s="833">
        <v>21.488333333333333</v>
      </c>
      <c r="K116" s="1007">
        <v>2014</v>
      </c>
      <c r="L116" s="1011">
        <v>171.79323548181239</v>
      </c>
      <c r="M116" s="1058"/>
      <c r="N116" s="1059"/>
      <c r="O116" s="1059"/>
    </row>
    <row r="117" spans="1:15" ht="15">
      <c r="A117" s="830">
        <v>2015</v>
      </c>
      <c r="B117" s="831">
        <v>110.1730901284166</v>
      </c>
      <c r="D117" s="730">
        <v>2015</v>
      </c>
      <c r="E117" s="1008">
        <v>556.79999999999995</v>
      </c>
      <c r="F117" s="1058"/>
      <c r="G117" s="730">
        <v>2015</v>
      </c>
      <c r="H117" s="833">
        <v>21.754999999999999</v>
      </c>
      <c r="K117" s="1007">
        <v>2015</v>
      </c>
      <c r="L117" s="1011">
        <v>168.98532227185709</v>
      </c>
      <c r="M117" s="1058"/>
      <c r="N117" s="1059"/>
      <c r="O117" s="1059"/>
    </row>
    <row r="118" spans="1:15" ht="15">
      <c r="A118" s="830">
        <v>2016</v>
      </c>
      <c r="B118" s="831">
        <v>111.27519462444519</v>
      </c>
      <c r="D118" s="730">
        <f>+D117+1</f>
        <v>2016</v>
      </c>
      <c r="E118" s="1008">
        <v>541.70000000000005</v>
      </c>
      <c r="F118" s="1058"/>
      <c r="G118" s="730">
        <v>2016</v>
      </c>
      <c r="H118" s="833">
        <v>22.714999999999993</v>
      </c>
      <c r="K118" s="1007">
        <v>2016</v>
      </c>
      <c r="L118" s="1011">
        <v>170.4530950861519</v>
      </c>
      <c r="M118" s="1058"/>
      <c r="N118" s="1059"/>
      <c r="O118" s="1059"/>
    </row>
    <row r="119" spans="1:15" ht="15">
      <c r="A119" s="830">
        <v>2017</v>
      </c>
      <c r="B119" s="831">
        <v>113.38521564572694</v>
      </c>
      <c r="D119" s="1239">
        <f>+D118+1</f>
        <v>2017</v>
      </c>
      <c r="E119" s="1240">
        <v>567.5</v>
      </c>
      <c r="G119" s="1239">
        <v>2017</v>
      </c>
      <c r="H119" s="1242">
        <v>24.275833333333328</v>
      </c>
      <c r="K119" s="1239">
        <f>+K118+1</f>
        <v>2017</v>
      </c>
      <c r="L119" s="1249">
        <v>177.13905876096783</v>
      </c>
      <c r="M119" s="1058"/>
      <c r="N119" s="1059"/>
      <c r="O119" s="1059"/>
    </row>
    <row r="120" spans="1:15" ht="15">
      <c r="A120" s="1244">
        <v>2018</v>
      </c>
      <c r="B120" s="1245">
        <v>116.09509301719851</v>
      </c>
      <c r="D120" s="1239">
        <f>+D119+1</f>
        <v>2018</v>
      </c>
      <c r="E120" s="1240">
        <v>603.1</v>
      </c>
      <c r="G120" s="1239">
        <v>2018</v>
      </c>
      <c r="H120" s="1242">
        <v>25.462500000000002</v>
      </c>
      <c r="K120" s="1239">
        <f>+K119+1</f>
        <v>2018</v>
      </c>
      <c r="L120" s="1249">
        <v>185.15820260568998</v>
      </c>
      <c r="M120" s="1058"/>
      <c r="N120" s="1059"/>
      <c r="O120" s="1059"/>
    </row>
    <row r="121" spans="1:15" ht="15">
      <c r="A121" s="1244">
        <v>2019</v>
      </c>
      <c r="B121" s="1245">
        <v>118.17196408228557</v>
      </c>
      <c r="D121" s="1239">
        <f>+D120+1</f>
        <v>2019</v>
      </c>
      <c r="E121" s="1240">
        <v>607.5</v>
      </c>
      <c r="G121" s="1239">
        <v>2019</v>
      </c>
      <c r="H121" s="1242">
        <v>25.46083333333333</v>
      </c>
      <c r="K121" s="1239">
        <f>+K120+1</f>
        <v>2019</v>
      </c>
      <c r="L121" s="1249">
        <v>186.37596383940442</v>
      </c>
      <c r="M121" s="1058"/>
      <c r="N121" s="1059"/>
      <c r="O121" s="1059"/>
    </row>
    <row r="122" spans="1:15" ht="15">
      <c r="A122" s="1244">
        <v>2020</v>
      </c>
      <c r="B122" s="1245">
        <v>119.58504673880728</v>
      </c>
      <c r="D122" s="1239">
        <f>+D121+1</f>
        <v>2020</v>
      </c>
      <c r="E122" s="1240">
        <v>596.20000000000005</v>
      </c>
      <c r="G122" s="1239">
        <v>2020</v>
      </c>
      <c r="H122" s="1242">
        <v>26.035833333333333</v>
      </c>
      <c r="K122" s="1239">
        <f>+K121+1</f>
        <v>2020</v>
      </c>
      <c r="L122" s="1249">
        <v>184.41371975538419</v>
      </c>
      <c r="M122" s="1058"/>
      <c r="N122" s="1059"/>
      <c r="O122" s="1059"/>
    </row>
    <row r="123" spans="1:15" ht="16" thickBot="1">
      <c r="A123" s="1246">
        <v>2021</v>
      </c>
      <c r="B123" s="1247">
        <v>124.54122828480547</v>
      </c>
      <c r="D123" s="1237">
        <v>2021</v>
      </c>
      <c r="E123" s="1238">
        <v>708.01666666666677</v>
      </c>
      <c r="G123" s="1237">
        <v>2021</v>
      </c>
      <c r="H123" s="1243">
        <v>26.685000000000002</v>
      </c>
      <c r="K123" s="1237">
        <f>+K122+1</f>
        <v>2021</v>
      </c>
      <c r="L123" s="1250">
        <v>205.95490561021009</v>
      </c>
      <c r="M123" s="1058"/>
      <c r="N123" s="1059"/>
      <c r="O123" s="1059"/>
    </row>
    <row r="124" spans="1:15" ht="14" thickTop="1">
      <c r="A124" s="282" t="s">
        <v>1413</v>
      </c>
      <c r="D124" s="282" t="s">
        <v>1414</v>
      </c>
      <c r="G124" s="282" t="s">
        <v>1412</v>
      </c>
      <c r="K124" s="282" t="s">
        <v>1200</v>
      </c>
      <c r="M124" s="1058"/>
      <c r="N124" s="1059"/>
      <c r="O124" s="1059"/>
    </row>
    <row r="125" spans="1:15">
      <c r="K125" s="282" t="s">
        <v>1227</v>
      </c>
      <c r="M125" s="1058"/>
      <c r="N125" s="1059"/>
      <c r="O125" s="1059"/>
    </row>
    <row r="126" spans="1:15">
      <c r="K126" s="282" t="s">
        <v>1411</v>
      </c>
      <c r="M126" s="1058"/>
      <c r="N126" s="1059"/>
      <c r="O126" s="1059"/>
    </row>
    <row r="127" spans="1:15">
      <c r="M127" s="1058"/>
      <c r="N127" s="1059"/>
      <c r="O127" s="1059"/>
    </row>
    <row r="128" spans="1:15">
      <c r="M128" s="1058"/>
      <c r="N128" s="1059"/>
      <c r="O128" s="1059"/>
    </row>
    <row r="129" spans="1:15">
      <c r="M129" s="1058"/>
      <c r="N129" s="1059"/>
      <c r="O129" s="1059"/>
    </row>
    <row r="130" spans="1:15">
      <c r="M130" s="1058"/>
      <c r="N130" s="1059"/>
      <c r="O130" s="1059"/>
    </row>
    <row r="131" spans="1:15">
      <c r="M131" s="1058"/>
      <c r="N131" s="1059"/>
    </row>
    <row r="132" spans="1:15" ht="14" thickBot="1">
      <c r="M132" s="1058"/>
      <c r="N132" s="1059"/>
    </row>
    <row r="133" spans="1:15" ht="31" thickBot="1">
      <c r="A133" s="1186" t="s">
        <v>1099</v>
      </c>
      <c r="B133" s="1187"/>
      <c r="C133" s="1187"/>
      <c r="D133" s="1187"/>
      <c r="E133" s="1187"/>
      <c r="F133" s="1187"/>
      <c r="G133" s="1187"/>
      <c r="H133" s="1187"/>
      <c r="I133" s="1188"/>
      <c r="M133" s="1058"/>
      <c r="N133" s="1059"/>
    </row>
    <row r="134" spans="1:15" ht="56">
      <c r="A134" s="1170"/>
      <c r="B134" s="529"/>
      <c r="C134" s="1616" t="s">
        <v>124</v>
      </c>
      <c r="D134" s="1616"/>
      <c r="E134" s="1616"/>
      <c r="F134" s="1617" t="s">
        <v>125</v>
      </c>
      <c r="G134" s="1616"/>
      <c r="H134" s="1618"/>
      <c r="I134" s="1171" t="s">
        <v>126</v>
      </c>
    </row>
    <row r="135" spans="1:15" ht="30" customHeight="1" thickBot="1">
      <c r="A135" s="504" t="s">
        <v>127</v>
      </c>
      <c r="B135" s="506" t="s">
        <v>128</v>
      </c>
      <c r="C135" s="505" t="s">
        <v>129</v>
      </c>
      <c r="D135" s="505" t="s">
        <v>396</v>
      </c>
      <c r="E135" s="505" t="s">
        <v>397</v>
      </c>
      <c r="F135" s="504" t="s">
        <v>401</v>
      </c>
      <c r="G135" s="505" t="s">
        <v>402</v>
      </c>
      <c r="H135" s="506" t="s">
        <v>403</v>
      </c>
      <c r="I135" s="1172" t="s">
        <v>130</v>
      </c>
    </row>
    <row r="136" spans="1:15">
      <c r="A136" s="1173" t="s">
        <v>1082</v>
      </c>
      <c r="B136" s="530" t="s">
        <v>131</v>
      </c>
      <c r="C136" s="720">
        <f t="shared" ref="C136:I145" si="8">+AVERAGEIFS(D$165:D$524,$B$165:$B$524,$A136,$C$165:$C$524,"&gt;="&amp;startup_year,$C$165:$C$524,"&lt;="&amp;(startup_year+anal_period))</f>
        <v>1092333.3333333333</v>
      </c>
      <c r="D136" s="721">
        <f t="shared" si="8"/>
        <v>1092000</v>
      </c>
      <c r="E136" s="722">
        <f t="shared" si="8"/>
        <v>3983.1111111111113</v>
      </c>
      <c r="F136" s="723">
        <f t="shared" si="8"/>
        <v>5.7637</v>
      </c>
      <c r="G136" s="723">
        <f t="shared" si="8"/>
        <v>0.18463255555555558</v>
      </c>
      <c r="H136" s="723">
        <f t="shared" si="8"/>
        <v>8.6144444444444441E-4</v>
      </c>
      <c r="I136" s="1174">
        <f t="shared" si="8"/>
        <v>11.590077777777779</v>
      </c>
    </row>
    <row r="137" spans="1:15" ht="16.5" customHeight="1">
      <c r="A137" s="1175" t="s">
        <v>283</v>
      </c>
      <c r="B137" s="531" t="s">
        <v>131</v>
      </c>
      <c r="C137" s="724">
        <f t="shared" si="8"/>
        <v>1092333.3333333333</v>
      </c>
      <c r="D137" s="725">
        <f t="shared" si="8"/>
        <v>1092000</v>
      </c>
      <c r="E137" s="726">
        <f t="shared" si="8"/>
        <v>3983.1111111111113</v>
      </c>
      <c r="F137" s="727">
        <f t="shared" si="8"/>
        <v>5.7637</v>
      </c>
      <c r="G137" s="727">
        <f t="shared" si="8"/>
        <v>0.18463255555555558</v>
      </c>
      <c r="H137" s="727">
        <f t="shared" si="8"/>
        <v>8.6144444444444441E-4</v>
      </c>
      <c r="I137" s="1176">
        <f t="shared" si="8"/>
        <v>11.590077777777779</v>
      </c>
    </row>
    <row r="138" spans="1:15">
      <c r="A138" s="1177" t="s">
        <v>1083</v>
      </c>
      <c r="B138" s="1165" t="s">
        <v>131</v>
      </c>
      <c r="C138" s="1166">
        <f t="shared" si="8"/>
        <v>1092333.3333333333</v>
      </c>
      <c r="D138" s="1167">
        <f t="shared" si="8"/>
        <v>1092000</v>
      </c>
      <c r="E138" s="1168">
        <f t="shared" si="8"/>
        <v>3983.1111111111113</v>
      </c>
      <c r="F138" s="1169">
        <f t="shared" si="8"/>
        <v>5.7637</v>
      </c>
      <c r="G138" s="1169">
        <f t="shared" si="8"/>
        <v>0.18463255555555558</v>
      </c>
      <c r="H138" s="1169">
        <f t="shared" si="8"/>
        <v>8.6144444444444441E-4</v>
      </c>
      <c r="I138" s="1178">
        <f t="shared" si="8"/>
        <v>11.590077777777779</v>
      </c>
    </row>
    <row r="139" spans="1:15">
      <c r="A139" s="1175" t="s">
        <v>679</v>
      </c>
      <c r="B139" s="532" t="s">
        <v>131</v>
      </c>
      <c r="C139" s="725">
        <f t="shared" si="8"/>
        <v>1092333.3333333333</v>
      </c>
      <c r="D139" s="725">
        <f t="shared" si="8"/>
        <v>1092000</v>
      </c>
      <c r="E139" s="725">
        <f t="shared" si="8"/>
        <v>3983.1111111111113</v>
      </c>
      <c r="F139" s="728">
        <f t="shared" si="8"/>
        <v>5.7637</v>
      </c>
      <c r="G139" s="727">
        <f t="shared" si="8"/>
        <v>0.18463255555555558</v>
      </c>
      <c r="H139" s="729">
        <f t="shared" si="8"/>
        <v>8.6144444444444441E-4</v>
      </c>
      <c r="I139" s="1176">
        <f t="shared" si="8"/>
        <v>11.590077777777779</v>
      </c>
      <c r="K139" s="1241"/>
      <c r="M139" s="282"/>
    </row>
    <row r="140" spans="1:15">
      <c r="A140" s="1175" t="s">
        <v>680</v>
      </c>
      <c r="B140" s="532" t="s">
        <v>1291</v>
      </c>
      <c r="C140" s="725">
        <f t="shared" si="8"/>
        <v>-1186000</v>
      </c>
      <c r="D140" s="725">
        <f t="shared" si="8"/>
        <v>0</v>
      </c>
      <c r="E140" s="725">
        <f t="shared" si="8"/>
        <v>0</v>
      </c>
      <c r="F140" s="728">
        <f t="shared" si="8"/>
        <v>-85.798888888888868</v>
      </c>
      <c r="G140" s="727">
        <f t="shared" si="8"/>
        <v>0.54695555555555553</v>
      </c>
      <c r="H140" s="729">
        <f t="shared" si="8"/>
        <v>-1.8301999999999997E-3</v>
      </c>
      <c r="I140" s="1176">
        <f t="shared" si="8"/>
        <v>-70.082222222222228</v>
      </c>
      <c r="K140" s="1248"/>
      <c r="M140" s="282"/>
    </row>
    <row r="141" spans="1:15">
      <c r="A141" s="1175" t="s">
        <v>681</v>
      </c>
      <c r="B141" s="532" t="s">
        <v>132</v>
      </c>
      <c r="C141" s="725">
        <f t="shared" si="8"/>
        <v>1787000</v>
      </c>
      <c r="D141" s="725">
        <f t="shared" si="8"/>
        <v>1370111.111111111</v>
      </c>
      <c r="E141" s="725">
        <f t="shared" si="8"/>
        <v>21116.666666666668</v>
      </c>
      <c r="F141" s="728">
        <f t="shared" si="8"/>
        <v>140.12111111111111</v>
      </c>
      <c r="G141" s="727">
        <f t="shared" si="8"/>
        <v>0.2125671111111111</v>
      </c>
      <c r="H141" s="729">
        <f t="shared" si="8"/>
        <v>2.0498222222222226E-3</v>
      </c>
      <c r="I141" s="1176">
        <f t="shared" si="8"/>
        <v>145.54777777777775</v>
      </c>
      <c r="K141" s="1241"/>
      <c r="M141" s="282"/>
    </row>
    <row r="142" spans="1:15">
      <c r="A142" s="1175" t="s">
        <v>696</v>
      </c>
      <c r="B142" s="532" t="s">
        <v>132</v>
      </c>
      <c r="C142" s="725">
        <f t="shared" si="8"/>
        <v>1787000</v>
      </c>
      <c r="D142" s="725">
        <f t="shared" si="8"/>
        <v>1370111.111111111</v>
      </c>
      <c r="E142" s="725">
        <f t="shared" si="8"/>
        <v>21116.666666666668</v>
      </c>
      <c r="F142" s="728">
        <f t="shared" si="8"/>
        <v>140.12111111111111</v>
      </c>
      <c r="G142" s="727">
        <f t="shared" si="8"/>
        <v>0.2125671111111111</v>
      </c>
      <c r="H142" s="729">
        <f t="shared" si="8"/>
        <v>2.0498222222222226E-3</v>
      </c>
      <c r="I142" s="1176">
        <f t="shared" si="8"/>
        <v>145.54777777777775</v>
      </c>
    </row>
    <row r="143" spans="1:15">
      <c r="A143" s="1175" t="s">
        <v>682</v>
      </c>
      <c r="B143" s="532" t="s">
        <v>132</v>
      </c>
      <c r="C143" s="725">
        <f t="shared" si="8"/>
        <v>1787000</v>
      </c>
      <c r="D143" s="725">
        <f t="shared" si="8"/>
        <v>1370111.111111111</v>
      </c>
      <c r="E143" s="725">
        <f t="shared" si="8"/>
        <v>21116.666666666668</v>
      </c>
      <c r="F143" s="728">
        <f t="shared" si="8"/>
        <v>140.12111111111111</v>
      </c>
      <c r="G143" s="727">
        <f t="shared" si="8"/>
        <v>0.2125671111111111</v>
      </c>
      <c r="H143" s="729">
        <f t="shared" si="8"/>
        <v>2.0498222222222226E-3</v>
      </c>
      <c r="I143" s="1176">
        <f t="shared" si="8"/>
        <v>145.54777777777775</v>
      </c>
    </row>
    <row r="144" spans="1:15">
      <c r="A144" s="1175" t="s">
        <v>1084</v>
      </c>
      <c r="B144" s="532" t="s">
        <v>133</v>
      </c>
      <c r="C144" s="725">
        <f t="shared" si="8"/>
        <v>1022000</v>
      </c>
      <c r="D144" s="725">
        <f t="shared" si="8"/>
        <v>1021000</v>
      </c>
      <c r="E144" s="725">
        <f t="shared" si="8"/>
        <v>15525.555555555555</v>
      </c>
      <c r="F144" s="728">
        <f t="shared" si="8"/>
        <v>1.7266111111111111</v>
      </c>
      <c r="G144" s="727">
        <f t="shared" si="8"/>
        <v>0.1409730933333333</v>
      </c>
      <c r="H144" s="729">
        <f t="shared" si="8"/>
        <v>3.3298666666666667E-5</v>
      </c>
      <c r="I144" s="1176">
        <f t="shared" si="8"/>
        <v>5.9858888888888888</v>
      </c>
    </row>
    <row r="145" spans="1:9">
      <c r="A145" s="1175" t="s">
        <v>714</v>
      </c>
      <c r="B145" s="532" t="s">
        <v>133</v>
      </c>
      <c r="C145" s="725">
        <f t="shared" si="8"/>
        <v>1022000</v>
      </c>
      <c r="D145" s="725">
        <f t="shared" si="8"/>
        <v>1021000</v>
      </c>
      <c r="E145" s="725">
        <f t="shared" si="8"/>
        <v>15525.555555555555</v>
      </c>
      <c r="F145" s="728">
        <f t="shared" si="8"/>
        <v>1.7266111111111111</v>
      </c>
      <c r="G145" s="727">
        <f t="shared" si="8"/>
        <v>0.1409730933333333</v>
      </c>
      <c r="H145" s="729">
        <f t="shared" si="8"/>
        <v>3.3298666666666667E-5</v>
      </c>
      <c r="I145" s="1176">
        <f t="shared" si="8"/>
        <v>5.9858888888888888</v>
      </c>
    </row>
    <row r="146" spans="1:9">
      <c r="A146" s="1175" t="s">
        <v>715</v>
      </c>
      <c r="B146" s="532" t="s">
        <v>133</v>
      </c>
      <c r="C146" s="725">
        <f t="shared" ref="C146:I153" si="9">+AVERAGEIFS(D$165:D$524,$B$165:$B$524,$A146,$C$165:$C$524,"&gt;="&amp;startup_year,$C$165:$C$524,"&lt;="&amp;(startup_year+anal_period))</f>
        <v>1022000</v>
      </c>
      <c r="D146" s="725">
        <f t="shared" si="9"/>
        <v>1021000</v>
      </c>
      <c r="E146" s="725">
        <f t="shared" si="9"/>
        <v>15525.555555555555</v>
      </c>
      <c r="F146" s="728">
        <f t="shared" si="9"/>
        <v>1.7266111111111111</v>
      </c>
      <c r="G146" s="727">
        <f t="shared" si="9"/>
        <v>0.1409730933333333</v>
      </c>
      <c r="H146" s="729">
        <f t="shared" si="9"/>
        <v>3.3298666666666667E-5</v>
      </c>
      <c r="I146" s="1176">
        <f t="shared" si="9"/>
        <v>5.9858888888888888</v>
      </c>
    </row>
    <row r="147" spans="1:9">
      <c r="A147" s="1175" t="s">
        <v>909</v>
      </c>
      <c r="B147" s="532" t="s">
        <v>134</v>
      </c>
      <c r="C147" s="725">
        <f t="shared" si="9"/>
        <v>1209444.4444444445</v>
      </c>
      <c r="D147" s="725">
        <f t="shared" si="9"/>
        <v>1202666.6666666667</v>
      </c>
      <c r="E147" s="725">
        <f t="shared" si="9"/>
        <v>1052111.111111111</v>
      </c>
      <c r="F147" s="728">
        <f t="shared" si="9"/>
        <v>18.180666666666667</v>
      </c>
      <c r="G147" s="727">
        <f t="shared" si="9"/>
        <v>0.16397644444444445</v>
      </c>
      <c r="H147" s="729">
        <f t="shared" si="9"/>
        <v>2.936588888888889E-4</v>
      </c>
      <c r="I147" s="1176">
        <f t="shared" si="9"/>
        <v>23.206555555555557</v>
      </c>
    </row>
    <row r="148" spans="1:9">
      <c r="A148" s="1175" t="s">
        <v>907</v>
      </c>
      <c r="B148" s="532" t="s">
        <v>1100</v>
      </c>
      <c r="C148" s="725">
        <f t="shared" si="9"/>
        <v>1592777.7777777778</v>
      </c>
      <c r="D148" s="725">
        <f t="shared" si="9"/>
        <v>700588.88888888888</v>
      </c>
      <c r="E148" s="725">
        <f t="shared" si="9"/>
        <v>286633.33333333331</v>
      </c>
      <c r="F148" s="728">
        <f t="shared" si="9"/>
        <v>38.703111111111113</v>
      </c>
      <c r="G148" s="727">
        <f t="shared" si="9"/>
        <v>0.1123</v>
      </c>
      <c r="H148" s="729">
        <f t="shared" si="9"/>
        <v>2.5603333333333339E-2</v>
      </c>
      <c r="I148" s="1176">
        <f t="shared" si="9"/>
        <v>45.774444444444448</v>
      </c>
    </row>
    <row r="149" spans="1:9">
      <c r="A149" s="1175" t="s">
        <v>910</v>
      </c>
      <c r="B149" s="532" t="s">
        <v>134</v>
      </c>
      <c r="C149" s="725">
        <f t="shared" si="9"/>
        <v>1250222.2222222222</v>
      </c>
      <c r="D149" s="725">
        <f t="shared" si="9"/>
        <v>1242777.7777777778</v>
      </c>
      <c r="E149" s="725">
        <f t="shared" si="9"/>
        <v>1078333.3333333333</v>
      </c>
      <c r="F149" s="728">
        <f t="shared" si="9"/>
        <v>24.072999999999997</v>
      </c>
      <c r="G149" s="727">
        <f t="shared" si="9"/>
        <v>0.16967222222222225</v>
      </c>
      <c r="H149" s="729">
        <f t="shared" si="9"/>
        <v>3.8183666666666668E-4</v>
      </c>
      <c r="I149" s="1176">
        <f t="shared" si="9"/>
        <v>29.393666666666668</v>
      </c>
    </row>
    <row r="150" spans="1:9">
      <c r="A150" s="1175" t="s">
        <v>1078</v>
      </c>
      <c r="B150" s="532" t="s">
        <v>1292</v>
      </c>
      <c r="C150" s="725">
        <f t="shared" si="9"/>
        <v>1190111.111111111</v>
      </c>
      <c r="D150" s="725">
        <f t="shared" si="9"/>
        <v>51895.555555555555</v>
      </c>
      <c r="E150" s="725">
        <f t="shared" si="9"/>
        <v>29306.666666666668</v>
      </c>
      <c r="F150" s="728">
        <f t="shared" si="9"/>
        <v>3.8090555555555556</v>
      </c>
      <c r="G150" s="727">
        <f t="shared" si="9"/>
        <v>8.4619555555555549E-3</v>
      </c>
      <c r="H150" s="729">
        <f t="shared" si="9"/>
        <v>-3.8254046666666669E-3</v>
      </c>
      <c r="I150" s="1176">
        <f t="shared" si="9"/>
        <v>3.0600888888888895</v>
      </c>
    </row>
    <row r="151" spans="1:9">
      <c r="A151" s="1175" t="s">
        <v>813</v>
      </c>
      <c r="B151" s="532" t="s">
        <v>1292</v>
      </c>
      <c r="C151" s="725">
        <f t="shared" si="9"/>
        <v>1190111.111111111</v>
      </c>
      <c r="D151" s="725">
        <f t="shared" si="9"/>
        <v>51895.555555555555</v>
      </c>
      <c r="E151" s="725">
        <f t="shared" si="9"/>
        <v>29306.666666666668</v>
      </c>
      <c r="F151" s="728">
        <f t="shared" si="9"/>
        <v>3.8090555555555556</v>
      </c>
      <c r="G151" s="727">
        <f t="shared" si="9"/>
        <v>8.4619555555555549E-3</v>
      </c>
      <c r="H151" s="729">
        <f t="shared" si="9"/>
        <v>-3.8254046666666669E-3</v>
      </c>
      <c r="I151" s="1176">
        <f t="shared" si="9"/>
        <v>3.0600888888888895</v>
      </c>
    </row>
    <row r="152" spans="1:9">
      <c r="A152" s="1175" t="s">
        <v>822</v>
      </c>
      <c r="B152" s="532" t="s">
        <v>1292</v>
      </c>
      <c r="C152" s="725">
        <f t="shared" si="9"/>
        <v>1190111.111111111</v>
      </c>
      <c r="D152" s="725">
        <f t="shared" si="9"/>
        <v>51895.555555555555</v>
      </c>
      <c r="E152" s="725">
        <f t="shared" si="9"/>
        <v>29306.666666666668</v>
      </c>
      <c r="F152" s="728">
        <f t="shared" si="9"/>
        <v>3.8090555555555556</v>
      </c>
      <c r="G152" s="727">
        <f t="shared" si="9"/>
        <v>8.4619555555555549E-3</v>
      </c>
      <c r="H152" s="729">
        <f t="shared" si="9"/>
        <v>-3.8254046666666669E-3</v>
      </c>
      <c r="I152" s="1176">
        <f t="shared" si="9"/>
        <v>3.0600888888888895</v>
      </c>
    </row>
    <row r="153" spans="1:9" ht="14" thickBot="1">
      <c r="A153" s="1179" t="s">
        <v>1085</v>
      </c>
      <c r="B153" s="1180" t="s">
        <v>1293</v>
      </c>
      <c r="C153" s="1181">
        <f t="shared" si="9"/>
        <v>1384111.111111111</v>
      </c>
      <c r="D153" s="1181">
        <f t="shared" si="9"/>
        <v>1383222.2222222222</v>
      </c>
      <c r="E153" s="1181">
        <f t="shared" si="9"/>
        <v>5049.1111111111113</v>
      </c>
      <c r="F153" s="1182">
        <f t="shared" si="9"/>
        <v>78.603844444444448</v>
      </c>
      <c r="G153" s="1183">
        <f t="shared" si="9"/>
        <v>0.27492888888888889</v>
      </c>
      <c r="H153" s="1184">
        <f t="shared" si="9"/>
        <v>2.3310333333333333E-3</v>
      </c>
      <c r="I153" s="1185">
        <f t="shared" si="9"/>
        <v>87.627188888888881</v>
      </c>
    </row>
    <row r="162" spans="2:10" ht="14" thickBot="1">
      <c r="B162" s="282" t="s">
        <v>1290</v>
      </c>
    </row>
    <row r="163" spans="2:10" ht="42">
      <c r="D163" s="1150" t="s">
        <v>124</v>
      </c>
      <c r="E163" s="1151"/>
      <c r="F163" s="1152"/>
      <c r="G163" s="1150" t="s">
        <v>125</v>
      </c>
      <c r="H163" s="1151"/>
      <c r="I163" s="1151"/>
      <c r="J163" s="1152" t="s">
        <v>126</v>
      </c>
    </row>
    <row r="164" spans="2:10" ht="14" thickBot="1">
      <c r="B164" s="1" t="s">
        <v>248</v>
      </c>
      <c r="C164" s="1" t="s">
        <v>1081</v>
      </c>
      <c r="D164" s="1140" t="s">
        <v>129</v>
      </c>
      <c r="E164" s="1" t="s">
        <v>396</v>
      </c>
      <c r="F164" s="1137" t="s">
        <v>397</v>
      </c>
      <c r="G164" s="1140" t="s">
        <v>401</v>
      </c>
      <c r="H164" s="1" t="s">
        <v>402</v>
      </c>
      <c r="I164" s="1" t="s">
        <v>403</v>
      </c>
      <c r="J164" s="1137" t="s">
        <v>130</v>
      </c>
    </row>
    <row r="165" spans="2:10">
      <c r="B165" s="1153" t="s">
        <v>1082</v>
      </c>
      <c r="C165" s="1154">
        <v>2005</v>
      </c>
      <c r="D165" s="1153">
        <v>1094000</v>
      </c>
      <c r="E165" s="1155">
        <v>1094000</v>
      </c>
      <c r="F165" s="1156">
        <v>4252</v>
      </c>
      <c r="G165" s="1153">
        <v>5.9984999999999999</v>
      </c>
      <c r="H165" s="1155">
        <v>0.18232600000000002</v>
      </c>
      <c r="I165" s="1155">
        <v>8.8801999999999994E-5</v>
      </c>
      <c r="J165" s="1156">
        <v>11.536999999999999</v>
      </c>
    </row>
    <row r="166" spans="2:10">
      <c r="B166" s="1157" t="s">
        <v>283</v>
      </c>
      <c r="C166" s="1158">
        <v>2005</v>
      </c>
      <c r="D166" s="1157">
        <v>1094000</v>
      </c>
      <c r="E166" s="1159">
        <v>1094000</v>
      </c>
      <c r="F166" s="1160">
        <v>4252</v>
      </c>
      <c r="G166" s="1157">
        <v>5.9984999999999999</v>
      </c>
      <c r="H166" s="1159">
        <v>0.18232600000000002</v>
      </c>
      <c r="I166" s="1159">
        <v>8.8801999999999994E-5</v>
      </c>
      <c r="J166" s="1160">
        <v>11.536999999999999</v>
      </c>
    </row>
    <row r="167" spans="2:10">
      <c r="B167" s="1157" t="s">
        <v>1083</v>
      </c>
      <c r="C167" s="1158">
        <v>2005</v>
      </c>
      <c r="D167" s="1157">
        <v>1094000</v>
      </c>
      <c r="E167" s="1159">
        <v>1094000</v>
      </c>
      <c r="F167" s="1160">
        <v>4252</v>
      </c>
      <c r="G167" s="1157">
        <v>5.9984999999999999</v>
      </c>
      <c r="H167" s="1159">
        <v>0.18232600000000002</v>
      </c>
      <c r="I167" s="1159">
        <v>8.8801999999999994E-5</v>
      </c>
      <c r="J167" s="1160">
        <v>11.536999999999999</v>
      </c>
    </row>
    <row r="168" spans="2:10">
      <c r="B168" s="1157" t="s">
        <v>679</v>
      </c>
      <c r="C168" s="1158">
        <v>2005</v>
      </c>
      <c r="D168" s="1157">
        <v>1094000</v>
      </c>
      <c r="E168" s="1159">
        <v>1094000</v>
      </c>
      <c r="F168" s="1160">
        <v>4252</v>
      </c>
      <c r="G168" s="1157">
        <v>5.9984999999999999</v>
      </c>
      <c r="H168" s="1159">
        <v>0.18232600000000002</v>
      </c>
      <c r="I168" s="1159">
        <v>8.8801999999999994E-5</v>
      </c>
      <c r="J168" s="1160">
        <v>11.536999999999999</v>
      </c>
    </row>
    <row r="169" spans="2:10">
      <c r="B169" s="1157" t="s">
        <v>680</v>
      </c>
      <c r="C169" s="1158">
        <v>2005</v>
      </c>
      <c r="D169" s="1157">
        <v>-1208000</v>
      </c>
      <c r="E169" s="1159">
        <v>0</v>
      </c>
      <c r="F169" s="1160">
        <v>0</v>
      </c>
      <c r="G169" s="1157">
        <v>-85.789999999999992</v>
      </c>
      <c r="H169" s="1159">
        <v>0.54689999999999994</v>
      </c>
      <c r="I169" s="1159">
        <v>-1.4884E-3</v>
      </c>
      <c r="J169" s="1160">
        <v>-70</v>
      </c>
    </row>
    <row r="170" spans="2:10">
      <c r="B170" s="1157" t="s">
        <v>681</v>
      </c>
      <c r="C170" s="1158">
        <v>2005</v>
      </c>
      <c r="D170" s="1157">
        <v>2475000</v>
      </c>
      <c r="E170" s="1159">
        <v>2129000</v>
      </c>
      <c r="F170" s="1160">
        <v>124000</v>
      </c>
      <c r="G170" s="1157">
        <v>251.83</v>
      </c>
      <c r="H170" s="1159">
        <v>0.31369799999999998</v>
      </c>
      <c r="I170" s="1159">
        <v>3.6604999999999997E-3</v>
      </c>
      <c r="J170" s="1160">
        <v>255.85999999999999</v>
      </c>
    </row>
    <row r="171" spans="2:10">
      <c r="B171" s="1157" t="s">
        <v>696</v>
      </c>
      <c r="C171" s="1158">
        <v>2005</v>
      </c>
      <c r="D171" s="1157">
        <v>2475000</v>
      </c>
      <c r="E171" s="1159">
        <v>2129000</v>
      </c>
      <c r="F171" s="1160">
        <v>124000</v>
      </c>
      <c r="G171" s="1157">
        <v>251.83</v>
      </c>
      <c r="H171" s="1159">
        <v>0.31369799999999998</v>
      </c>
      <c r="I171" s="1159">
        <v>3.6604999999999997E-3</v>
      </c>
      <c r="J171" s="1160">
        <v>255.85999999999999</v>
      </c>
    </row>
    <row r="172" spans="2:10">
      <c r="B172" s="1157" t="s">
        <v>682</v>
      </c>
      <c r="C172" s="1158">
        <v>2005</v>
      </c>
      <c r="D172" s="1157">
        <v>2475000</v>
      </c>
      <c r="E172" s="1159">
        <v>2129000</v>
      </c>
      <c r="F172" s="1160">
        <v>124000</v>
      </c>
      <c r="G172" s="1157">
        <v>251.83</v>
      </c>
      <c r="H172" s="1159">
        <v>0.31369799999999998</v>
      </c>
      <c r="I172" s="1159">
        <v>3.6604999999999997E-3</v>
      </c>
      <c r="J172" s="1160">
        <v>255.85999999999999</v>
      </c>
    </row>
    <row r="173" spans="2:10">
      <c r="B173" s="1157" t="s">
        <v>1084</v>
      </c>
      <c r="C173" s="1158">
        <v>2005</v>
      </c>
      <c r="D173" s="1157">
        <v>1023000</v>
      </c>
      <c r="E173" s="1159">
        <v>1022000</v>
      </c>
      <c r="F173" s="1160">
        <v>15840</v>
      </c>
      <c r="G173" s="1157">
        <v>1.9352</v>
      </c>
      <c r="H173" s="1159">
        <v>0.14136591000000001</v>
      </c>
      <c r="I173" s="1159">
        <v>3.6392E-5</v>
      </c>
      <c r="J173" s="1160">
        <v>6.2023000000000001</v>
      </c>
    </row>
    <row r="174" spans="2:10">
      <c r="B174" s="1157" t="s">
        <v>714</v>
      </c>
      <c r="C174" s="1158">
        <v>2005</v>
      </c>
      <c r="D174" s="1157">
        <v>1023000</v>
      </c>
      <c r="E174" s="1159">
        <v>1022000</v>
      </c>
      <c r="F174" s="1160">
        <v>15840</v>
      </c>
      <c r="G174" s="1157">
        <v>1.9352</v>
      </c>
      <c r="H174" s="1159">
        <v>0.14136591000000001</v>
      </c>
      <c r="I174" s="1159">
        <v>3.6392E-5</v>
      </c>
      <c r="J174" s="1160">
        <v>6.2023000000000001</v>
      </c>
    </row>
    <row r="175" spans="2:10">
      <c r="B175" s="1157" t="s">
        <v>715</v>
      </c>
      <c r="C175" s="1158">
        <v>2005</v>
      </c>
      <c r="D175" s="1157">
        <v>1023000</v>
      </c>
      <c r="E175" s="1159">
        <v>1022000</v>
      </c>
      <c r="F175" s="1160">
        <v>15840</v>
      </c>
      <c r="G175" s="1157">
        <v>1.9352</v>
      </c>
      <c r="H175" s="1159">
        <v>0.14136591000000001</v>
      </c>
      <c r="I175" s="1159">
        <v>3.6392E-5</v>
      </c>
      <c r="J175" s="1160">
        <v>6.2023000000000001</v>
      </c>
    </row>
    <row r="176" spans="2:10">
      <c r="B176" s="1157" t="s">
        <v>909</v>
      </c>
      <c r="C176" s="1158">
        <v>2005</v>
      </c>
      <c r="D176" s="1157">
        <v>1205000</v>
      </c>
      <c r="E176" s="1159">
        <v>1200000</v>
      </c>
      <c r="F176" s="1160">
        <v>1056000</v>
      </c>
      <c r="G176" s="1157">
        <v>18.433</v>
      </c>
      <c r="H176" s="1159">
        <v>0.18217</v>
      </c>
      <c r="I176" s="1159">
        <v>2.0549999999999998E-4</v>
      </c>
      <c r="J176" s="1160">
        <v>23.908999999999999</v>
      </c>
    </row>
    <row r="177" spans="2:10">
      <c r="B177" s="1157" t="s">
        <v>907</v>
      </c>
      <c r="C177" s="1158">
        <v>2005</v>
      </c>
      <c r="D177" s="1157">
        <v>1760000</v>
      </c>
      <c r="E177" s="1159">
        <v>783400</v>
      </c>
      <c r="F177" s="1160">
        <v>307400</v>
      </c>
      <c r="G177" s="1157">
        <v>47.923999999999999</v>
      </c>
      <c r="H177" s="1159">
        <v>0.13161500000000001</v>
      </c>
      <c r="I177" s="1159">
        <v>3.3619999999999997E-2</v>
      </c>
      <c r="J177" s="1160">
        <v>56.43</v>
      </c>
    </row>
    <row r="178" spans="2:10">
      <c r="B178" s="1157" t="s">
        <v>910</v>
      </c>
      <c r="C178" s="1158">
        <v>2005</v>
      </c>
      <c r="D178" s="1157">
        <v>1248000</v>
      </c>
      <c r="E178" s="1159">
        <v>1242000</v>
      </c>
      <c r="F178" s="1160">
        <v>1084000</v>
      </c>
      <c r="G178" s="1157">
        <v>24.465</v>
      </c>
      <c r="H178" s="1159">
        <v>0.18840200000000001</v>
      </c>
      <c r="I178" s="1159">
        <v>2.7361999999999997E-4</v>
      </c>
      <c r="J178" s="1160">
        <v>30.237000000000002</v>
      </c>
    </row>
    <row r="179" spans="2:10">
      <c r="B179" s="1157" t="s">
        <v>1078</v>
      </c>
      <c r="C179" s="1158">
        <v>2005</v>
      </c>
      <c r="D179" s="1157">
        <v>1195000</v>
      </c>
      <c r="E179" s="1159">
        <v>56800</v>
      </c>
      <c r="F179" s="1160">
        <v>32280</v>
      </c>
      <c r="G179" s="1157">
        <v>4.3339999999999996</v>
      </c>
      <c r="H179" s="1159">
        <v>9.434399999999999E-3</v>
      </c>
      <c r="I179" s="1159">
        <v>-3.8369229999999999E-3</v>
      </c>
      <c r="J179" s="1160">
        <v>3.6147</v>
      </c>
    </row>
    <row r="180" spans="2:10">
      <c r="B180" s="1157" t="s">
        <v>813</v>
      </c>
      <c r="C180" s="1158">
        <v>2005</v>
      </c>
      <c r="D180" s="1157">
        <v>1195000</v>
      </c>
      <c r="E180" s="1159">
        <v>56800</v>
      </c>
      <c r="F180" s="1160">
        <v>32280</v>
      </c>
      <c r="G180" s="1157">
        <v>4.3339999999999996</v>
      </c>
      <c r="H180" s="1159">
        <v>9.434399999999999E-3</v>
      </c>
      <c r="I180" s="1159">
        <v>-3.8369229999999999E-3</v>
      </c>
      <c r="J180" s="1160">
        <v>3.6147</v>
      </c>
    </row>
    <row r="181" spans="2:10">
      <c r="B181" s="1157" t="s">
        <v>822</v>
      </c>
      <c r="C181" s="1158">
        <v>2005</v>
      </c>
      <c r="D181" s="1157">
        <v>1195000</v>
      </c>
      <c r="E181" s="1159">
        <v>56800</v>
      </c>
      <c r="F181" s="1160">
        <v>32280</v>
      </c>
      <c r="G181" s="1157">
        <v>4.3339999999999996</v>
      </c>
      <c r="H181" s="1159">
        <v>9.434399999999999E-3</v>
      </c>
      <c r="I181" s="1159">
        <v>-3.8369229999999999E-3</v>
      </c>
      <c r="J181" s="1160">
        <v>3.6147</v>
      </c>
    </row>
    <row r="182" spans="2:10" ht="14" thickBot="1">
      <c r="B182" s="1161" t="s">
        <v>1085</v>
      </c>
      <c r="C182" s="1162">
        <v>2005</v>
      </c>
      <c r="D182" s="1161">
        <v>1387000</v>
      </c>
      <c r="E182" s="1163">
        <v>1386000</v>
      </c>
      <c r="F182" s="1164">
        <v>5427</v>
      </c>
      <c r="G182" s="1161">
        <v>78.934799999999996</v>
      </c>
      <c r="H182" s="1163">
        <v>0.27050000000000002</v>
      </c>
      <c r="I182" s="1163">
        <v>1.418723E-3</v>
      </c>
      <c r="J182" s="1164">
        <v>87.571399999999997</v>
      </c>
    </row>
    <row r="183" spans="2:10">
      <c r="B183" s="1153" t="s">
        <v>1082</v>
      </c>
      <c r="C183" s="1154">
        <v>2010</v>
      </c>
      <c r="D183" s="1153">
        <v>1094000</v>
      </c>
      <c r="E183" s="1155">
        <v>1093000</v>
      </c>
      <c r="F183" s="1156">
        <v>4104</v>
      </c>
      <c r="G183" s="1153">
        <v>5.9177</v>
      </c>
      <c r="H183" s="1155">
        <v>0.18431800000000001</v>
      </c>
      <c r="I183" s="1155">
        <v>8.6370000000000001E-4</v>
      </c>
      <c r="J183" s="1156">
        <v>11.7387</v>
      </c>
    </row>
    <row r="184" spans="2:10">
      <c r="B184" s="1157" t="s">
        <v>283</v>
      </c>
      <c r="C184" s="1158">
        <v>2010</v>
      </c>
      <c r="D184" s="1157">
        <v>1094000</v>
      </c>
      <c r="E184" s="1159">
        <v>1093000</v>
      </c>
      <c r="F184" s="1160">
        <v>4104</v>
      </c>
      <c r="G184" s="1157">
        <v>5.9177</v>
      </c>
      <c r="H184" s="1159">
        <v>0.18431800000000001</v>
      </c>
      <c r="I184" s="1159">
        <v>8.6370000000000001E-4</v>
      </c>
      <c r="J184" s="1160">
        <v>11.7387</v>
      </c>
    </row>
    <row r="185" spans="2:10">
      <c r="B185" s="1157" t="s">
        <v>1083</v>
      </c>
      <c r="C185" s="1158">
        <v>2010</v>
      </c>
      <c r="D185" s="1157">
        <v>1094000</v>
      </c>
      <c r="E185" s="1159">
        <v>1093000</v>
      </c>
      <c r="F185" s="1160">
        <v>4104</v>
      </c>
      <c r="G185" s="1157">
        <v>5.9177</v>
      </c>
      <c r="H185" s="1159">
        <v>0.18431800000000001</v>
      </c>
      <c r="I185" s="1159">
        <v>8.6370000000000001E-4</v>
      </c>
      <c r="J185" s="1160">
        <v>11.7387</v>
      </c>
    </row>
    <row r="186" spans="2:10">
      <c r="B186" s="1157" t="s">
        <v>679</v>
      </c>
      <c r="C186" s="1158">
        <v>2010</v>
      </c>
      <c r="D186" s="1157">
        <v>1094000</v>
      </c>
      <c r="E186" s="1159">
        <v>1093000</v>
      </c>
      <c r="F186" s="1160">
        <v>4104</v>
      </c>
      <c r="G186" s="1157">
        <v>5.9177</v>
      </c>
      <c r="H186" s="1159">
        <v>0.18431800000000001</v>
      </c>
      <c r="I186" s="1159">
        <v>8.6370000000000001E-4</v>
      </c>
      <c r="J186" s="1160">
        <v>11.7387</v>
      </c>
    </row>
    <row r="187" spans="2:10">
      <c r="B187" s="1157" t="s">
        <v>680</v>
      </c>
      <c r="C187" s="1158">
        <v>2010</v>
      </c>
      <c r="D187" s="1157">
        <v>-1208000</v>
      </c>
      <c r="E187" s="1159">
        <v>0</v>
      </c>
      <c r="F187" s="1160">
        <v>0</v>
      </c>
      <c r="G187" s="1157">
        <v>-85.789999999999992</v>
      </c>
      <c r="H187" s="1159">
        <v>0.54600000000000004</v>
      </c>
      <c r="I187" s="1159">
        <v>-1.8614999999999999E-3</v>
      </c>
      <c r="J187" s="1160">
        <v>-70.12</v>
      </c>
    </row>
    <row r="188" spans="2:10">
      <c r="B188" s="1157" t="s">
        <v>681</v>
      </c>
      <c r="C188" s="1158">
        <v>2010</v>
      </c>
      <c r="D188" s="1157">
        <v>2254000</v>
      </c>
      <c r="E188" s="1159">
        <v>1938000</v>
      </c>
      <c r="F188" s="1160">
        <v>52730</v>
      </c>
      <c r="G188" s="1157">
        <v>220.67</v>
      </c>
      <c r="H188" s="1159">
        <v>0.288267</v>
      </c>
      <c r="I188" s="1159">
        <v>3.4012000000000001E-3</v>
      </c>
      <c r="J188" s="1160">
        <v>228.91000000000003</v>
      </c>
    </row>
    <row r="189" spans="2:10">
      <c r="B189" s="1157" t="s">
        <v>696</v>
      </c>
      <c r="C189" s="1158">
        <v>2010</v>
      </c>
      <c r="D189" s="1157">
        <v>2254000</v>
      </c>
      <c r="E189" s="1159">
        <v>1938000</v>
      </c>
      <c r="F189" s="1160">
        <v>52730</v>
      </c>
      <c r="G189" s="1157">
        <v>220.67</v>
      </c>
      <c r="H189" s="1159">
        <v>0.288267</v>
      </c>
      <c r="I189" s="1159">
        <v>3.4012000000000001E-3</v>
      </c>
      <c r="J189" s="1160">
        <v>228.91000000000003</v>
      </c>
    </row>
    <row r="190" spans="2:10">
      <c r="B190" s="1157" t="s">
        <v>682</v>
      </c>
      <c r="C190" s="1158">
        <v>2010</v>
      </c>
      <c r="D190" s="1157">
        <v>2254000</v>
      </c>
      <c r="E190" s="1159">
        <v>1938000</v>
      </c>
      <c r="F190" s="1160">
        <v>52730</v>
      </c>
      <c r="G190" s="1157">
        <v>220.67</v>
      </c>
      <c r="H190" s="1159">
        <v>0.288267</v>
      </c>
      <c r="I190" s="1159">
        <v>3.4012000000000001E-3</v>
      </c>
      <c r="J190" s="1160">
        <v>228.91000000000003</v>
      </c>
    </row>
    <row r="191" spans="2:10">
      <c r="B191" s="1157" t="s">
        <v>1084</v>
      </c>
      <c r="C191" s="1158">
        <v>2010</v>
      </c>
      <c r="D191" s="1157">
        <v>1023000</v>
      </c>
      <c r="E191" s="1159">
        <v>1022000</v>
      </c>
      <c r="F191" s="1160">
        <v>15710</v>
      </c>
      <c r="G191" s="1157">
        <v>1.8761000000000001</v>
      </c>
      <c r="H191" s="1159">
        <v>0.14136795000000002</v>
      </c>
      <c r="I191" s="1159">
        <v>3.5802E-5</v>
      </c>
      <c r="J191" s="1160">
        <v>6.1511000000000005</v>
      </c>
    </row>
    <row r="192" spans="2:10">
      <c r="B192" s="1157" t="s">
        <v>714</v>
      </c>
      <c r="C192" s="1158">
        <v>2010</v>
      </c>
      <c r="D192" s="1157">
        <v>1023000</v>
      </c>
      <c r="E192" s="1159">
        <v>1022000</v>
      </c>
      <c r="F192" s="1160">
        <v>15710</v>
      </c>
      <c r="G192" s="1157">
        <v>1.8761000000000001</v>
      </c>
      <c r="H192" s="1159">
        <v>0.14136795000000002</v>
      </c>
      <c r="I192" s="1159">
        <v>3.5802E-5</v>
      </c>
      <c r="J192" s="1160">
        <v>6.1511000000000005</v>
      </c>
    </row>
    <row r="193" spans="2:10">
      <c r="B193" s="1157" t="s">
        <v>715</v>
      </c>
      <c r="C193" s="1158">
        <v>2010</v>
      </c>
      <c r="D193" s="1157">
        <v>1023000</v>
      </c>
      <c r="E193" s="1159">
        <v>1022000</v>
      </c>
      <c r="F193" s="1160">
        <v>15710</v>
      </c>
      <c r="G193" s="1157">
        <v>1.8761000000000001</v>
      </c>
      <c r="H193" s="1159">
        <v>0.14136795000000002</v>
      </c>
      <c r="I193" s="1159">
        <v>3.5802E-5</v>
      </c>
      <c r="J193" s="1160">
        <v>6.1511000000000005</v>
      </c>
    </row>
    <row r="194" spans="2:10">
      <c r="B194" s="1157" t="s">
        <v>909</v>
      </c>
      <c r="C194" s="1158">
        <v>2010</v>
      </c>
      <c r="D194" s="1157">
        <v>1206000</v>
      </c>
      <c r="E194" s="1159">
        <v>1201000</v>
      </c>
      <c r="F194" s="1160">
        <v>1056000</v>
      </c>
      <c r="G194" s="1157">
        <v>18.166999999999998</v>
      </c>
      <c r="H194" s="1159">
        <v>0.18199899999999999</v>
      </c>
      <c r="I194" s="1159">
        <v>2.9639E-4</v>
      </c>
      <c r="J194" s="1160">
        <v>23.741999999999997</v>
      </c>
    </row>
    <row r="195" spans="2:10">
      <c r="B195" s="1157" t="s">
        <v>907</v>
      </c>
      <c r="C195" s="1158">
        <v>2010</v>
      </c>
      <c r="D195" s="1157">
        <v>1687000</v>
      </c>
      <c r="E195" s="1159">
        <v>740000</v>
      </c>
      <c r="F195" s="1160">
        <v>297100</v>
      </c>
      <c r="G195" s="1157">
        <v>42.921999999999997</v>
      </c>
      <c r="H195" s="1159">
        <v>0.12687100000000001</v>
      </c>
      <c r="I195" s="1159">
        <v>2.955E-2</v>
      </c>
      <c r="J195" s="1160">
        <v>50.54</v>
      </c>
    </row>
    <row r="196" spans="2:10">
      <c r="B196" s="1157" t="s">
        <v>910</v>
      </c>
      <c r="C196" s="1158">
        <v>2010</v>
      </c>
      <c r="D196" s="1157">
        <v>1248000</v>
      </c>
      <c r="E196" s="1159">
        <v>1242000</v>
      </c>
      <c r="F196" s="1160">
        <v>1083000</v>
      </c>
      <c r="G196" s="1157">
        <v>24.158999999999999</v>
      </c>
      <c r="H196" s="1159">
        <v>0.18823500000000001</v>
      </c>
      <c r="I196" s="1159">
        <v>3.8572999999999998E-4</v>
      </c>
      <c r="J196" s="1160">
        <v>30.041</v>
      </c>
    </row>
    <row r="197" spans="2:10">
      <c r="B197" s="1157" t="s">
        <v>1078</v>
      </c>
      <c r="C197" s="1158">
        <v>2010</v>
      </c>
      <c r="D197" s="1157">
        <v>1194000</v>
      </c>
      <c r="E197" s="1159">
        <v>56320</v>
      </c>
      <c r="F197" s="1160">
        <v>32080</v>
      </c>
      <c r="G197" s="1157">
        <v>4.2514000000000003</v>
      </c>
      <c r="H197" s="1159">
        <v>9.6048000000000001E-3</v>
      </c>
      <c r="I197" s="1159">
        <v>-3.820487E-3</v>
      </c>
      <c r="J197" s="1160">
        <v>3.5488999999999997</v>
      </c>
    </row>
    <row r="198" spans="2:10">
      <c r="B198" s="1157" t="s">
        <v>813</v>
      </c>
      <c r="C198" s="1158">
        <v>2010</v>
      </c>
      <c r="D198" s="1157">
        <v>1194000</v>
      </c>
      <c r="E198" s="1159">
        <v>56320</v>
      </c>
      <c r="F198" s="1160">
        <v>32080</v>
      </c>
      <c r="G198" s="1157">
        <v>4.2514000000000003</v>
      </c>
      <c r="H198" s="1159">
        <v>9.6048000000000001E-3</v>
      </c>
      <c r="I198" s="1159">
        <v>-3.820487E-3</v>
      </c>
      <c r="J198" s="1160">
        <v>3.5488999999999997</v>
      </c>
    </row>
    <row r="199" spans="2:10">
      <c r="B199" s="1157" t="s">
        <v>822</v>
      </c>
      <c r="C199" s="1158">
        <v>2010</v>
      </c>
      <c r="D199" s="1157">
        <v>1194000</v>
      </c>
      <c r="E199" s="1159">
        <v>56320</v>
      </c>
      <c r="F199" s="1160">
        <v>32080</v>
      </c>
      <c r="G199" s="1157">
        <v>4.2514000000000003</v>
      </c>
      <c r="H199" s="1159">
        <v>9.6048000000000001E-3</v>
      </c>
      <c r="I199" s="1159">
        <v>-3.820487E-3</v>
      </c>
      <c r="J199" s="1160">
        <v>3.5488999999999997</v>
      </c>
    </row>
    <row r="200" spans="2:10" ht="14" thickBot="1">
      <c r="B200" s="1161" t="s">
        <v>1085</v>
      </c>
      <c r="C200" s="1162">
        <v>2010</v>
      </c>
      <c r="D200" s="1161">
        <v>1386000</v>
      </c>
      <c r="E200" s="1163">
        <v>1385000</v>
      </c>
      <c r="F200" s="1164">
        <v>5215</v>
      </c>
      <c r="G200" s="1161">
        <v>78.8352</v>
      </c>
      <c r="H200" s="1163">
        <v>0.27453</v>
      </c>
      <c r="I200" s="1163">
        <v>2.3346E-3</v>
      </c>
      <c r="J200" s="1164">
        <v>87.848799999999997</v>
      </c>
    </row>
    <row r="201" spans="2:10">
      <c r="B201" s="1153" t="s">
        <v>1082</v>
      </c>
      <c r="C201" s="1154">
        <v>2015</v>
      </c>
      <c r="D201" s="1153">
        <v>1093000</v>
      </c>
      <c r="E201" s="1155">
        <v>1092000</v>
      </c>
      <c r="F201" s="1156">
        <v>4020</v>
      </c>
      <c r="G201" s="1153">
        <v>5.8287000000000004</v>
      </c>
      <c r="H201" s="1155">
        <v>0.18472100000000002</v>
      </c>
      <c r="I201" s="1155">
        <v>8.6249999999999999E-4</v>
      </c>
      <c r="J201" s="1156">
        <v>11.659600000000001</v>
      </c>
    </row>
    <row r="202" spans="2:10">
      <c r="B202" s="1157" t="s">
        <v>283</v>
      </c>
      <c r="C202" s="1158">
        <v>2015</v>
      </c>
      <c r="D202" s="1157">
        <v>1093000</v>
      </c>
      <c r="E202" s="1159">
        <v>1092000</v>
      </c>
      <c r="F202" s="1160">
        <v>4020</v>
      </c>
      <c r="G202" s="1157">
        <v>5.8287000000000004</v>
      </c>
      <c r="H202" s="1159">
        <v>0.18472100000000002</v>
      </c>
      <c r="I202" s="1159">
        <v>8.6249999999999999E-4</v>
      </c>
      <c r="J202" s="1160">
        <v>11.659600000000001</v>
      </c>
    </row>
    <row r="203" spans="2:10">
      <c r="B203" s="1157" t="s">
        <v>1083</v>
      </c>
      <c r="C203" s="1158">
        <v>2015</v>
      </c>
      <c r="D203" s="1157">
        <v>1093000</v>
      </c>
      <c r="E203" s="1159">
        <v>1092000</v>
      </c>
      <c r="F203" s="1160">
        <v>4020</v>
      </c>
      <c r="G203" s="1157">
        <v>5.8287000000000004</v>
      </c>
      <c r="H203" s="1159">
        <v>0.18472100000000002</v>
      </c>
      <c r="I203" s="1159">
        <v>8.6249999999999999E-4</v>
      </c>
      <c r="J203" s="1160">
        <v>11.659600000000001</v>
      </c>
    </row>
    <row r="204" spans="2:10">
      <c r="B204" s="1157" t="s">
        <v>679</v>
      </c>
      <c r="C204" s="1158">
        <v>2015</v>
      </c>
      <c r="D204" s="1157">
        <v>1093000</v>
      </c>
      <c r="E204" s="1159">
        <v>1092000</v>
      </c>
      <c r="F204" s="1160">
        <v>4020</v>
      </c>
      <c r="G204" s="1157">
        <v>5.8287000000000004</v>
      </c>
      <c r="H204" s="1159">
        <v>0.18472100000000002</v>
      </c>
      <c r="I204" s="1159">
        <v>8.6249999999999999E-4</v>
      </c>
      <c r="J204" s="1160">
        <v>11.659600000000001</v>
      </c>
    </row>
    <row r="205" spans="2:10">
      <c r="B205" s="1157" t="s">
        <v>680</v>
      </c>
      <c r="C205" s="1158">
        <v>2015</v>
      </c>
      <c r="D205" s="1157">
        <v>-1194000</v>
      </c>
      <c r="E205" s="1159">
        <v>0</v>
      </c>
      <c r="F205" s="1160">
        <v>0</v>
      </c>
      <c r="G205" s="1157">
        <v>-85.789999999999992</v>
      </c>
      <c r="H205" s="1159">
        <v>0.54659999999999997</v>
      </c>
      <c r="I205" s="1159">
        <v>-1.8422E-3</v>
      </c>
      <c r="J205" s="1160">
        <v>-70.099999999999994</v>
      </c>
    </row>
    <row r="206" spans="2:10">
      <c r="B206" s="1157" t="s">
        <v>681</v>
      </c>
      <c r="C206" s="1158">
        <v>2015</v>
      </c>
      <c r="D206" s="1157">
        <v>2038000</v>
      </c>
      <c r="E206" s="1159">
        <v>1688000</v>
      </c>
      <c r="F206" s="1160">
        <v>38920</v>
      </c>
      <c r="G206" s="1157">
        <v>180.61</v>
      </c>
      <c r="H206" s="1159">
        <v>0.25748300000000002</v>
      </c>
      <c r="I206" s="1159">
        <v>2.7356999999999998E-3</v>
      </c>
      <c r="J206" s="1160">
        <v>187.32</v>
      </c>
    </row>
    <row r="207" spans="2:10">
      <c r="B207" s="1157" t="s">
        <v>696</v>
      </c>
      <c r="C207" s="1158">
        <v>2015</v>
      </c>
      <c r="D207" s="1157">
        <v>2038000</v>
      </c>
      <c r="E207" s="1159">
        <v>1688000</v>
      </c>
      <c r="F207" s="1160">
        <v>38920</v>
      </c>
      <c r="G207" s="1157">
        <v>180.61</v>
      </c>
      <c r="H207" s="1159">
        <v>0.25748300000000002</v>
      </c>
      <c r="I207" s="1159">
        <v>2.7356999999999998E-3</v>
      </c>
      <c r="J207" s="1160">
        <v>187.32</v>
      </c>
    </row>
    <row r="208" spans="2:10">
      <c r="B208" s="1157" t="s">
        <v>682</v>
      </c>
      <c r="C208" s="1158">
        <v>2015</v>
      </c>
      <c r="D208" s="1157">
        <v>2038000</v>
      </c>
      <c r="E208" s="1159">
        <v>1688000</v>
      </c>
      <c r="F208" s="1160">
        <v>38920</v>
      </c>
      <c r="G208" s="1157">
        <v>180.61</v>
      </c>
      <c r="H208" s="1159">
        <v>0.25748300000000002</v>
      </c>
      <c r="I208" s="1159">
        <v>2.7356999999999998E-3</v>
      </c>
      <c r="J208" s="1160">
        <v>187.32</v>
      </c>
    </row>
    <row r="209" spans="2:10">
      <c r="B209" s="1157" t="s">
        <v>1084</v>
      </c>
      <c r="C209" s="1158">
        <v>2015</v>
      </c>
      <c r="D209" s="1157">
        <v>1022000</v>
      </c>
      <c r="E209" s="1159">
        <v>1021000</v>
      </c>
      <c r="F209" s="1160">
        <v>15590</v>
      </c>
      <c r="G209" s="1157">
        <v>1.8048999999999999</v>
      </c>
      <c r="H209" s="1159">
        <v>0.14106285999999998</v>
      </c>
      <c r="I209" s="1159">
        <v>3.4603000000000001E-5</v>
      </c>
      <c r="J209" s="1160">
        <v>6.0683999999999996</v>
      </c>
    </row>
    <row r="210" spans="2:10">
      <c r="B210" s="1157" t="s">
        <v>714</v>
      </c>
      <c r="C210" s="1158">
        <v>2015</v>
      </c>
      <c r="D210" s="1157">
        <v>1022000</v>
      </c>
      <c r="E210" s="1159">
        <v>1021000</v>
      </c>
      <c r="F210" s="1160">
        <v>15590</v>
      </c>
      <c r="G210" s="1157">
        <v>1.8048999999999999</v>
      </c>
      <c r="H210" s="1159">
        <v>0.14106285999999998</v>
      </c>
      <c r="I210" s="1159">
        <v>3.4603000000000001E-5</v>
      </c>
      <c r="J210" s="1160">
        <v>6.0683999999999996</v>
      </c>
    </row>
    <row r="211" spans="2:10">
      <c r="B211" s="1157" t="s">
        <v>715</v>
      </c>
      <c r="C211" s="1158">
        <v>2015</v>
      </c>
      <c r="D211" s="1157">
        <v>1022000</v>
      </c>
      <c r="E211" s="1159">
        <v>1021000</v>
      </c>
      <c r="F211" s="1160">
        <v>15590</v>
      </c>
      <c r="G211" s="1157">
        <v>1.8048999999999999</v>
      </c>
      <c r="H211" s="1159">
        <v>0.14106285999999998</v>
      </c>
      <c r="I211" s="1159">
        <v>3.4603000000000001E-5</v>
      </c>
      <c r="J211" s="1160">
        <v>6.0683999999999996</v>
      </c>
    </row>
    <row r="212" spans="2:10">
      <c r="B212" s="1157" t="s">
        <v>909</v>
      </c>
      <c r="C212" s="1158">
        <v>2015</v>
      </c>
      <c r="D212" s="1157">
        <v>1210000</v>
      </c>
      <c r="E212" s="1159">
        <v>1204000</v>
      </c>
      <c r="F212" s="1160">
        <v>1053000</v>
      </c>
      <c r="G212" s="1157">
        <v>18.527999999999999</v>
      </c>
      <c r="H212" s="1159">
        <v>0.16494200000000001</v>
      </c>
      <c r="I212" s="1159">
        <v>2.9771000000000002E-4</v>
      </c>
      <c r="J212" s="1160">
        <v>23.579000000000001</v>
      </c>
    </row>
    <row r="213" spans="2:10">
      <c r="B213" s="1157" t="s">
        <v>907</v>
      </c>
      <c r="C213" s="1158">
        <v>2015</v>
      </c>
      <c r="D213" s="1157">
        <v>1642000</v>
      </c>
      <c r="E213" s="1159">
        <v>724000</v>
      </c>
      <c r="F213" s="1160">
        <v>290600</v>
      </c>
      <c r="G213" s="1157">
        <v>41.042999999999999</v>
      </c>
      <c r="H213" s="1159">
        <v>0.1162</v>
      </c>
      <c r="I213" s="1159">
        <v>2.7609999999999999E-2</v>
      </c>
      <c r="J213" s="1160">
        <v>48.36</v>
      </c>
    </row>
    <row r="214" spans="2:10">
      <c r="B214" s="1157" t="s">
        <v>910</v>
      </c>
      <c r="C214" s="1158">
        <v>2015</v>
      </c>
      <c r="D214" s="1157">
        <v>1252000</v>
      </c>
      <c r="E214" s="1159">
        <v>1245000</v>
      </c>
      <c r="F214" s="1160">
        <v>1081000</v>
      </c>
      <c r="G214" s="1157">
        <v>24.462</v>
      </c>
      <c r="H214" s="1159">
        <v>0.17067199999999999</v>
      </c>
      <c r="I214" s="1159">
        <v>3.8633E-4</v>
      </c>
      <c r="J214" s="1160">
        <v>29.811999999999998</v>
      </c>
    </row>
    <row r="215" spans="2:10">
      <c r="B215" s="1157" t="s">
        <v>1078</v>
      </c>
      <c r="C215" s="1158">
        <v>2015</v>
      </c>
      <c r="D215" s="1157">
        <v>1191000</v>
      </c>
      <c r="E215" s="1159">
        <v>53390</v>
      </c>
      <c r="F215" s="1160">
        <v>29910</v>
      </c>
      <c r="G215" s="1157">
        <v>3.9701</v>
      </c>
      <c r="H215" s="1159">
        <v>8.6864999999999998E-3</v>
      </c>
      <c r="I215" s="1159">
        <v>-3.8232459999999998E-3</v>
      </c>
      <c r="J215" s="1160">
        <v>3.2326999999999999</v>
      </c>
    </row>
    <row r="216" spans="2:10">
      <c r="B216" s="1157" t="s">
        <v>813</v>
      </c>
      <c r="C216" s="1158">
        <v>2015</v>
      </c>
      <c r="D216" s="1157">
        <v>1191000</v>
      </c>
      <c r="E216" s="1159">
        <v>53390</v>
      </c>
      <c r="F216" s="1160">
        <v>29910</v>
      </c>
      <c r="G216" s="1157">
        <v>3.9701</v>
      </c>
      <c r="H216" s="1159">
        <v>8.6864999999999998E-3</v>
      </c>
      <c r="I216" s="1159">
        <v>-3.8232459999999998E-3</v>
      </c>
      <c r="J216" s="1160">
        <v>3.2326999999999999</v>
      </c>
    </row>
    <row r="217" spans="2:10">
      <c r="B217" s="1157" t="s">
        <v>822</v>
      </c>
      <c r="C217" s="1158">
        <v>2015</v>
      </c>
      <c r="D217" s="1157">
        <v>1191000</v>
      </c>
      <c r="E217" s="1159">
        <v>53390</v>
      </c>
      <c r="F217" s="1160">
        <v>29910</v>
      </c>
      <c r="G217" s="1157">
        <v>3.9701</v>
      </c>
      <c r="H217" s="1159">
        <v>8.6864999999999998E-3</v>
      </c>
      <c r="I217" s="1159">
        <v>-3.8232459999999998E-3</v>
      </c>
      <c r="J217" s="1160">
        <v>3.2326999999999999</v>
      </c>
    </row>
    <row r="218" spans="2:10" ht="14" thickBot="1">
      <c r="B218" s="1161" t="s">
        <v>1085</v>
      </c>
      <c r="C218" s="1162">
        <v>2015</v>
      </c>
      <c r="D218" s="1161">
        <v>1385000</v>
      </c>
      <c r="E218" s="1163">
        <v>1384000</v>
      </c>
      <c r="F218" s="1164">
        <v>5105</v>
      </c>
      <c r="G218" s="1161">
        <v>78.707400000000007</v>
      </c>
      <c r="H218" s="1163">
        <v>0.27494000000000002</v>
      </c>
      <c r="I218" s="1163">
        <v>2.3330999999999998E-3</v>
      </c>
      <c r="J218" s="1164">
        <v>87.730800000000002</v>
      </c>
    </row>
    <row r="219" spans="2:10">
      <c r="B219" s="1153" t="s">
        <v>1082</v>
      </c>
      <c r="C219" s="1154">
        <v>2020</v>
      </c>
      <c r="D219" s="1153">
        <v>1093000</v>
      </c>
      <c r="E219" s="1155">
        <v>1092000</v>
      </c>
      <c r="F219" s="1156">
        <v>3993</v>
      </c>
      <c r="G219" s="1153">
        <v>5.7995000000000001</v>
      </c>
      <c r="H219" s="1155">
        <v>0.18462100000000001</v>
      </c>
      <c r="I219" s="1155">
        <v>8.6209999999999998E-4</v>
      </c>
      <c r="J219" s="1156">
        <v>11.6227</v>
      </c>
    </row>
    <row r="220" spans="2:10">
      <c r="B220" s="1157" t="s">
        <v>283</v>
      </c>
      <c r="C220" s="1158">
        <v>2020</v>
      </c>
      <c r="D220" s="1157">
        <v>1093000</v>
      </c>
      <c r="E220" s="1159">
        <v>1092000</v>
      </c>
      <c r="F220" s="1160">
        <v>3993</v>
      </c>
      <c r="G220" s="1157">
        <v>5.7995000000000001</v>
      </c>
      <c r="H220" s="1159">
        <v>0.18462100000000001</v>
      </c>
      <c r="I220" s="1159">
        <v>8.6209999999999998E-4</v>
      </c>
      <c r="J220" s="1160">
        <v>11.6227</v>
      </c>
    </row>
    <row r="221" spans="2:10">
      <c r="B221" s="1157" t="s">
        <v>1083</v>
      </c>
      <c r="C221" s="1158">
        <v>2020</v>
      </c>
      <c r="D221" s="1157">
        <v>1093000</v>
      </c>
      <c r="E221" s="1159">
        <v>1092000</v>
      </c>
      <c r="F221" s="1160">
        <v>3993</v>
      </c>
      <c r="G221" s="1157">
        <v>5.7995000000000001</v>
      </c>
      <c r="H221" s="1159">
        <v>0.18462100000000001</v>
      </c>
      <c r="I221" s="1159">
        <v>8.6209999999999998E-4</v>
      </c>
      <c r="J221" s="1160">
        <v>11.6227</v>
      </c>
    </row>
    <row r="222" spans="2:10">
      <c r="B222" s="1157" t="s">
        <v>679</v>
      </c>
      <c r="C222" s="1158">
        <v>2020</v>
      </c>
      <c r="D222" s="1157">
        <v>1093000</v>
      </c>
      <c r="E222" s="1159">
        <v>1092000</v>
      </c>
      <c r="F222" s="1160">
        <v>3993</v>
      </c>
      <c r="G222" s="1157">
        <v>5.7995000000000001</v>
      </c>
      <c r="H222" s="1159">
        <v>0.18462100000000001</v>
      </c>
      <c r="I222" s="1159">
        <v>8.6209999999999998E-4</v>
      </c>
      <c r="J222" s="1160">
        <v>11.6227</v>
      </c>
    </row>
    <row r="223" spans="2:10">
      <c r="B223" s="1157" t="s">
        <v>680</v>
      </c>
      <c r="C223" s="1158">
        <v>2020</v>
      </c>
      <c r="D223" s="1157">
        <v>-1185000</v>
      </c>
      <c r="E223" s="1159">
        <v>0</v>
      </c>
      <c r="F223" s="1160">
        <v>0</v>
      </c>
      <c r="G223" s="1157">
        <v>-85.800000000000011</v>
      </c>
      <c r="H223" s="1159">
        <v>0.54700000000000004</v>
      </c>
      <c r="I223" s="1159">
        <v>-1.8286999999999999E-3</v>
      </c>
      <c r="J223" s="1160">
        <v>-70.08</v>
      </c>
    </row>
    <row r="224" spans="2:10">
      <c r="B224" s="1157" t="s">
        <v>681</v>
      </c>
      <c r="C224" s="1158">
        <v>2020</v>
      </c>
      <c r="D224" s="1157">
        <v>1866000</v>
      </c>
      <c r="E224" s="1159">
        <v>1484000</v>
      </c>
      <c r="F224" s="1160">
        <v>26490</v>
      </c>
      <c r="G224" s="1157">
        <v>161.61000000000001</v>
      </c>
      <c r="H224" s="1159">
        <v>0.22423899999999999</v>
      </c>
      <c r="I224" s="1159">
        <v>2.4153E-3</v>
      </c>
      <c r="J224" s="1160">
        <v>168.06</v>
      </c>
    </row>
    <row r="225" spans="2:10">
      <c r="B225" s="1157" t="s">
        <v>696</v>
      </c>
      <c r="C225" s="1158">
        <v>2020</v>
      </c>
      <c r="D225" s="1157">
        <v>1866000</v>
      </c>
      <c r="E225" s="1159">
        <v>1484000</v>
      </c>
      <c r="F225" s="1160">
        <v>26490</v>
      </c>
      <c r="G225" s="1157">
        <v>161.61000000000001</v>
      </c>
      <c r="H225" s="1159">
        <v>0.22423899999999999</v>
      </c>
      <c r="I225" s="1159">
        <v>2.4153E-3</v>
      </c>
      <c r="J225" s="1160">
        <v>168.06</v>
      </c>
    </row>
    <row r="226" spans="2:10">
      <c r="B226" s="1157" t="s">
        <v>682</v>
      </c>
      <c r="C226" s="1158">
        <v>2020</v>
      </c>
      <c r="D226" s="1157">
        <v>1866000</v>
      </c>
      <c r="E226" s="1159">
        <v>1484000</v>
      </c>
      <c r="F226" s="1160">
        <v>26490</v>
      </c>
      <c r="G226" s="1157">
        <v>161.61000000000001</v>
      </c>
      <c r="H226" s="1159">
        <v>0.22423899999999999</v>
      </c>
      <c r="I226" s="1159">
        <v>2.4153E-3</v>
      </c>
      <c r="J226" s="1160">
        <v>168.06</v>
      </c>
    </row>
    <row r="227" spans="2:10">
      <c r="B227" s="1157" t="s">
        <v>1084</v>
      </c>
      <c r="C227" s="1158">
        <v>2020</v>
      </c>
      <c r="D227" s="1157">
        <v>1022000</v>
      </c>
      <c r="E227" s="1159">
        <v>1021000</v>
      </c>
      <c r="F227" s="1160">
        <v>15530</v>
      </c>
      <c r="G227" s="1157">
        <v>1.7706</v>
      </c>
      <c r="H227" s="1159">
        <v>0.14096106</v>
      </c>
      <c r="I227" s="1159">
        <v>3.4058000000000005E-5</v>
      </c>
      <c r="J227" s="1160">
        <v>6.0322999999999993</v>
      </c>
    </row>
    <row r="228" spans="2:10">
      <c r="B228" s="1157" t="s">
        <v>714</v>
      </c>
      <c r="C228" s="1158">
        <v>2020</v>
      </c>
      <c r="D228" s="1157">
        <v>1022000</v>
      </c>
      <c r="E228" s="1159">
        <v>1021000</v>
      </c>
      <c r="F228" s="1160">
        <v>15530</v>
      </c>
      <c r="G228" s="1157">
        <v>1.7706</v>
      </c>
      <c r="H228" s="1159">
        <v>0.14096106</v>
      </c>
      <c r="I228" s="1159">
        <v>3.4058000000000005E-5</v>
      </c>
      <c r="J228" s="1160">
        <v>6.0322999999999993</v>
      </c>
    </row>
    <row r="229" spans="2:10">
      <c r="B229" s="1157" t="s">
        <v>715</v>
      </c>
      <c r="C229" s="1158">
        <v>2020</v>
      </c>
      <c r="D229" s="1157">
        <v>1022000</v>
      </c>
      <c r="E229" s="1159">
        <v>1021000</v>
      </c>
      <c r="F229" s="1160">
        <v>15530</v>
      </c>
      <c r="G229" s="1157">
        <v>1.7706</v>
      </c>
      <c r="H229" s="1159">
        <v>0.14096106</v>
      </c>
      <c r="I229" s="1159">
        <v>3.4058000000000005E-5</v>
      </c>
      <c r="J229" s="1160">
        <v>6.0322999999999993</v>
      </c>
    </row>
    <row r="230" spans="2:10">
      <c r="B230" s="1157" t="s">
        <v>909</v>
      </c>
      <c r="C230" s="1158">
        <v>2020</v>
      </c>
      <c r="D230" s="1157">
        <v>1211000</v>
      </c>
      <c r="E230" s="1159">
        <v>1205000</v>
      </c>
      <c r="F230" s="1160">
        <v>1052000</v>
      </c>
      <c r="G230" s="1157">
        <v>18.605999999999998</v>
      </c>
      <c r="H230" s="1159">
        <v>0.162991</v>
      </c>
      <c r="I230" s="1159">
        <v>3.0018999999999998E-4</v>
      </c>
      <c r="J230" s="1160">
        <v>23.607999999999997</v>
      </c>
    </row>
    <row r="231" spans="2:10">
      <c r="B231" s="1157" t="s">
        <v>907</v>
      </c>
      <c r="C231" s="1158">
        <v>2020</v>
      </c>
      <c r="D231" s="1157">
        <v>1591000</v>
      </c>
      <c r="E231" s="1159">
        <v>703100</v>
      </c>
      <c r="F231" s="1160">
        <v>286400</v>
      </c>
      <c r="G231" s="1157">
        <v>39.366999999999997</v>
      </c>
      <c r="H231" s="1159">
        <v>0.11210000000000001</v>
      </c>
      <c r="I231" s="1159">
        <v>2.5360000000000001E-2</v>
      </c>
      <c r="J231" s="1160">
        <v>46.16</v>
      </c>
    </row>
    <row r="232" spans="2:10">
      <c r="B232" s="1157" t="s">
        <v>910</v>
      </c>
      <c r="C232" s="1158">
        <v>2020</v>
      </c>
      <c r="D232" s="1157">
        <v>1252000</v>
      </c>
      <c r="E232" s="1159">
        <v>1245000</v>
      </c>
      <c r="F232" s="1160">
        <v>1078000</v>
      </c>
      <c r="G232" s="1157">
        <v>24.533999999999999</v>
      </c>
      <c r="H232" s="1159">
        <v>0.16861900000000002</v>
      </c>
      <c r="I232" s="1159">
        <v>3.8906999999999999E-4</v>
      </c>
      <c r="J232" s="1160">
        <v>29.833999999999996</v>
      </c>
    </row>
    <row r="233" spans="2:10">
      <c r="B233" s="1157" t="s">
        <v>1078</v>
      </c>
      <c r="C233" s="1158">
        <v>2020</v>
      </c>
      <c r="D233" s="1157">
        <v>1190000</v>
      </c>
      <c r="E233" s="1159">
        <v>52190</v>
      </c>
      <c r="F233" s="1160">
        <v>29260</v>
      </c>
      <c r="G233" s="1157">
        <v>3.8701999999999996</v>
      </c>
      <c r="H233" s="1159">
        <v>8.4535000000000009E-3</v>
      </c>
      <c r="I233" s="1159">
        <v>-3.824488E-3</v>
      </c>
      <c r="J233" s="1160">
        <v>3.1251000000000002</v>
      </c>
    </row>
    <row r="234" spans="2:10">
      <c r="B234" s="1157" t="s">
        <v>813</v>
      </c>
      <c r="C234" s="1158">
        <v>2020</v>
      </c>
      <c r="D234" s="1157">
        <v>1190000</v>
      </c>
      <c r="E234" s="1159">
        <v>52190</v>
      </c>
      <c r="F234" s="1160">
        <v>29260</v>
      </c>
      <c r="G234" s="1157">
        <v>3.8701999999999996</v>
      </c>
      <c r="H234" s="1159">
        <v>8.4535000000000009E-3</v>
      </c>
      <c r="I234" s="1159">
        <v>-3.824488E-3</v>
      </c>
      <c r="J234" s="1160">
        <v>3.1251000000000002</v>
      </c>
    </row>
    <row r="235" spans="2:10">
      <c r="B235" s="1157" t="s">
        <v>822</v>
      </c>
      <c r="C235" s="1158">
        <v>2020</v>
      </c>
      <c r="D235" s="1157">
        <v>1190000</v>
      </c>
      <c r="E235" s="1159">
        <v>52190</v>
      </c>
      <c r="F235" s="1160">
        <v>29260</v>
      </c>
      <c r="G235" s="1157">
        <v>3.8701999999999996</v>
      </c>
      <c r="H235" s="1159">
        <v>8.4535000000000009E-3</v>
      </c>
      <c r="I235" s="1159">
        <v>-3.824488E-3</v>
      </c>
      <c r="J235" s="1160">
        <v>3.1251000000000002</v>
      </c>
    </row>
    <row r="236" spans="2:10" ht="14" thickBot="1">
      <c r="B236" s="1161" t="s">
        <v>1085</v>
      </c>
      <c r="C236" s="1162">
        <v>2020</v>
      </c>
      <c r="D236" s="1161">
        <v>1384000</v>
      </c>
      <c r="E236" s="1163">
        <v>1384000</v>
      </c>
      <c r="F236" s="1164">
        <v>5066</v>
      </c>
      <c r="G236" s="1161">
        <v>78.656899999999993</v>
      </c>
      <c r="H236" s="1163">
        <v>0.27494000000000002</v>
      </c>
      <c r="I236" s="1163">
        <v>2.3319E-3</v>
      </c>
      <c r="J236" s="1164">
        <v>87.680599999999998</v>
      </c>
    </row>
    <row r="237" spans="2:10">
      <c r="B237" s="1153" t="s">
        <v>1082</v>
      </c>
      <c r="C237" s="1154">
        <v>2025</v>
      </c>
      <c r="D237" s="1153">
        <v>1093000</v>
      </c>
      <c r="E237" s="1155">
        <v>1092000</v>
      </c>
      <c r="F237" s="1156">
        <v>3984</v>
      </c>
      <c r="G237" s="1153">
        <v>5.7702</v>
      </c>
      <c r="H237" s="1155">
        <v>0.18462100000000001</v>
      </c>
      <c r="I237" s="1155">
        <v>8.6159999999999991E-4</v>
      </c>
      <c r="J237" s="1156">
        <v>11.5953</v>
      </c>
    </row>
    <row r="238" spans="2:10">
      <c r="B238" s="1157" t="s">
        <v>283</v>
      </c>
      <c r="C238" s="1158">
        <v>2025</v>
      </c>
      <c r="D238" s="1157">
        <v>1093000</v>
      </c>
      <c r="E238" s="1159">
        <v>1092000</v>
      </c>
      <c r="F238" s="1160">
        <v>3984</v>
      </c>
      <c r="G238" s="1157">
        <v>5.7702</v>
      </c>
      <c r="H238" s="1159">
        <v>0.18462100000000001</v>
      </c>
      <c r="I238" s="1159">
        <v>8.6159999999999991E-4</v>
      </c>
      <c r="J238" s="1160">
        <v>11.5953</v>
      </c>
    </row>
    <row r="239" spans="2:10">
      <c r="B239" s="1157" t="s">
        <v>1083</v>
      </c>
      <c r="C239" s="1158">
        <v>2025</v>
      </c>
      <c r="D239" s="1157">
        <v>1093000</v>
      </c>
      <c r="E239" s="1159">
        <v>1092000</v>
      </c>
      <c r="F239" s="1160">
        <v>3984</v>
      </c>
      <c r="G239" s="1157">
        <v>5.7702</v>
      </c>
      <c r="H239" s="1159">
        <v>0.18462100000000001</v>
      </c>
      <c r="I239" s="1159">
        <v>8.6159999999999991E-4</v>
      </c>
      <c r="J239" s="1160">
        <v>11.5953</v>
      </c>
    </row>
    <row r="240" spans="2:10">
      <c r="B240" s="1157" t="s">
        <v>679</v>
      </c>
      <c r="C240" s="1158">
        <v>2025</v>
      </c>
      <c r="D240" s="1157">
        <v>1093000</v>
      </c>
      <c r="E240" s="1159">
        <v>1092000</v>
      </c>
      <c r="F240" s="1160">
        <v>3984</v>
      </c>
      <c r="G240" s="1157">
        <v>5.7702</v>
      </c>
      <c r="H240" s="1159">
        <v>0.18462100000000001</v>
      </c>
      <c r="I240" s="1159">
        <v>8.6159999999999991E-4</v>
      </c>
      <c r="J240" s="1160">
        <v>11.5953</v>
      </c>
    </row>
    <row r="241" spans="2:10">
      <c r="B241" s="1157" t="s">
        <v>680</v>
      </c>
      <c r="C241" s="1158">
        <v>2025</v>
      </c>
      <c r="D241" s="1157">
        <v>-1185000</v>
      </c>
      <c r="E241" s="1159">
        <v>0</v>
      </c>
      <c r="F241" s="1160">
        <v>0</v>
      </c>
      <c r="G241" s="1157">
        <v>-85.800000000000011</v>
      </c>
      <c r="H241" s="1159">
        <v>0.54700000000000004</v>
      </c>
      <c r="I241" s="1159">
        <v>-1.8286999999999999E-3</v>
      </c>
      <c r="J241" s="1160">
        <v>-70.08</v>
      </c>
    </row>
    <row r="242" spans="2:10">
      <c r="B242" s="1157" t="s">
        <v>681</v>
      </c>
      <c r="C242" s="1158">
        <v>2025</v>
      </c>
      <c r="D242" s="1157">
        <v>1787000</v>
      </c>
      <c r="E242" s="1159">
        <v>1356000</v>
      </c>
      <c r="F242" s="1160">
        <v>23200</v>
      </c>
      <c r="G242" s="1157">
        <v>145.11000000000001</v>
      </c>
      <c r="H242" s="1159">
        <v>0.20658799999999999</v>
      </c>
      <c r="I242" s="1159">
        <v>2.1538999999999998E-3</v>
      </c>
      <c r="J242" s="1160">
        <v>150.89999999999998</v>
      </c>
    </row>
    <row r="243" spans="2:10">
      <c r="B243" s="1157" t="s">
        <v>696</v>
      </c>
      <c r="C243" s="1158">
        <v>2025</v>
      </c>
      <c r="D243" s="1157">
        <v>1787000</v>
      </c>
      <c r="E243" s="1159">
        <v>1356000</v>
      </c>
      <c r="F243" s="1160">
        <v>23200</v>
      </c>
      <c r="G243" s="1157">
        <v>145.11000000000001</v>
      </c>
      <c r="H243" s="1159">
        <v>0.20658799999999999</v>
      </c>
      <c r="I243" s="1159">
        <v>2.1538999999999998E-3</v>
      </c>
      <c r="J243" s="1160">
        <v>150.89999999999998</v>
      </c>
    </row>
    <row r="244" spans="2:10">
      <c r="B244" s="1157" t="s">
        <v>682</v>
      </c>
      <c r="C244" s="1158">
        <v>2025</v>
      </c>
      <c r="D244" s="1157">
        <v>1787000</v>
      </c>
      <c r="E244" s="1159">
        <v>1356000</v>
      </c>
      <c r="F244" s="1160">
        <v>23200</v>
      </c>
      <c r="G244" s="1157">
        <v>145.11000000000001</v>
      </c>
      <c r="H244" s="1159">
        <v>0.20658799999999999</v>
      </c>
      <c r="I244" s="1159">
        <v>2.1538999999999998E-3</v>
      </c>
      <c r="J244" s="1160">
        <v>150.89999999999998</v>
      </c>
    </row>
    <row r="245" spans="2:10">
      <c r="B245" s="1157" t="s">
        <v>1084</v>
      </c>
      <c r="C245" s="1158">
        <v>2025</v>
      </c>
      <c r="D245" s="1157">
        <v>1022000</v>
      </c>
      <c r="E245" s="1159">
        <v>1021000</v>
      </c>
      <c r="F245" s="1160">
        <v>15530</v>
      </c>
      <c r="G245" s="1157">
        <v>1.7374000000000001</v>
      </c>
      <c r="H245" s="1159">
        <v>0.14096106999999999</v>
      </c>
      <c r="I245" s="1159">
        <v>3.3522000000000002E-5</v>
      </c>
      <c r="J245" s="1160">
        <v>5.9969999999999999</v>
      </c>
    </row>
    <row r="246" spans="2:10">
      <c r="B246" s="1157" t="s">
        <v>714</v>
      </c>
      <c r="C246" s="1158">
        <v>2025</v>
      </c>
      <c r="D246" s="1157">
        <v>1022000</v>
      </c>
      <c r="E246" s="1159">
        <v>1021000</v>
      </c>
      <c r="F246" s="1160">
        <v>15530</v>
      </c>
      <c r="G246" s="1157">
        <v>1.7374000000000001</v>
      </c>
      <c r="H246" s="1159">
        <v>0.14096106999999999</v>
      </c>
      <c r="I246" s="1159">
        <v>3.3522000000000002E-5</v>
      </c>
      <c r="J246" s="1160">
        <v>5.9969999999999999</v>
      </c>
    </row>
    <row r="247" spans="2:10">
      <c r="B247" s="1157" t="s">
        <v>715</v>
      </c>
      <c r="C247" s="1158">
        <v>2025</v>
      </c>
      <c r="D247" s="1157">
        <v>1022000</v>
      </c>
      <c r="E247" s="1159">
        <v>1021000</v>
      </c>
      <c r="F247" s="1160">
        <v>15530</v>
      </c>
      <c r="G247" s="1157">
        <v>1.7374000000000001</v>
      </c>
      <c r="H247" s="1159">
        <v>0.14096106999999999</v>
      </c>
      <c r="I247" s="1159">
        <v>3.3522000000000002E-5</v>
      </c>
      <c r="J247" s="1160">
        <v>5.9969999999999999</v>
      </c>
    </row>
    <row r="248" spans="2:10">
      <c r="B248" s="1157" t="s">
        <v>909</v>
      </c>
      <c r="C248" s="1158">
        <v>2025</v>
      </c>
      <c r="D248" s="1157">
        <v>1210000</v>
      </c>
      <c r="E248" s="1159">
        <v>1203000</v>
      </c>
      <c r="F248" s="1160">
        <v>1052000</v>
      </c>
      <c r="G248" s="1157">
        <v>18.323</v>
      </c>
      <c r="H248" s="1159">
        <v>0.16309799999999999</v>
      </c>
      <c r="I248" s="1159">
        <v>2.9605000000000001E-4</v>
      </c>
      <c r="J248" s="1160">
        <v>23.334</v>
      </c>
    </row>
    <row r="249" spans="2:10">
      <c r="B249" s="1157" t="s">
        <v>907</v>
      </c>
      <c r="C249" s="1158">
        <v>2025</v>
      </c>
      <c r="D249" s="1157">
        <v>1588000</v>
      </c>
      <c r="E249" s="1159">
        <v>698600</v>
      </c>
      <c r="F249" s="1160">
        <v>286300</v>
      </c>
      <c r="G249" s="1157">
        <v>38.775999999999996</v>
      </c>
      <c r="H249" s="1159">
        <v>0.1116</v>
      </c>
      <c r="I249" s="1159">
        <v>2.5360000000000001E-2</v>
      </c>
      <c r="J249" s="1160">
        <v>45.71</v>
      </c>
    </row>
    <row r="250" spans="2:10">
      <c r="B250" s="1157" t="s">
        <v>910</v>
      </c>
      <c r="C250" s="1158">
        <v>2025</v>
      </c>
      <c r="D250" s="1157">
        <v>1251000</v>
      </c>
      <c r="E250" s="1159">
        <v>1243000</v>
      </c>
      <c r="F250" s="1160">
        <v>1078000</v>
      </c>
      <c r="G250" s="1157">
        <v>24.223999999999997</v>
      </c>
      <c r="H250" s="1159">
        <v>0.16872600000000001</v>
      </c>
      <c r="I250" s="1159">
        <v>3.8451000000000002E-4</v>
      </c>
      <c r="J250" s="1160">
        <v>29.523000000000003</v>
      </c>
    </row>
    <row r="251" spans="2:10">
      <c r="B251" s="1157" t="s">
        <v>1078</v>
      </c>
      <c r="C251" s="1158">
        <v>2025</v>
      </c>
      <c r="D251" s="1157">
        <v>1190000</v>
      </c>
      <c r="E251" s="1159">
        <v>51790</v>
      </c>
      <c r="F251" s="1160">
        <v>29250</v>
      </c>
      <c r="G251" s="1157">
        <v>3.8201000000000001</v>
      </c>
      <c r="H251" s="1159">
        <v>8.410599999999999E-3</v>
      </c>
      <c r="I251" s="1159">
        <v>-3.8247120000000001E-3</v>
      </c>
      <c r="J251" s="1160">
        <v>3.0718000000000001</v>
      </c>
    </row>
    <row r="252" spans="2:10">
      <c r="B252" s="1157" t="s">
        <v>813</v>
      </c>
      <c r="C252" s="1158">
        <v>2025</v>
      </c>
      <c r="D252" s="1157">
        <v>1190000</v>
      </c>
      <c r="E252" s="1159">
        <v>51790</v>
      </c>
      <c r="F252" s="1160">
        <v>29250</v>
      </c>
      <c r="G252" s="1157">
        <v>3.8201000000000001</v>
      </c>
      <c r="H252" s="1159">
        <v>8.410599999999999E-3</v>
      </c>
      <c r="I252" s="1159">
        <v>-3.8247120000000001E-3</v>
      </c>
      <c r="J252" s="1160">
        <v>3.0718000000000001</v>
      </c>
    </row>
    <row r="253" spans="2:10">
      <c r="B253" s="1157" t="s">
        <v>822</v>
      </c>
      <c r="C253" s="1158">
        <v>2025</v>
      </c>
      <c r="D253" s="1157">
        <v>1190000</v>
      </c>
      <c r="E253" s="1159">
        <v>51790</v>
      </c>
      <c r="F253" s="1160">
        <v>29250</v>
      </c>
      <c r="G253" s="1157">
        <v>3.8201000000000001</v>
      </c>
      <c r="H253" s="1159">
        <v>8.410599999999999E-3</v>
      </c>
      <c r="I253" s="1159">
        <v>-3.8247120000000001E-3</v>
      </c>
      <c r="J253" s="1160">
        <v>3.0718000000000001</v>
      </c>
    </row>
    <row r="254" spans="2:10" ht="14" thickBot="1">
      <c r="B254" s="1161" t="s">
        <v>1085</v>
      </c>
      <c r="C254" s="1162">
        <v>2025</v>
      </c>
      <c r="D254" s="1161">
        <v>1384000</v>
      </c>
      <c r="E254" s="1163">
        <v>1383000</v>
      </c>
      <c r="F254" s="1164">
        <v>5053</v>
      </c>
      <c r="G254" s="1161">
        <v>78.616100000000003</v>
      </c>
      <c r="H254" s="1163">
        <v>0.27494000000000002</v>
      </c>
      <c r="I254" s="1163">
        <v>2.3316999999999999E-3</v>
      </c>
      <c r="J254" s="1164">
        <v>87.639700000000005</v>
      </c>
    </row>
    <row r="255" spans="2:10">
      <c r="B255" s="1153" t="s">
        <v>1082</v>
      </c>
      <c r="C255" s="1154">
        <v>2030</v>
      </c>
      <c r="D255" s="1153">
        <v>1092000</v>
      </c>
      <c r="E255" s="1155">
        <v>1092000</v>
      </c>
      <c r="F255" s="1156">
        <v>3981</v>
      </c>
      <c r="G255" s="1153">
        <v>5.7552000000000003</v>
      </c>
      <c r="H255" s="1155">
        <v>0.18462100000000001</v>
      </c>
      <c r="I255" s="1155">
        <v>8.6129999999999996E-4</v>
      </c>
      <c r="J255" s="1156">
        <v>11.5802</v>
      </c>
    </row>
    <row r="256" spans="2:10">
      <c r="B256" s="1157" t="s">
        <v>283</v>
      </c>
      <c r="C256" s="1158">
        <v>2030</v>
      </c>
      <c r="D256" s="1157">
        <v>1092000</v>
      </c>
      <c r="E256" s="1159">
        <v>1092000</v>
      </c>
      <c r="F256" s="1160">
        <v>3981</v>
      </c>
      <c r="G256" s="1157">
        <v>5.7552000000000003</v>
      </c>
      <c r="H256" s="1159">
        <v>0.18462100000000001</v>
      </c>
      <c r="I256" s="1159">
        <v>8.6129999999999996E-4</v>
      </c>
      <c r="J256" s="1160">
        <v>11.5802</v>
      </c>
    </row>
    <row r="257" spans="2:10">
      <c r="B257" s="1157" t="s">
        <v>1083</v>
      </c>
      <c r="C257" s="1158">
        <v>2030</v>
      </c>
      <c r="D257" s="1157">
        <v>1092000</v>
      </c>
      <c r="E257" s="1159">
        <v>1092000</v>
      </c>
      <c r="F257" s="1160">
        <v>3981</v>
      </c>
      <c r="G257" s="1157">
        <v>5.7552000000000003</v>
      </c>
      <c r="H257" s="1159">
        <v>0.18462100000000001</v>
      </c>
      <c r="I257" s="1159">
        <v>8.6129999999999996E-4</v>
      </c>
      <c r="J257" s="1160">
        <v>11.5802</v>
      </c>
    </row>
    <row r="258" spans="2:10">
      <c r="B258" s="1157" t="s">
        <v>679</v>
      </c>
      <c r="C258" s="1158">
        <v>2030</v>
      </c>
      <c r="D258" s="1157">
        <v>1092000</v>
      </c>
      <c r="E258" s="1159">
        <v>1092000</v>
      </c>
      <c r="F258" s="1160">
        <v>3981</v>
      </c>
      <c r="G258" s="1157">
        <v>5.7552000000000003</v>
      </c>
      <c r="H258" s="1159">
        <v>0.18462100000000001</v>
      </c>
      <c r="I258" s="1159">
        <v>8.6129999999999996E-4</v>
      </c>
      <c r="J258" s="1160">
        <v>11.5802</v>
      </c>
    </row>
    <row r="259" spans="2:10">
      <c r="B259" s="1157" t="s">
        <v>680</v>
      </c>
      <c r="C259" s="1158">
        <v>2030</v>
      </c>
      <c r="D259" s="1157">
        <v>-1185000</v>
      </c>
      <c r="E259" s="1159">
        <v>0</v>
      </c>
      <c r="F259" s="1160">
        <v>0</v>
      </c>
      <c r="G259" s="1157">
        <v>-85.800000000000011</v>
      </c>
      <c r="H259" s="1159">
        <v>0.54700000000000004</v>
      </c>
      <c r="I259" s="1159">
        <v>-1.8286999999999999E-3</v>
      </c>
      <c r="J259" s="1160">
        <v>-70.08</v>
      </c>
    </row>
    <row r="260" spans="2:10">
      <c r="B260" s="1157" t="s">
        <v>681</v>
      </c>
      <c r="C260" s="1158">
        <v>2030</v>
      </c>
      <c r="D260" s="1157">
        <v>1749000</v>
      </c>
      <c r="E260" s="1159">
        <v>1310000</v>
      </c>
      <c r="F260" s="1160">
        <v>19790</v>
      </c>
      <c r="G260" s="1157">
        <v>134.88</v>
      </c>
      <c r="H260" s="1159">
        <v>0.20275799999999999</v>
      </c>
      <c r="I260" s="1159">
        <v>1.9713E-3</v>
      </c>
      <c r="J260" s="1160">
        <v>140.09</v>
      </c>
    </row>
    <row r="261" spans="2:10">
      <c r="B261" s="1157" t="s">
        <v>696</v>
      </c>
      <c r="C261" s="1158">
        <v>2030</v>
      </c>
      <c r="D261" s="1157">
        <v>1749000</v>
      </c>
      <c r="E261" s="1159">
        <v>1310000</v>
      </c>
      <c r="F261" s="1160">
        <v>19790</v>
      </c>
      <c r="G261" s="1157">
        <v>134.88</v>
      </c>
      <c r="H261" s="1159">
        <v>0.20275799999999999</v>
      </c>
      <c r="I261" s="1159">
        <v>1.9713E-3</v>
      </c>
      <c r="J261" s="1160">
        <v>140.09</v>
      </c>
    </row>
    <row r="262" spans="2:10">
      <c r="B262" s="1157" t="s">
        <v>682</v>
      </c>
      <c r="C262" s="1158">
        <v>2030</v>
      </c>
      <c r="D262" s="1157">
        <v>1749000</v>
      </c>
      <c r="E262" s="1159">
        <v>1310000</v>
      </c>
      <c r="F262" s="1160">
        <v>19790</v>
      </c>
      <c r="G262" s="1157">
        <v>134.88</v>
      </c>
      <c r="H262" s="1159">
        <v>0.20275799999999999</v>
      </c>
      <c r="I262" s="1159">
        <v>1.9713E-3</v>
      </c>
      <c r="J262" s="1160">
        <v>140.09</v>
      </c>
    </row>
    <row r="263" spans="2:10">
      <c r="B263" s="1157" t="s">
        <v>1084</v>
      </c>
      <c r="C263" s="1158">
        <v>2030</v>
      </c>
      <c r="D263" s="1157">
        <v>1022000</v>
      </c>
      <c r="E263" s="1159">
        <v>1021000</v>
      </c>
      <c r="F263" s="1160">
        <v>15520</v>
      </c>
      <c r="G263" s="1157">
        <v>1.716</v>
      </c>
      <c r="H263" s="1159">
        <v>0.14096175</v>
      </c>
      <c r="I263" s="1159">
        <v>3.3149000000000004E-5</v>
      </c>
      <c r="J263" s="1160">
        <v>5.9754000000000005</v>
      </c>
    </row>
    <row r="264" spans="2:10">
      <c r="B264" s="1157" t="s">
        <v>714</v>
      </c>
      <c r="C264" s="1158">
        <v>2030</v>
      </c>
      <c r="D264" s="1157">
        <v>1022000</v>
      </c>
      <c r="E264" s="1159">
        <v>1021000</v>
      </c>
      <c r="F264" s="1160">
        <v>15520</v>
      </c>
      <c r="G264" s="1157">
        <v>1.716</v>
      </c>
      <c r="H264" s="1159">
        <v>0.14096175</v>
      </c>
      <c r="I264" s="1159">
        <v>3.3149000000000004E-5</v>
      </c>
      <c r="J264" s="1160">
        <v>5.9754000000000005</v>
      </c>
    </row>
    <row r="265" spans="2:10">
      <c r="B265" s="1157" t="s">
        <v>715</v>
      </c>
      <c r="C265" s="1158">
        <v>2030</v>
      </c>
      <c r="D265" s="1157">
        <v>1022000</v>
      </c>
      <c r="E265" s="1159">
        <v>1021000</v>
      </c>
      <c r="F265" s="1160">
        <v>15520</v>
      </c>
      <c r="G265" s="1157">
        <v>1.716</v>
      </c>
      <c r="H265" s="1159">
        <v>0.14096175</v>
      </c>
      <c r="I265" s="1159">
        <v>3.3149000000000004E-5</v>
      </c>
      <c r="J265" s="1160">
        <v>5.9754000000000005</v>
      </c>
    </row>
    <row r="266" spans="2:10">
      <c r="B266" s="1157" t="s">
        <v>909</v>
      </c>
      <c r="C266" s="1158">
        <v>2030</v>
      </c>
      <c r="D266" s="1157">
        <v>1209000</v>
      </c>
      <c r="E266" s="1159">
        <v>1202000</v>
      </c>
      <c r="F266" s="1160">
        <v>1052000</v>
      </c>
      <c r="G266" s="1157">
        <v>18.120999999999999</v>
      </c>
      <c r="H266" s="1159">
        <v>0.16412299999999999</v>
      </c>
      <c r="I266" s="1159">
        <v>2.9339999999999998E-4</v>
      </c>
      <c r="J266" s="1160">
        <v>23.162000000000003</v>
      </c>
    </row>
    <row r="267" spans="2:10">
      <c r="B267" s="1157" t="s">
        <v>907</v>
      </c>
      <c r="C267" s="1158">
        <v>2030</v>
      </c>
      <c r="D267" s="1157">
        <v>1586000</v>
      </c>
      <c r="E267" s="1159">
        <v>697000</v>
      </c>
      <c r="F267" s="1160">
        <v>286200</v>
      </c>
      <c r="G267" s="1157">
        <v>38.404000000000003</v>
      </c>
      <c r="H267" s="1159">
        <v>0.1118</v>
      </c>
      <c r="I267" s="1159">
        <v>2.5350000000000001E-2</v>
      </c>
      <c r="J267" s="1160">
        <v>45.44</v>
      </c>
    </row>
    <row r="268" spans="2:10">
      <c r="B268" s="1157" t="s">
        <v>910</v>
      </c>
      <c r="C268" s="1158">
        <v>2030</v>
      </c>
      <c r="D268" s="1157">
        <v>1250000</v>
      </c>
      <c r="E268" s="1159">
        <v>1242000</v>
      </c>
      <c r="F268" s="1160">
        <v>1078000</v>
      </c>
      <c r="G268" s="1157">
        <v>24.006999999999998</v>
      </c>
      <c r="H268" s="1159">
        <v>0.16975200000000001</v>
      </c>
      <c r="I268" s="1159">
        <v>3.8147000000000002E-4</v>
      </c>
      <c r="J268" s="1160">
        <v>29.335999999999999</v>
      </c>
    </row>
    <row r="269" spans="2:10">
      <c r="B269" s="1157" t="s">
        <v>1078</v>
      </c>
      <c r="C269" s="1158">
        <v>2030</v>
      </c>
      <c r="D269" s="1157">
        <v>1190000</v>
      </c>
      <c r="E269" s="1159">
        <v>51650</v>
      </c>
      <c r="F269" s="1160">
        <v>29230</v>
      </c>
      <c r="G269" s="1157">
        <v>3.7881999999999998</v>
      </c>
      <c r="H269" s="1159">
        <v>8.4297E-3</v>
      </c>
      <c r="I269" s="1159">
        <v>-3.825901E-3</v>
      </c>
      <c r="J269" s="1160">
        <v>3.0377000000000001</v>
      </c>
    </row>
    <row r="270" spans="2:10">
      <c r="B270" s="1157" t="s">
        <v>813</v>
      </c>
      <c r="C270" s="1158">
        <v>2030</v>
      </c>
      <c r="D270" s="1157">
        <v>1190000</v>
      </c>
      <c r="E270" s="1159">
        <v>51650</v>
      </c>
      <c r="F270" s="1160">
        <v>29230</v>
      </c>
      <c r="G270" s="1157">
        <v>3.7881999999999998</v>
      </c>
      <c r="H270" s="1159">
        <v>8.4297E-3</v>
      </c>
      <c r="I270" s="1159">
        <v>-3.825901E-3</v>
      </c>
      <c r="J270" s="1160">
        <v>3.0377000000000001</v>
      </c>
    </row>
    <row r="271" spans="2:10">
      <c r="B271" s="1157" t="s">
        <v>822</v>
      </c>
      <c r="C271" s="1158">
        <v>2030</v>
      </c>
      <c r="D271" s="1157">
        <v>1190000</v>
      </c>
      <c r="E271" s="1159">
        <v>51650</v>
      </c>
      <c r="F271" s="1160">
        <v>29230</v>
      </c>
      <c r="G271" s="1157">
        <v>3.7881999999999998</v>
      </c>
      <c r="H271" s="1159">
        <v>8.4297E-3</v>
      </c>
      <c r="I271" s="1159">
        <v>-3.825901E-3</v>
      </c>
      <c r="J271" s="1160">
        <v>3.0377000000000001</v>
      </c>
    </row>
    <row r="272" spans="2:10" ht="14" thickBot="1">
      <c r="B272" s="1161" t="s">
        <v>1085</v>
      </c>
      <c r="C272" s="1162">
        <v>2030</v>
      </c>
      <c r="D272" s="1161">
        <v>1384000</v>
      </c>
      <c r="E272" s="1163">
        <v>1383000</v>
      </c>
      <c r="F272" s="1164">
        <v>5048</v>
      </c>
      <c r="G272" s="1161">
        <v>78.598700000000008</v>
      </c>
      <c r="H272" s="1163">
        <v>0.27484000000000003</v>
      </c>
      <c r="I272" s="1163">
        <v>2.3306000000000004E-3</v>
      </c>
      <c r="J272" s="1164">
        <v>87.622100000000003</v>
      </c>
    </row>
    <row r="273" spans="2:10">
      <c r="B273" s="1153" t="s">
        <v>1082</v>
      </c>
      <c r="C273" s="1154">
        <v>2035</v>
      </c>
      <c r="D273" s="1153">
        <v>1092000</v>
      </c>
      <c r="E273" s="1155">
        <v>1092000</v>
      </c>
      <c r="F273" s="1156">
        <v>3981</v>
      </c>
      <c r="G273" s="1153">
        <v>5.7552000000000003</v>
      </c>
      <c r="H273" s="1155">
        <v>0.18462100000000001</v>
      </c>
      <c r="I273" s="1155">
        <v>8.6129999999999996E-4</v>
      </c>
      <c r="J273" s="1156">
        <v>11.5802</v>
      </c>
    </row>
    <row r="274" spans="2:10">
      <c r="B274" s="1157" t="s">
        <v>283</v>
      </c>
      <c r="C274" s="1158">
        <v>2035</v>
      </c>
      <c r="D274" s="1157">
        <v>1092000</v>
      </c>
      <c r="E274" s="1159">
        <v>1092000</v>
      </c>
      <c r="F274" s="1160">
        <v>3981</v>
      </c>
      <c r="G274" s="1157">
        <v>5.7552000000000003</v>
      </c>
      <c r="H274" s="1159">
        <v>0.18462100000000001</v>
      </c>
      <c r="I274" s="1159">
        <v>8.6129999999999996E-4</v>
      </c>
      <c r="J274" s="1160">
        <v>11.5802</v>
      </c>
    </row>
    <row r="275" spans="2:10">
      <c r="B275" s="1157" t="s">
        <v>1083</v>
      </c>
      <c r="C275" s="1158">
        <v>2035</v>
      </c>
      <c r="D275" s="1157">
        <v>1092000</v>
      </c>
      <c r="E275" s="1159">
        <v>1092000</v>
      </c>
      <c r="F275" s="1160">
        <v>3981</v>
      </c>
      <c r="G275" s="1157">
        <v>5.7552000000000003</v>
      </c>
      <c r="H275" s="1159">
        <v>0.18462100000000001</v>
      </c>
      <c r="I275" s="1159">
        <v>8.6129999999999996E-4</v>
      </c>
      <c r="J275" s="1160">
        <v>11.5802</v>
      </c>
    </row>
    <row r="276" spans="2:10">
      <c r="B276" s="1157" t="s">
        <v>679</v>
      </c>
      <c r="C276" s="1158">
        <v>2035</v>
      </c>
      <c r="D276" s="1157">
        <v>1092000</v>
      </c>
      <c r="E276" s="1159">
        <v>1092000</v>
      </c>
      <c r="F276" s="1160">
        <v>3981</v>
      </c>
      <c r="G276" s="1157">
        <v>5.7552000000000003</v>
      </c>
      <c r="H276" s="1159">
        <v>0.18462100000000001</v>
      </c>
      <c r="I276" s="1159">
        <v>8.6129999999999996E-4</v>
      </c>
      <c r="J276" s="1160">
        <v>11.5802</v>
      </c>
    </row>
    <row r="277" spans="2:10">
      <c r="B277" s="1157" t="s">
        <v>680</v>
      </c>
      <c r="C277" s="1158">
        <v>2035</v>
      </c>
      <c r="D277" s="1157">
        <v>-1185000</v>
      </c>
      <c r="E277" s="1159">
        <v>0</v>
      </c>
      <c r="F277" s="1160">
        <v>0</v>
      </c>
      <c r="G277" s="1157">
        <v>-85.800000000000011</v>
      </c>
      <c r="H277" s="1159">
        <v>0.54700000000000004</v>
      </c>
      <c r="I277" s="1159">
        <v>-1.8286999999999999E-3</v>
      </c>
      <c r="J277" s="1160">
        <v>-70.08</v>
      </c>
    </row>
    <row r="278" spans="2:10">
      <c r="B278" s="1157" t="s">
        <v>681</v>
      </c>
      <c r="C278" s="1158">
        <v>2035</v>
      </c>
      <c r="D278" s="1157">
        <v>1745000</v>
      </c>
      <c r="E278" s="1159">
        <v>1314000</v>
      </c>
      <c r="F278" s="1160">
        <v>18650</v>
      </c>
      <c r="G278" s="1157">
        <v>132.69</v>
      </c>
      <c r="H278" s="1159">
        <v>0.204869</v>
      </c>
      <c r="I278" s="1159">
        <v>1.9257999999999999E-3</v>
      </c>
      <c r="J278" s="1160">
        <v>137.91999999999999</v>
      </c>
    </row>
    <row r="279" spans="2:10">
      <c r="B279" s="1157" t="s">
        <v>696</v>
      </c>
      <c r="C279" s="1158">
        <v>2035</v>
      </c>
      <c r="D279" s="1157">
        <v>1745000</v>
      </c>
      <c r="E279" s="1159">
        <v>1314000</v>
      </c>
      <c r="F279" s="1160">
        <v>18650</v>
      </c>
      <c r="G279" s="1157">
        <v>132.69</v>
      </c>
      <c r="H279" s="1159">
        <v>0.204869</v>
      </c>
      <c r="I279" s="1159">
        <v>1.9257999999999999E-3</v>
      </c>
      <c r="J279" s="1160">
        <v>137.91999999999999</v>
      </c>
    </row>
    <row r="280" spans="2:10">
      <c r="B280" s="1157" t="s">
        <v>682</v>
      </c>
      <c r="C280" s="1158">
        <v>2035</v>
      </c>
      <c r="D280" s="1157">
        <v>1745000</v>
      </c>
      <c r="E280" s="1159">
        <v>1314000</v>
      </c>
      <c r="F280" s="1160">
        <v>18650</v>
      </c>
      <c r="G280" s="1157">
        <v>132.69</v>
      </c>
      <c r="H280" s="1159">
        <v>0.204869</v>
      </c>
      <c r="I280" s="1159">
        <v>1.9257999999999999E-3</v>
      </c>
      <c r="J280" s="1160">
        <v>137.91999999999999</v>
      </c>
    </row>
    <row r="281" spans="2:10">
      <c r="B281" s="1157" t="s">
        <v>1084</v>
      </c>
      <c r="C281" s="1158">
        <v>2035</v>
      </c>
      <c r="D281" s="1157">
        <v>1022000</v>
      </c>
      <c r="E281" s="1159">
        <v>1021000</v>
      </c>
      <c r="F281" s="1160">
        <v>15520</v>
      </c>
      <c r="G281" s="1157">
        <v>1.7124999999999999</v>
      </c>
      <c r="H281" s="1159">
        <v>0.14096197999999999</v>
      </c>
      <c r="I281" s="1159">
        <v>3.3061000000000001E-5</v>
      </c>
      <c r="J281" s="1160">
        <v>5.9708000000000006</v>
      </c>
    </row>
    <row r="282" spans="2:10">
      <c r="B282" s="1157" t="s">
        <v>714</v>
      </c>
      <c r="C282" s="1158">
        <v>2035</v>
      </c>
      <c r="D282" s="1157">
        <v>1022000</v>
      </c>
      <c r="E282" s="1159">
        <v>1021000</v>
      </c>
      <c r="F282" s="1160">
        <v>15520</v>
      </c>
      <c r="G282" s="1157">
        <v>1.7124999999999999</v>
      </c>
      <c r="H282" s="1159">
        <v>0.14096197999999999</v>
      </c>
      <c r="I282" s="1159">
        <v>3.3061000000000001E-5</v>
      </c>
      <c r="J282" s="1160">
        <v>5.9708000000000006</v>
      </c>
    </row>
    <row r="283" spans="2:10">
      <c r="B283" s="1157" t="s">
        <v>715</v>
      </c>
      <c r="C283" s="1158">
        <v>2035</v>
      </c>
      <c r="D283" s="1157">
        <v>1022000</v>
      </c>
      <c r="E283" s="1159">
        <v>1021000</v>
      </c>
      <c r="F283" s="1160">
        <v>15520</v>
      </c>
      <c r="G283" s="1157">
        <v>1.7124999999999999</v>
      </c>
      <c r="H283" s="1159">
        <v>0.14096197999999999</v>
      </c>
      <c r="I283" s="1159">
        <v>3.3061000000000001E-5</v>
      </c>
      <c r="J283" s="1160">
        <v>5.9708000000000006</v>
      </c>
    </row>
    <row r="284" spans="2:10">
      <c r="B284" s="1157" t="s">
        <v>909</v>
      </c>
      <c r="C284" s="1158">
        <v>2035</v>
      </c>
      <c r="D284" s="1157">
        <v>1209000</v>
      </c>
      <c r="E284" s="1159">
        <v>1202000</v>
      </c>
      <c r="F284" s="1160">
        <v>1052000</v>
      </c>
      <c r="G284" s="1157">
        <v>18.088999999999999</v>
      </c>
      <c r="H284" s="1159">
        <v>0.16412499999999999</v>
      </c>
      <c r="I284" s="1159">
        <v>2.9260000000000001E-4</v>
      </c>
      <c r="J284" s="1160">
        <v>23.119</v>
      </c>
    </row>
    <row r="285" spans="2:10">
      <c r="B285" s="1157" t="s">
        <v>907</v>
      </c>
      <c r="C285" s="1158">
        <v>2035</v>
      </c>
      <c r="D285" s="1157">
        <v>1586000</v>
      </c>
      <c r="E285" s="1159">
        <v>697100</v>
      </c>
      <c r="F285" s="1160">
        <v>286100</v>
      </c>
      <c r="G285" s="1157">
        <v>38.326999999999998</v>
      </c>
      <c r="H285" s="1159">
        <v>0.1118</v>
      </c>
      <c r="I285" s="1159">
        <v>2.5350000000000001E-2</v>
      </c>
      <c r="J285" s="1160">
        <v>45.39</v>
      </c>
    </row>
    <row r="286" spans="2:10">
      <c r="B286" s="1157" t="s">
        <v>910</v>
      </c>
      <c r="C286" s="1158">
        <v>2035</v>
      </c>
      <c r="D286" s="1157">
        <v>1250000</v>
      </c>
      <c r="E286" s="1159">
        <v>1242000</v>
      </c>
      <c r="F286" s="1160">
        <v>1078000</v>
      </c>
      <c r="G286" s="1157">
        <v>23.973999999999997</v>
      </c>
      <c r="H286" s="1159">
        <v>0.169854</v>
      </c>
      <c r="I286" s="1159">
        <v>3.8064000000000001E-4</v>
      </c>
      <c r="J286" s="1160">
        <v>29.302</v>
      </c>
    </row>
    <row r="287" spans="2:10">
      <c r="B287" s="1157" t="s">
        <v>1078</v>
      </c>
      <c r="C287" s="1158">
        <v>2035</v>
      </c>
      <c r="D287" s="1157">
        <v>1190000</v>
      </c>
      <c r="E287" s="1159">
        <v>51660</v>
      </c>
      <c r="F287" s="1160">
        <v>29230</v>
      </c>
      <c r="G287" s="1157">
        <v>3.7818000000000001</v>
      </c>
      <c r="H287" s="1159">
        <v>8.4370999999999995E-3</v>
      </c>
      <c r="I287" s="1159">
        <v>-3.8259590000000003E-3</v>
      </c>
      <c r="J287" s="1160">
        <v>3.0312999999999999</v>
      </c>
    </row>
    <row r="288" spans="2:10">
      <c r="B288" s="1157" t="s">
        <v>813</v>
      </c>
      <c r="C288" s="1158">
        <v>2035</v>
      </c>
      <c r="D288" s="1157">
        <v>1190000</v>
      </c>
      <c r="E288" s="1159">
        <v>51660</v>
      </c>
      <c r="F288" s="1160">
        <v>29230</v>
      </c>
      <c r="G288" s="1157">
        <v>3.7818000000000001</v>
      </c>
      <c r="H288" s="1159">
        <v>8.4370999999999995E-3</v>
      </c>
      <c r="I288" s="1159">
        <v>-3.8259590000000003E-3</v>
      </c>
      <c r="J288" s="1160">
        <v>3.0312999999999999</v>
      </c>
    </row>
    <row r="289" spans="2:10">
      <c r="B289" s="1157" t="s">
        <v>822</v>
      </c>
      <c r="C289" s="1158">
        <v>2035</v>
      </c>
      <c r="D289" s="1157">
        <v>1190000</v>
      </c>
      <c r="E289" s="1159">
        <v>51660</v>
      </c>
      <c r="F289" s="1160">
        <v>29230</v>
      </c>
      <c r="G289" s="1157">
        <v>3.7818000000000001</v>
      </c>
      <c r="H289" s="1159">
        <v>8.4370999999999995E-3</v>
      </c>
      <c r="I289" s="1159">
        <v>-3.8259590000000003E-3</v>
      </c>
      <c r="J289" s="1160">
        <v>3.0312999999999999</v>
      </c>
    </row>
    <row r="290" spans="2:10" ht="14" thickBot="1">
      <c r="B290" s="1161" t="s">
        <v>1085</v>
      </c>
      <c r="C290" s="1162">
        <v>2035</v>
      </c>
      <c r="D290" s="1161">
        <v>1384000</v>
      </c>
      <c r="E290" s="1163">
        <v>1383000</v>
      </c>
      <c r="F290" s="1164">
        <v>5034</v>
      </c>
      <c r="G290" s="1161">
        <v>78.571100000000001</v>
      </c>
      <c r="H290" s="1163">
        <v>0.27494000000000002</v>
      </c>
      <c r="I290" s="1163">
        <v>2.3304000000000003E-3</v>
      </c>
      <c r="J290" s="1164">
        <v>87.594300000000004</v>
      </c>
    </row>
    <row r="291" spans="2:10">
      <c r="B291" s="1153" t="s">
        <v>1082</v>
      </c>
      <c r="C291" s="1154">
        <v>2040</v>
      </c>
      <c r="D291" s="1153">
        <v>1092000</v>
      </c>
      <c r="E291" s="1155">
        <v>1092000</v>
      </c>
      <c r="F291" s="1156">
        <v>3975</v>
      </c>
      <c r="G291" s="1153">
        <v>5.7453000000000003</v>
      </c>
      <c r="H291" s="1155">
        <v>0.18462200000000001</v>
      </c>
      <c r="I291" s="1155">
        <v>8.6110000000000006E-4</v>
      </c>
      <c r="J291" s="1156">
        <v>11.577199999999999</v>
      </c>
    </row>
    <row r="292" spans="2:10">
      <c r="B292" s="1157" t="s">
        <v>283</v>
      </c>
      <c r="C292" s="1158">
        <v>2040</v>
      </c>
      <c r="D292" s="1157">
        <v>1092000</v>
      </c>
      <c r="E292" s="1159">
        <v>1092000</v>
      </c>
      <c r="F292" s="1160">
        <v>3975</v>
      </c>
      <c r="G292" s="1157">
        <v>5.7453000000000003</v>
      </c>
      <c r="H292" s="1159">
        <v>0.18462200000000001</v>
      </c>
      <c r="I292" s="1159">
        <v>8.6110000000000006E-4</v>
      </c>
      <c r="J292" s="1160">
        <v>11.577199999999999</v>
      </c>
    </row>
    <row r="293" spans="2:10">
      <c r="B293" s="1157" t="s">
        <v>1083</v>
      </c>
      <c r="C293" s="1158">
        <v>2040</v>
      </c>
      <c r="D293" s="1157">
        <v>1092000</v>
      </c>
      <c r="E293" s="1159">
        <v>1092000</v>
      </c>
      <c r="F293" s="1160">
        <v>3975</v>
      </c>
      <c r="G293" s="1157">
        <v>5.7453000000000003</v>
      </c>
      <c r="H293" s="1159">
        <v>0.18462200000000001</v>
      </c>
      <c r="I293" s="1159">
        <v>8.6110000000000006E-4</v>
      </c>
      <c r="J293" s="1160">
        <v>11.577199999999999</v>
      </c>
    </row>
    <row r="294" spans="2:10">
      <c r="B294" s="1157" t="s">
        <v>679</v>
      </c>
      <c r="C294" s="1158">
        <v>2040</v>
      </c>
      <c r="D294" s="1157">
        <v>1092000</v>
      </c>
      <c r="E294" s="1159">
        <v>1092000</v>
      </c>
      <c r="F294" s="1160">
        <v>3975</v>
      </c>
      <c r="G294" s="1157">
        <v>5.7453000000000003</v>
      </c>
      <c r="H294" s="1159">
        <v>0.18462200000000001</v>
      </c>
      <c r="I294" s="1159">
        <v>8.6110000000000006E-4</v>
      </c>
      <c r="J294" s="1160">
        <v>11.577199999999999</v>
      </c>
    </row>
    <row r="295" spans="2:10">
      <c r="B295" s="1157" t="s">
        <v>680</v>
      </c>
      <c r="C295" s="1158">
        <v>2040</v>
      </c>
      <c r="D295" s="1157">
        <v>-1185000</v>
      </c>
      <c r="E295" s="1159">
        <v>0</v>
      </c>
      <c r="F295" s="1160">
        <v>0</v>
      </c>
      <c r="G295" s="1157">
        <v>-85.800000000000011</v>
      </c>
      <c r="H295" s="1159">
        <v>0.54700000000000004</v>
      </c>
      <c r="I295" s="1159">
        <v>-1.8286999999999999E-3</v>
      </c>
      <c r="J295" s="1160">
        <v>-70.08</v>
      </c>
    </row>
    <row r="296" spans="2:10">
      <c r="B296" s="1157" t="s">
        <v>681</v>
      </c>
      <c r="C296" s="1158">
        <v>2040</v>
      </c>
      <c r="D296" s="1157">
        <v>1732000</v>
      </c>
      <c r="E296" s="1159">
        <v>1300000</v>
      </c>
      <c r="F296" s="1160">
        <v>17320</v>
      </c>
      <c r="G296" s="1157">
        <v>129.32</v>
      </c>
      <c r="H296" s="1159">
        <v>0.20383000000000001</v>
      </c>
      <c r="I296" s="1159">
        <v>1.8644999999999998E-3</v>
      </c>
      <c r="J296" s="1160">
        <v>134.37</v>
      </c>
    </row>
    <row r="297" spans="2:10">
      <c r="B297" s="1157" t="s">
        <v>696</v>
      </c>
      <c r="C297" s="1158">
        <v>2040</v>
      </c>
      <c r="D297" s="1157">
        <v>1732000</v>
      </c>
      <c r="E297" s="1159">
        <v>1300000</v>
      </c>
      <c r="F297" s="1160">
        <v>17320</v>
      </c>
      <c r="G297" s="1157">
        <v>129.32</v>
      </c>
      <c r="H297" s="1159">
        <v>0.20383000000000001</v>
      </c>
      <c r="I297" s="1159">
        <v>1.8644999999999998E-3</v>
      </c>
      <c r="J297" s="1160">
        <v>134.37</v>
      </c>
    </row>
    <row r="298" spans="2:10">
      <c r="B298" s="1157" t="s">
        <v>682</v>
      </c>
      <c r="C298" s="1158">
        <v>2040</v>
      </c>
      <c r="D298" s="1157">
        <v>1732000</v>
      </c>
      <c r="E298" s="1159">
        <v>1300000</v>
      </c>
      <c r="F298" s="1160">
        <v>17320</v>
      </c>
      <c r="G298" s="1157">
        <v>129.32</v>
      </c>
      <c r="H298" s="1159">
        <v>0.20383000000000001</v>
      </c>
      <c r="I298" s="1159">
        <v>1.8644999999999998E-3</v>
      </c>
      <c r="J298" s="1160">
        <v>134.37</v>
      </c>
    </row>
    <row r="299" spans="2:10">
      <c r="B299" s="1157" t="s">
        <v>1084</v>
      </c>
      <c r="C299" s="1158">
        <v>2040</v>
      </c>
      <c r="D299" s="1157">
        <v>1022000</v>
      </c>
      <c r="E299" s="1159">
        <v>1021000</v>
      </c>
      <c r="F299" s="1160">
        <v>15510</v>
      </c>
      <c r="G299" s="1157">
        <v>1.7054</v>
      </c>
      <c r="H299" s="1159">
        <v>0.14096210000000001</v>
      </c>
      <c r="I299" s="1159">
        <v>3.2928999999999996E-5</v>
      </c>
      <c r="J299" s="1160">
        <v>5.9637000000000002</v>
      </c>
    </row>
    <row r="300" spans="2:10">
      <c r="B300" s="1157" t="s">
        <v>714</v>
      </c>
      <c r="C300" s="1158">
        <v>2040</v>
      </c>
      <c r="D300" s="1157">
        <v>1022000</v>
      </c>
      <c r="E300" s="1159">
        <v>1021000</v>
      </c>
      <c r="F300" s="1160">
        <v>15510</v>
      </c>
      <c r="G300" s="1157">
        <v>1.7054</v>
      </c>
      <c r="H300" s="1159">
        <v>0.14096210000000001</v>
      </c>
      <c r="I300" s="1159">
        <v>3.2928999999999996E-5</v>
      </c>
      <c r="J300" s="1160">
        <v>5.9637000000000002</v>
      </c>
    </row>
    <row r="301" spans="2:10">
      <c r="B301" s="1157" t="s">
        <v>715</v>
      </c>
      <c r="C301" s="1158">
        <v>2040</v>
      </c>
      <c r="D301" s="1157">
        <v>1022000</v>
      </c>
      <c r="E301" s="1159">
        <v>1021000</v>
      </c>
      <c r="F301" s="1160">
        <v>15510</v>
      </c>
      <c r="G301" s="1157">
        <v>1.7054</v>
      </c>
      <c r="H301" s="1159">
        <v>0.14096210000000001</v>
      </c>
      <c r="I301" s="1159">
        <v>3.2928999999999996E-5</v>
      </c>
      <c r="J301" s="1160">
        <v>5.9637000000000002</v>
      </c>
    </row>
    <row r="302" spans="2:10">
      <c r="B302" s="1157" t="s">
        <v>909</v>
      </c>
      <c r="C302" s="1158">
        <v>2040</v>
      </c>
      <c r="D302" s="1157">
        <v>1209000</v>
      </c>
      <c r="E302" s="1159">
        <v>1202000</v>
      </c>
      <c r="F302" s="1160">
        <v>1052000</v>
      </c>
      <c r="G302" s="1157">
        <v>18.032</v>
      </c>
      <c r="H302" s="1159">
        <v>0.16412599999999999</v>
      </c>
      <c r="I302" s="1159">
        <v>2.9167E-4</v>
      </c>
      <c r="J302" s="1160">
        <v>23.062000000000001</v>
      </c>
    </row>
    <row r="303" spans="2:10">
      <c r="B303" s="1157" t="s">
        <v>907</v>
      </c>
      <c r="C303" s="1158">
        <v>2040</v>
      </c>
      <c r="D303" s="1157">
        <v>1586000</v>
      </c>
      <c r="E303" s="1159">
        <v>696600</v>
      </c>
      <c r="F303" s="1160">
        <v>286100</v>
      </c>
      <c r="G303" s="1157">
        <v>38.200000000000003</v>
      </c>
      <c r="H303" s="1159">
        <v>0.1118</v>
      </c>
      <c r="I303" s="1159">
        <v>2.5350000000000001E-2</v>
      </c>
      <c r="J303" s="1160">
        <v>45.3</v>
      </c>
    </row>
    <row r="304" spans="2:10">
      <c r="B304" s="1157" t="s">
        <v>910</v>
      </c>
      <c r="C304" s="1158">
        <v>2040</v>
      </c>
      <c r="D304" s="1157">
        <v>1250000</v>
      </c>
      <c r="E304" s="1159">
        <v>1242000</v>
      </c>
      <c r="F304" s="1160">
        <v>1078000</v>
      </c>
      <c r="G304" s="1157">
        <v>23.914999999999999</v>
      </c>
      <c r="H304" s="1159">
        <v>0.16985499999999998</v>
      </c>
      <c r="I304" s="1159">
        <v>3.7957999999999997E-4</v>
      </c>
      <c r="J304" s="1160">
        <v>29.232999999999997</v>
      </c>
    </row>
    <row r="305" spans="2:10">
      <c r="B305" s="1157" t="s">
        <v>1078</v>
      </c>
      <c r="C305" s="1158">
        <v>2040</v>
      </c>
      <c r="D305" s="1157">
        <v>1190000</v>
      </c>
      <c r="E305" s="1159">
        <v>51610</v>
      </c>
      <c r="F305" s="1160">
        <v>29220</v>
      </c>
      <c r="G305" s="1157">
        <v>3.7715999999999998</v>
      </c>
      <c r="H305" s="1159">
        <v>8.4332999999999995E-3</v>
      </c>
      <c r="I305" s="1159">
        <v>-3.8260220000000001E-3</v>
      </c>
      <c r="J305" s="1160">
        <v>3.02</v>
      </c>
    </row>
    <row r="306" spans="2:10">
      <c r="B306" s="1157" t="s">
        <v>813</v>
      </c>
      <c r="C306" s="1158">
        <v>2040</v>
      </c>
      <c r="D306" s="1157">
        <v>1190000</v>
      </c>
      <c r="E306" s="1159">
        <v>51610</v>
      </c>
      <c r="F306" s="1160">
        <v>29220</v>
      </c>
      <c r="G306" s="1157">
        <v>3.7715999999999998</v>
      </c>
      <c r="H306" s="1159">
        <v>8.4332999999999995E-3</v>
      </c>
      <c r="I306" s="1159">
        <v>-3.8260220000000001E-3</v>
      </c>
      <c r="J306" s="1160">
        <v>3.02</v>
      </c>
    </row>
    <row r="307" spans="2:10">
      <c r="B307" s="1157" t="s">
        <v>822</v>
      </c>
      <c r="C307" s="1158">
        <v>2040</v>
      </c>
      <c r="D307" s="1157">
        <v>1190000</v>
      </c>
      <c r="E307" s="1159">
        <v>51610</v>
      </c>
      <c r="F307" s="1160">
        <v>29220</v>
      </c>
      <c r="G307" s="1157">
        <v>3.7715999999999998</v>
      </c>
      <c r="H307" s="1159">
        <v>8.4332999999999995E-3</v>
      </c>
      <c r="I307" s="1159">
        <v>-3.8260220000000001E-3</v>
      </c>
      <c r="J307" s="1160">
        <v>3.02</v>
      </c>
    </row>
    <row r="308" spans="2:10" ht="14" thickBot="1">
      <c r="B308" s="1161" t="s">
        <v>1085</v>
      </c>
      <c r="C308" s="1162">
        <v>2040</v>
      </c>
      <c r="D308" s="1161">
        <v>1384000</v>
      </c>
      <c r="E308" s="1163">
        <v>1383000</v>
      </c>
      <c r="F308" s="1164">
        <v>5034</v>
      </c>
      <c r="G308" s="1161">
        <v>78.571100000000001</v>
      </c>
      <c r="H308" s="1163">
        <v>0.27494000000000002</v>
      </c>
      <c r="I308" s="1163">
        <v>2.3304000000000003E-3</v>
      </c>
      <c r="J308" s="1164">
        <v>87.594300000000004</v>
      </c>
    </row>
    <row r="309" spans="2:10">
      <c r="B309" s="1153" t="s">
        <v>1082</v>
      </c>
      <c r="C309" s="1154">
        <v>2045</v>
      </c>
      <c r="D309" s="1153">
        <v>1092000</v>
      </c>
      <c r="E309" s="1155">
        <v>1092000</v>
      </c>
      <c r="F309" s="1156">
        <v>3972</v>
      </c>
      <c r="G309" s="1153">
        <v>5.7410000000000005</v>
      </c>
      <c r="H309" s="1155">
        <v>0.18462200000000001</v>
      </c>
      <c r="I309" s="1155">
        <v>8.6110000000000006E-4</v>
      </c>
      <c r="J309" s="1156">
        <v>11.565900000000001</v>
      </c>
    </row>
    <row r="310" spans="2:10">
      <c r="B310" s="1157" t="s">
        <v>283</v>
      </c>
      <c r="C310" s="1158">
        <v>2045</v>
      </c>
      <c r="D310" s="1157">
        <v>1092000</v>
      </c>
      <c r="E310" s="1159">
        <v>1092000</v>
      </c>
      <c r="F310" s="1160">
        <v>3972</v>
      </c>
      <c r="G310" s="1157">
        <v>5.7410000000000005</v>
      </c>
      <c r="H310" s="1159">
        <v>0.18462200000000001</v>
      </c>
      <c r="I310" s="1159">
        <v>8.6110000000000006E-4</v>
      </c>
      <c r="J310" s="1160">
        <v>11.565900000000001</v>
      </c>
    </row>
    <row r="311" spans="2:10">
      <c r="B311" s="1157" t="s">
        <v>1083</v>
      </c>
      <c r="C311" s="1158">
        <v>2045</v>
      </c>
      <c r="D311" s="1157">
        <v>1092000</v>
      </c>
      <c r="E311" s="1159">
        <v>1092000</v>
      </c>
      <c r="F311" s="1160">
        <v>3972</v>
      </c>
      <c r="G311" s="1157">
        <v>5.7410000000000005</v>
      </c>
      <c r="H311" s="1159">
        <v>0.18462200000000001</v>
      </c>
      <c r="I311" s="1159">
        <v>8.6110000000000006E-4</v>
      </c>
      <c r="J311" s="1160">
        <v>11.565900000000001</v>
      </c>
    </row>
    <row r="312" spans="2:10">
      <c r="B312" s="1157" t="s">
        <v>679</v>
      </c>
      <c r="C312" s="1158">
        <v>2045</v>
      </c>
      <c r="D312" s="1157">
        <v>1092000</v>
      </c>
      <c r="E312" s="1159">
        <v>1092000</v>
      </c>
      <c r="F312" s="1160">
        <v>3972</v>
      </c>
      <c r="G312" s="1157">
        <v>5.7410000000000005</v>
      </c>
      <c r="H312" s="1159">
        <v>0.18462200000000001</v>
      </c>
      <c r="I312" s="1159">
        <v>8.6110000000000006E-4</v>
      </c>
      <c r="J312" s="1160">
        <v>11.565900000000001</v>
      </c>
    </row>
    <row r="313" spans="2:10">
      <c r="B313" s="1157" t="s">
        <v>680</v>
      </c>
      <c r="C313" s="1158">
        <v>2045</v>
      </c>
      <c r="D313" s="1157">
        <v>-1185000</v>
      </c>
      <c r="E313" s="1159">
        <v>0</v>
      </c>
      <c r="F313" s="1160">
        <v>0</v>
      </c>
      <c r="G313" s="1157">
        <v>-85.800000000000011</v>
      </c>
      <c r="H313" s="1159">
        <v>0.54700000000000004</v>
      </c>
      <c r="I313" s="1159">
        <v>-1.8286999999999999E-3</v>
      </c>
      <c r="J313" s="1160">
        <v>-70.08</v>
      </c>
    </row>
    <row r="314" spans="2:10">
      <c r="B314" s="1157" t="s">
        <v>681</v>
      </c>
      <c r="C314" s="1158">
        <v>2045</v>
      </c>
      <c r="D314" s="1157">
        <v>1724000</v>
      </c>
      <c r="E314" s="1159">
        <v>1293000</v>
      </c>
      <c r="F314" s="1160">
        <v>15580</v>
      </c>
      <c r="G314" s="1157">
        <v>126.71000000000001</v>
      </c>
      <c r="H314" s="1159">
        <v>0.203795</v>
      </c>
      <c r="I314" s="1159">
        <v>1.8165E-3</v>
      </c>
      <c r="J314" s="1160">
        <v>131.63</v>
      </c>
    </row>
    <row r="315" spans="2:10">
      <c r="B315" s="1157" t="s">
        <v>696</v>
      </c>
      <c r="C315" s="1158">
        <v>2045</v>
      </c>
      <c r="D315" s="1157">
        <v>1724000</v>
      </c>
      <c r="E315" s="1159">
        <v>1293000</v>
      </c>
      <c r="F315" s="1160">
        <v>15580</v>
      </c>
      <c r="G315" s="1157">
        <v>126.71000000000001</v>
      </c>
      <c r="H315" s="1159">
        <v>0.203795</v>
      </c>
      <c r="I315" s="1159">
        <v>1.8165E-3</v>
      </c>
      <c r="J315" s="1160">
        <v>131.63</v>
      </c>
    </row>
    <row r="316" spans="2:10">
      <c r="B316" s="1157" t="s">
        <v>682</v>
      </c>
      <c r="C316" s="1158">
        <v>2045</v>
      </c>
      <c r="D316" s="1157">
        <v>1724000</v>
      </c>
      <c r="E316" s="1159">
        <v>1293000</v>
      </c>
      <c r="F316" s="1160">
        <v>15580</v>
      </c>
      <c r="G316" s="1157">
        <v>126.71000000000001</v>
      </c>
      <c r="H316" s="1159">
        <v>0.203795</v>
      </c>
      <c r="I316" s="1159">
        <v>1.8165E-3</v>
      </c>
      <c r="J316" s="1160">
        <v>131.63</v>
      </c>
    </row>
    <row r="317" spans="2:10">
      <c r="B317" s="1157" t="s">
        <v>1084</v>
      </c>
      <c r="C317" s="1158">
        <v>2045</v>
      </c>
      <c r="D317" s="1157">
        <v>1022000</v>
      </c>
      <c r="E317" s="1159">
        <v>1021000</v>
      </c>
      <c r="F317" s="1160">
        <v>15510</v>
      </c>
      <c r="G317" s="1157">
        <v>1.6997</v>
      </c>
      <c r="H317" s="1159">
        <v>0.14096223999999999</v>
      </c>
      <c r="I317" s="1159">
        <v>3.2833999999999998E-5</v>
      </c>
      <c r="J317" s="1160">
        <v>5.9580000000000002</v>
      </c>
    </row>
    <row r="318" spans="2:10">
      <c r="B318" s="1157" t="s">
        <v>714</v>
      </c>
      <c r="C318" s="1158">
        <v>2045</v>
      </c>
      <c r="D318" s="1157">
        <v>1022000</v>
      </c>
      <c r="E318" s="1159">
        <v>1021000</v>
      </c>
      <c r="F318" s="1160">
        <v>15510</v>
      </c>
      <c r="G318" s="1157">
        <v>1.6997</v>
      </c>
      <c r="H318" s="1159">
        <v>0.14096223999999999</v>
      </c>
      <c r="I318" s="1159">
        <v>3.2833999999999998E-5</v>
      </c>
      <c r="J318" s="1160">
        <v>5.9580000000000002</v>
      </c>
    </row>
    <row r="319" spans="2:10">
      <c r="B319" s="1157" t="s">
        <v>715</v>
      </c>
      <c r="C319" s="1158">
        <v>2045</v>
      </c>
      <c r="D319" s="1157">
        <v>1022000</v>
      </c>
      <c r="E319" s="1159">
        <v>1021000</v>
      </c>
      <c r="F319" s="1160">
        <v>15510</v>
      </c>
      <c r="G319" s="1157">
        <v>1.6997</v>
      </c>
      <c r="H319" s="1159">
        <v>0.14096223999999999</v>
      </c>
      <c r="I319" s="1159">
        <v>3.2833999999999998E-5</v>
      </c>
      <c r="J319" s="1160">
        <v>5.9580000000000002</v>
      </c>
    </row>
    <row r="320" spans="2:10">
      <c r="B320" s="1157" t="s">
        <v>909</v>
      </c>
      <c r="C320" s="1158">
        <v>2045</v>
      </c>
      <c r="D320" s="1157">
        <v>1209000</v>
      </c>
      <c r="E320" s="1159">
        <v>1202000</v>
      </c>
      <c r="F320" s="1160">
        <v>1052000</v>
      </c>
      <c r="G320" s="1157">
        <v>17.989000000000001</v>
      </c>
      <c r="H320" s="1159">
        <v>0.164127</v>
      </c>
      <c r="I320" s="1159">
        <v>2.9079000000000003E-4</v>
      </c>
      <c r="J320" s="1160">
        <v>23.018999999999998</v>
      </c>
    </row>
    <row r="321" spans="2:10">
      <c r="B321" s="1157" t="s">
        <v>907</v>
      </c>
      <c r="C321" s="1158">
        <v>2045</v>
      </c>
      <c r="D321" s="1157">
        <v>1586000</v>
      </c>
      <c r="E321" s="1159">
        <v>696300</v>
      </c>
      <c r="F321" s="1160">
        <v>286000</v>
      </c>
      <c r="G321" s="1157">
        <v>38.110999999999997</v>
      </c>
      <c r="H321" s="1159">
        <v>0.1118</v>
      </c>
      <c r="I321" s="1159">
        <v>2.5350000000000001E-2</v>
      </c>
      <c r="J321" s="1160">
        <v>45.23</v>
      </c>
    </row>
    <row r="322" spans="2:10">
      <c r="B322" s="1157" t="s">
        <v>910</v>
      </c>
      <c r="C322" s="1158">
        <v>2045</v>
      </c>
      <c r="D322" s="1157">
        <v>1249000</v>
      </c>
      <c r="E322" s="1159">
        <v>1242000</v>
      </c>
      <c r="F322" s="1160">
        <v>1078000</v>
      </c>
      <c r="G322" s="1157">
        <v>23.861000000000001</v>
      </c>
      <c r="H322" s="1159">
        <v>0.16985599999999998</v>
      </c>
      <c r="I322" s="1159">
        <v>3.7867E-4</v>
      </c>
      <c r="J322" s="1160">
        <v>29.189</v>
      </c>
    </row>
    <row r="323" spans="2:10">
      <c r="B323" s="1157" t="s">
        <v>1078</v>
      </c>
      <c r="C323" s="1158">
        <v>2045</v>
      </c>
      <c r="D323" s="1157">
        <v>1190000</v>
      </c>
      <c r="E323" s="1159">
        <v>51590</v>
      </c>
      <c r="F323" s="1160">
        <v>29220</v>
      </c>
      <c r="G323" s="1157">
        <v>3.7631000000000001</v>
      </c>
      <c r="H323" s="1159">
        <v>8.4335E-3</v>
      </c>
      <c r="I323" s="1159">
        <v>-3.8260760000000003E-3</v>
      </c>
      <c r="J323" s="1160">
        <v>3.0114000000000001</v>
      </c>
    </row>
    <row r="324" spans="2:10">
      <c r="B324" s="1157" t="s">
        <v>813</v>
      </c>
      <c r="C324" s="1158">
        <v>2045</v>
      </c>
      <c r="D324" s="1157">
        <v>1190000</v>
      </c>
      <c r="E324" s="1159">
        <v>51590</v>
      </c>
      <c r="F324" s="1160">
        <v>29220</v>
      </c>
      <c r="G324" s="1157">
        <v>3.7631000000000001</v>
      </c>
      <c r="H324" s="1159">
        <v>8.4335E-3</v>
      </c>
      <c r="I324" s="1159">
        <v>-3.8260760000000003E-3</v>
      </c>
      <c r="J324" s="1160">
        <v>3.0114000000000001</v>
      </c>
    </row>
    <row r="325" spans="2:10">
      <c r="B325" s="1157" t="s">
        <v>822</v>
      </c>
      <c r="C325" s="1158">
        <v>2045</v>
      </c>
      <c r="D325" s="1157">
        <v>1190000</v>
      </c>
      <c r="E325" s="1159">
        <v>51590</v>
      </c>
      <c r="F325" s="1160">
        <v>29220</v>
      </c>
      <c r="G325" s="1157">
        <v>3.7631000000000001</v>
      </c>
      <c r="H325" s="1159">
        <v>8.4335E-3</v>
      </c>
      <c r="I325" s="1159">
        <v>-3.8260760000000003E-3</v>
      </c>
      <c r="J325" s="1160">
        <v>3.0114000000000001</v>
      </c>
    </row>
    <row r="326" spans="2:10" ht="14" thickBot="1">
      <c r="B326" s="1161" t="s">
        <v>1085</v>
      </c>
      <c r="C326" s="1162">
        <v>2045</v>
      </c>
      <c r="D326" s="1161">
        <v>1384000</v>
      </c>
      <c r="E326" s="1163">
        <v>1383000</v>
      </c>
      <c r="F326" s="1164">
        <v>5034</v>
      </c>
      <c r="G326" s="1161">
        <v>78.571100000000001</v>
      </c>
      <c r="H326" s="1163">
        <v>0.27494000000000002</v>
      </c>
      <c r="I326" s="1163">
        <v>2.3304000000000003E-3</v>
      </c>
      <c r="J326" s="1164">
        <v>87.594300000000004</v>
      </c>
    </row>
    <row r="327" spans="2:10">
      <c r="B327" s="1153" t="s">
        <v>1082</v>
      </c>
      <c r="C327" s="1154">
        <v>2050</v>
      </c>
      <c r="D327" s="1153">
        <v>1092000</v>
      </c>
      <c r="E327" s="1155">
        <v>1092000</v>
      </c>
      <c r="F327" s="1156">
        <v>3971</v>
      </c>
      <c r="G327" s="1153">
        <v>5.7390999999999996</v>
      </c>
      <c r="H327" s="1155">
        <v>0.18462200000000001</v>
      </c>
      <c r="I327" s="1155">
        <v>8.61E-4</v>
      </c>
      <c r="J327" s="1156">
        <v>11.5648</v>
      </c>
    </row>
    <row r="328" spans="2:10">
      <c r="B328" s="1157" t="s">
        <v>283</v>
      </c>
      <c r="C328" s="1158">
        <v>2050</v>
      </c>
      <c r="D328" s="1157">
        <v>1092000</v>
      </c>
      <c r="E328" s="1159">
        <v>1092000</v>
      </c>
      <c r="F328" s="1160">
        <v>3971</v>
      </c>
      <c r="G328" s="1157">
        <v>5.7390999999999996</v>
      </c>
      <c r="H328" s="1159">
        <v>0.18462200000000001</v>
      </c>
      <c r="I328" s="1159">
        <v>8.61E-4</v>
      </c>
      <c r="J328" s="1160">
        <v>11.5648</v>
      </c>
    </row>
    <row r="329" spans="2:10">
      <c r="B329" s="1157" t="s">
        <v>1083</v>
      </c>
      <c r="C329" s="1158">
        <v>2050</v>
      </c>
      <c r="D329" s="1157">
        <v>1092000</v>
      </c>
      <c r="E329" s="1159">
        <v>1092000</v>
      </c>
      <c r="F329" s="1160">
        <v>3971</v>
      </c>
      <c r="G329" s="1157">
        <v>5.7390999999999996</v>
      </c>
      <c r="H329" s="1159">
        <v>0.18462200000000001</v>
      </c>
      <c r="I329" s="1159">
        <v>8.61E-4</v>
      </c>
      <c r="J329" s="1160">
        <v>11.5648</v>
      </c>
    </row>
    <row r="330" spans="2:10">
      <c r="B330" s="1157" t="s">
        <v>679</v>
      </c>
      <c r="C330" s="1158">
        <v>2050</v>
      </c>
      <c r="D330" s="1157">
        <v>1092000</v>
      </c>
      <c r="E330" s="1159">
        <v>1092000</v>
      </c>
      <c r="F330" s="1160">
        <v>3971</v>
      </c>
      <c r="G330" s="1157">
        <v>5.7390999999999996</v>
      </c>
      <c r="H330" s="1159">
        <v>0.18462200000000001</v>
      </c>
      <c r="I330" s="1159">
        <v>8.61E-4</v>
      </c>
      <c r="J330" s="1160">
        <v>11.5648</v>
      </c>
    </row>
    <row r="331" spans="2:10">
      <c r="B331" s="1157" t="s">
        <v>680</v>
      </c>
      <c r="C331" s="1158">
        <v>2050</v>
      </c>
      <c r="D331" s="1157">
        <v>-1185000</v>
      </c>
      <c r="E331" s="1159">
        <v>0</v>
      </c>
      <c r="F331" s="1160">
        <v>0</v>
      </c>
      <c r="G331" s="1157">
        <v>-85.800000000000011</v>
      </c>
      <c r="H331" s="1159">
        <v>0.54700000000000004</v>
      </c>
      <c r="I331" s="1159">
        <v>-1.8286999999999999E-3</v>
      </c>
      <c r="J331" s="1160">
        <v>-70.08</v>
      </c>
    </row>
    <row r="332" spans="2:10">
      <c r="B332" s="1157" t="s">
        <v>681</v>
      </c>
      <c r="C332" s="1158">
        <v>2050</v>
      </c>
      <c r="D332" s="1157">
        <v>1721000</v>
      </c>
      <c r="E332" s="1159">
        <v>1293000</v>
      </c>
      <c r="F332" s="1160">
        <v>15050</v>
      </c>
      <c r="G332" s="1157">
        <v>125.08</v>
      </c>
      <c r="H332" s="1159">
        <v>0.20477100000000001</v>
      </c>
      <c r="I332" s="1159">
        <v>1.7827000000000001E-3</v>
      </c>
      <c r="J332" s="1160">
        <v>129.82</v>
      </c>
    </row>
    <row r="333" spans="2:10">
      <c r="B333" s="1157" t="s">
        <v>696</v>
      </c>
      <c r="C333" s="1158">
        <v>2050</v>
      </c>
      <c r="D333" s="1157">
        <v>1721000</v>
      </c>
      <c r="E333" s="1159">
        <v>1293000</v>
      </c>
      <c r="F333" s="1160">
        <v>15050</v>
      </c>
      <c r="G333" s="1157">
        <v>125.08</v>
      </c>
      <c r="H333" s="1159">
        <v>0.20477100000000001</v>
      </c>
      <c r="I333" s="1159">
        <v>1.7827000000000001E-3</v>
      </c>
      <c r="J333" s="1160">
        <v>129.82</v>
      </c>
    </row>
    <row r="334" spans="2:10">
      <c r="B334" s="1157" t="s">
        <v>682</v>
      </c>
      <c r="C334" s="1158">
        <v>2050</v>
      </c>
      <c r="D334" s="1157">
        <v>1721000</v>
      </c>
      <c r="E334" s="1159">
        <v>1293000</v>
      </c>
      <c r="F334" s="1160">
        <v>15050</v>
      </c>
      <c r="G334" s="1157">
        <v>125.08</v>
      </c>
      <c r="H334" s="1159">
        <v>0.20477100000000001</v>
      </c>
      <c r="I334" s="1159">
        <v>1.7827000000000001E-3</v>
      </c>
      <c r="J334" s="1160">
        <v>129.82</v>
      </c>
    </row>
    <row r="335" spans="2:10">
      <c r="B335" s="1157" t="s">
        <v>1084</v>
      </c>
      <c r="C335" s="1158">
        <v>2050</v>
      </c>
      <c r="D335" s="1157">
        <v>1022000</v>
      </c>
      <c r="E335" s="1159">
        <v>1021000</v>
      </c>
      <c r="F335" s="1160">
        <v>15510</v>
      </c>
      <c r="G335" s="1157">
        <v>1.6964999999999999</v>
      </c>
      <c r="H335" s="1159">
        <v>0.14096238999999999</v>
      </c>
      <c r="I335" s="1159">
        <v>3.2765999999999998E-5</v>
      </c>
      <c r="J335" s="1160">
        <v>5.9536999999999995</v>
      </c>
    </row>
    <row r="336" spans="2:10">
      <c r="B336" s="1157" t="s">
        <v>714</v>
      </c>
      <c r="C336" s="1158">
        <v>2050</v>
      </c>
      <c r="D336" s="1157">
        <v>1022000</v>
      </c>
      <c r="E336" s="1159">
        <v>1021000</v>
      </c>
      <c r="F336" s="1160">
        <v>15510</v>
      </c>
      <c r="G336" s="1157">
        <v>1.6964999999999999</v>
      </c>
      <c r="H336" s="1159">
        <v>0.14096238999999999</v>
      </c>
      <c r="I336" s="1159">
        <v>3.2765999999999998E-5</v>
      </c>
      <c r="J336" s="1160">
        <v>5.9536999999999995</v>
      </c>
    </row>
    <row r="337" spans="2:10">
      <c r="B337" s="1157" t="s">
        <v>715</v>
      </c>
      <c r="C337" s="1158">
        <v>2050</v>
      </c>
      <c r="D337" s="1157">
        <v>1022000</v>
      </c>
      <c r="E337" s="1159">
        <v>1021000</v>
      </c>
      <c r="F337" s="1160">
        <v>15510</v>
      </c>
      <c r="G337" s="1157">
        <v>1.6964999999999999</v>
      </c>
      <c r="H337" s="1159">
        <v>0.14096238999999999</v>
      </c>
      <c r="I337" s="1159">
        <v>3.2765999999999998E-5</v>
      </c>
      <c r="J337" s="1160">
        <v>5.9536999999999995</v>
      </c>
    </row>
    <row r="338" spans="2:10">
      <c r="B338" s="1157" t="s">
        <v>909</v>
      </c>
      <c r="C338" s="1158">
        <v>2050</v>
      </c>
      <c r="D338" s="1157">
        <v>1209000</v>
      </c>
      <c r="E338" s="1159">
        <v>1202000</v>
      </c>
      <c r="F338" s="1160">
        <v>1052000</v>
      </c>
      <c r="G338" s="1157">
        <v>17.969000000000001</v>
      </c>
      <c r="H338" s="1159">
        <v>0.164128</v>
      </c>
      <c r="I338" s="1159">
        <v>2.9025999999999998E-4</v>
      </c>
      <c r="J338" s="1160">
        <v>22.988</v>
      </c>
    </row>
    <row r="339" spans="2:10">
      <c r="B339" s="1157" t="s">
        <v>907</v>
      </c>
      <c r="C339" s="1158">
        <v>2050</v>
      </c>
      <c r="D339" s="1157">
        <v>1585000</v>
      </c>
      <c r="E339" s="1159">
        <v>696300</v>
      </c>
      <c r="F339" s="1160">
        <v>286000</v>
      </c>
      <c r="G339" s="1157">
        <v>38.049999999999997</v>
      </c>
      <c r="H339" s="1159">
        <v>0.1118</v>
      </c>
      <c r="I339" s="1159">
        <v>2.5350000000000001E-2</v>
      </c>
      <c r="J339" s="1160">
        <v>45.19</v>
      </c>
    </row>
    <row r="340" spans="2:10">
      <c r="B340" s="1157" t="s">
        <v>910</v>
      </c>
      <c r="C340" s="1158">
        <v>2050</v>
      </c>
      <c r="D340" s="1157">
        <v>1249000</v>
      </c>
      <c r="E340" s="1159">
        <v>1242000</v>
      </c>
      <c r="F340" s="1160">
        <v>1078000</v>
      </c>
      <c r="G340" s="1157">
        <v>23.84</v>
      </c>
      <c r="H340" s="1159">
        <v>0.16985799999999998</v>
      </c>
      <c r="I340" s="1159">
        <v>3.7813000000000001E-4</v>
      </c>
      <c r="J340" s="1160">
        <v>29.157000000000004</v>
      </c>
    </row>
    <row r="341" spans="2:10">
      <c r="B341" s="1157" t="s">
        <v>1078</v>
      </c>
      <c r="C341" s="1158">
        <v>2050</v>
      </c>
      <c r="D341" s="1157">
        <v>1190000</v>
      </c>
      <c r="E341" s="1159">
        <v>51590</v>
      </c>
      <c r="F341" s="1160">
        <v>29220</v>
      </c>
      <c r="G341" s="1157">
        <v>3.7582</v>
      </c>
      <c r="H341" s="1159">
        <v>8.4366999999999984E-3</v>
      </c>
      <c r="I341" s="1159">
        <v>-3.8261190000000002E-3</v>
      </c>
      <c r="J341" s="1160">
        <v>3.0054000000000003</v>
      </c>
    </row>
    <row r="342" spans="2:10">
      <c r="B342" s="1157" t="s">
        <v>813</v>
      </c>
      <c r="C342" s="1158">
        <v>2050</v>
      </c>
      <c r="D342" s="1157">
        <v>1190000</v>
      </c>
      <c r="E342" s="1159">
        <v>51590</v>
      </c>
      <c r="F342" s="1160">
        <v>29220</v>
      </c>
      <c r="G342" s="1157">
        <v>3.7582</v>
      </c>
      <c r="H342" s="1159">
        <v>8.4366999999999984E-3</v>
      </c>
      <c r="I342" s="1159">
        <v>-3.8261190000000002E-3</v>
      </c>
      <c r="J342" s="1160">
        <v>3.0054000000000003</v>
      </c>
    </row>
    <row r="343" spans="2:10">
      <c r="B343" s="1157" t="s">
        <v>822</v>
      </c>
      <c r="C343" s="1158">
        <v>2050</v>
      </c>
      <c r="D343" s="1157">
        <v>1190000</v>
      </c>
      <c r="E343" s="1159">
        <v>51590</v>
      </c>
      <c r="F343" s="1160">
        <v>29220</v>
      </c>
      <c r="G343" s="1157">
        <v>3.7582</v>
      </c>
      <c r="H343" s="1159">
        <v>8.4366999999999984E-3</v>
      </c>
      <c r="I343" s="1159">
        <v>-3.8261190000000002E-3</v>
      </c>
      <c r="J343" s="1160">
        <v>3.0054000000000003</v>
      </c>
    </row>
    <row r="344" spans="2:10" ht="14" thickBot="1">
      <c r="B344" s="1161" t="s">
        <v>1085</v>
      </c>
      <c r="C344" s="1162">
        <v>2050</v>
      </c>
      <c r="D344" s="1161">
        <v>1384000</v>
      </c>
      <c r="E344" s="1163">
        <v>1383000</v>
      </c>
      <c r="F344" s="1164">
        <v>5034</v>
      </c>
      <c r="G344" s="1161">
        <v>78.571100000000001</v>
      </c>
      <c r="H344" s="1163">
        <v>0.27494000000000002</v>
      </c>
      <c r="I344" s="1163">
        <v>2.3304000000000003E-3</v>
      </c>
      <c r="J344" s="1164">
        <v>87.594300000000004</v>
      </c>
    </row>
    <row r="345" spans="2:10">
      <c r="B345" s="1153" t="s">
        <v>1082</v>
      </c>
      <c r="C345" s="1154">
        <v>2055</v>
      </c>
      <c r="D345" s="1153">
        <v>1092000</v>
      </c>
      <c r="E345" s="1155">
        <v>1092000</v>
      </c>
      <c r="F345" s="1156">
        <v>3971</v>
      </c>
      <c r="G345" s="1153">
        <v>5.7390999999999996</v>
      </c>
      <c r="H345" s="1155">
        <v>0.18462200000000001</v>
      </c>
      <c r="I345" s="1155">
        <v>8.61E-4</v>
      </c>
      <c r="J345" s="1156">
        <v>11.5648</v>
      </c>
    </row>
    <row r="346" spans="2:10">
      <c r="B346" s="1157" t="s">
        <v>283</v>
      </c>
      <c r="C346" s="1158">
        <v>2055</v>
      </c>
      <c r="D346" s="1157">
        <v>1092000</v>
      </c>
      <c r="E346" s="1159">
        <v>1092000</v>
      </c>
      <c r="F346" s="1160">
        <v>3971</v>
      </c>
      <c r="G346" s="1157">
        <v>5.7390999999999996</v>
      </c>
      <c r="H346" s="1159">
        <v>0.18462200000000001</v>
      </c>
      <c r="I346" s="1159">
        <v>8.61E-4</v>
      </c>
      <c r="J346" s="1160">
        <v>11.5648</v>
      </c>
    </row>
    <row r="347" spans="2:10">
      <c r="B347" s="1157" t="s">
        <v>1083</v>
      </c>
      <c r="C347" s="1158">
        <v>2055</v>
      </c>
      <c r="D347" s="1157">
        <v>1092000</v>
      </c>
      <c r="E347" s="1159">
        <v>1092000</v>
      </c>
      <c r="F347" s="1160">
        <v>3971</v>
      </c>
      <c r="G347" s="1157">
        <v>5.7390999999999996</v>
      </c>
      <c r="H347" s="1159">
        <v>0.18462200000000001</v>
      </c>
      <c r="I347" s="1159">
        <v>8.61E-4</v>
      </c>
      <c r="J347" s="1160">
        <v>11.5648</v>
      </c>
    </row>
    <row r="348" spans="2:10">
      <c r="B348" s="1157" t="s">
        <v>679</v>
      </c>
      <c r="C348" s="1158">
        <v>2055</v>
      </c>
      <c r="D348" s="1157">
        <v>1092000</v>
      </c>
      <c r="E348" s="1159">
        <v>1092000</v>
      </c>
      <c r="F348" s="1160">
        <v>3971</v>
      </c>
      <c r="G348" s="1157">
        <v>5.7390999999999996</v>
      </c>
      <c r="H348" s="1159">
        <v>0.18462200000000001</v>
      </c>
      <c r="I348" s="1159">
        <v>8.61E-4</v>
      </c>
      <c r="J348" s="1160">
        <v>11.5648</v>
      </c>
    </row>
    <row r="349" spans="2:10">
      <c r="B349" s="1157" t="s">
        <v>680</v>
      </c>
      <c r="C349" s="1158">
        <v>2055</v>
      </c>
      <c r="D349" s="1157">
        <v>-1185000</v>
      </c>
      <c r="E349" s="1159">
        <v>0</v>
      </c>
      <c r="F349" s="1160">
        <v>0</v>
      </c>
      <c r="G349" s="1157">
        <v>-85.800000000000011</v>
      </c>
      <c r="H349" s="1159">
        <v>0.54700000000000004</v>
      </c>
      <c r="I349" s="1159">
        <v>-1.8286999999999999E-3</v>
      </c>
      <c r="J349" s="1160">
        <v>-70.08</v>
      </c>
    </row>
    <row r="350" spans="2:10">
      <c r="B350" s="1157" t="s">
        <v>681</v>
      </c>
      <c r="C350" s="1158">
        <v>2055</v>
      </c>
      <c r="D350" s="1157">
        <v>1721000</v>
      </c>
      <c r="E350" s="1159">
        <v>1293000</v>
      </c>
      <c r="F350" s="1160">
        <v>15050</v>
      </c>
      <c r="G350" s="1157">
        <v>125.08</v>
      </c>
      <c r="H350" s="1159">
        <v>0.20477100000000001</v>
      </c>
      <c r="I350" s="1159">
        <v>1.7827000000000001E-3</v>
      </c>
      <c r="J350" s="1160">
        <v>129.82</v>
      </c>
    </row>
    <row r="351" spans="2:10">
      <c r="B351" s="1157" t="s">
        <v>696</v>
      </c>
      <c r="C351" s="1158">
        <v>2055</v>
      </c>
      <c r="D351" s="1157">
        <v>1721000</v>
      </c>
      <c r="E351" s="1159">
        <v>1293000</v>
      </c>
      <c r="F351" s="1160">
        <v>15050</v>
      </c>
      <c r="G351" s="1157">
        <v>125.08</v>
      </c>
      <c r="H351" s="1159">
        <v>0.20477100000000001</v>
      </c>
      <c r="I351" s="1159">
        <v>1.7827000000000001E-3</v>
      </c>
      <c r="J351" s="1160">
        <v>129.82</v>
      </c>
    </row>
    <row r="352" spans="2:10">
      <c r="B352" s="1157" t="s">
        <v>682</v>
      </c>
      <c r="C352" s="1158">
        <v>2055</v>
      </c>
      <c r="D352" s="1157">
        <v>1721000</v>
      </c>
      <c r="E352" s="1159">
        <v>1293000</v>
      </c>
      <c r="F352" s="1160">
        <v>15050</v>
      </c>
      <c r="G352" s="1157">
        <v>125.08</v>
      </c>
      <c r="H352" s="1159">
        <v>0.20477100000000001</v>
      </c>
      <c r="I352" s="1159">
        <v>1.7827000000000001E-3</v>
      </c>
      <c r="J352" s="1160">
        <v>129.82</v>
      </c>
    </row>
    <row r="353" spans="2:10">
      <c r="B353" s="1157" t="s">
        <v>1084</v>
      </c>
      <c r="C353" s="1158">
        <v>2055</v>
      </c>
      <c r="D353" s="1157">
        <v>1022000</v>
      </c>
      <c r="E353" s="1159">
        <v>1021000</v>
      </c>
      <c r="F353" s="1160">
        <v>15510</v>
      </c>
      <c r="G353" s="1157">
        <v>1.6964999999999999</v>
      </c>
      <c r="H353" s="1159">
        <v>0.14096238999999999</v>
      </c>
      <c r="I353" s="1159">
        <v>3.2765999999999998E-5</v>
      </c>
      <c r="J353" s="1160">
        <v>5.9536999999999995</v>
      </c>
    </row>
    <row r="354" spans="2:10">
      <c r="B354" s="1157" t="s">
        <v>714</v>
      </c>
      <c r="C354" s="1158">
        <v>2055</v>
      </c>
      <c r="D354" s="1157">
        <v>1022000</v>
      </c>
      <c r="E354" s="1159">
        <v>1021000</v>
      </c>
      <c r="F354" s="1160">
        <v>15510</v>
      </c>
      <c r="G354" s="1157">
        <v>1.6964999999999999</v>
      </c>
      <c r="H354" s="1159">
        <v>0.14096238999999999</v>
      </c>
      <c r="I354" s="1159">
        <v>3.2765999999999998E-5</v>
      </c>
      <c r="J354" s="1160">
        <v>5.9536999999999995</v>
      </c>
    </row>
    <row r="355" spans="2:10">
      <c r="B355" s="1157" t="s">
        <v>715</v>
      </c>
      <c r="C355" s="1158">
        <v>2055</v>
      </c>
      <c r="D355" s="1157">
        <v>1022000</v>
      </c>
      <c r="E355" s="1159">
        <v>1021000</v>
      </c>
      <c r="F355" s="1160">
        <v>15510</v>
      </c>
      <c r="G355" s="1157">
        <v>1.6964999999999999</v>
      </c>
      <c r="H355" s="1159">
        <v>0.14096238999999999</v>
      </c>
      <c r="I355" s="1159">
        <v>3.2765999999999998E-5</v>
      </c>
      <c r="J355" s="1160">
        <v>5.9536999999999995</v>
      </c>
    </row>
    <row r="356" spans="2:10">
      <c r="B356" s="1157" t="s">
        <v>909</v>
      </c>
      <c r="C356" s="1158">
        <v>2055</v>
      </c>
      <c r="D356" s="1157">
        <v>1209000</v>
      </c>
      <c r="E356" s="1159">
        <v>1202000</v>
      </c>
      <c r="F356" s="1160">
        <v>1052000</v>
      </c>
      <c r="G356" s="1157">
        <v>17.969000000000001</v>
      </c>
      <c r="H356" s="1159">
        <v>0.164128</v>
      </c>
      <c r="I356" s="1159">
        <v>2.9025999999999998E-4</v>
      </c>
      <c r="J356" s="1160">
        <v>22.988</v>
      </c>
    </row>
    <row r="357" spans="2:10">
      <c r="B357" s="1157" t="s">
        <v>907</v>
      </c>
      <c r="C357" s="1158">
        <v>2055</v>
      </c>
      <c r="D357" s="1157">
        <v>1585000</v>
      </c>
      <c r="E357" s="1159">
        <v>696300</v>
      </c>
      <c r="F357" s="1160">
        <v>286000</v>
      </c>
      <c r="G357" s="1157">
        <v>38.049999999999997</v>
      </c>
      <c r="H357" s="1159">
        <v>0.1118</v>
      </c>
      <c r="I357" s="1159">
        <v>2.5350000000000001E-2</v>
      </c>
      <c r="J357" s="1160">
        <v>45.19</v>
      </c>
    </row>
    <row r="358" spans="2:10">
      <c r="B358" s="1157" t="s">
        <v>910</v>
      </c>
      <c r="C358" s="1158">
        <v>2055</v>
      </c>
      <c r="D358" s="1157">
        <v>1249000</v>
      </c>
      <c r="E358" s="1159">
        <v>1242000</v>
      </c>
      <c r="F358" s="1160">
        <v>1078000</v>
      </c>
      <c r="G358" s="1157">
        <v>23.84</v>
      </c>
      <c r="H358" s="1159">
        <v>0.16985799999999998</v>
      </c>
      <c r="I358" s="1159">
        <v>3.7813000000000001E-4</v>
      </c>
      <c r="J358" s="1160">
        <v>29.157000000000004</v>
      </c>
    </row>
    <row r="359" spans="2:10">
      <c r="B359" s="1157" t="s">
        <v>1078</v>
      </c>
      <c r="C359" s="1158">
        <v>2055</v>
      </c>
      <c r="D359" s="1157">
        <v>1190000</v>
      </c>
      <c r="E359" s="1159">
        <v>51590</v>
      </c>
      <c r="F359" s="1160">
        <v>29220</v>
      </c>
      <c r="G359" s="1157">
        <v>3.7582</v>
      </c>
      <c r="H359" s="1159">
        <v>8.4366999999999984E-3</v>
      </c>
      <c r="I359" s="1159">
        <v>-3.8261190000000002E-3</v>
      </c>
      <c r="J359" s="1160">
        <v>3.0054000000000003</v>
      </c>
    </row>
    <row r="360" spans="2:10">
      <c r="B360" s="1157" t="s">
        <v>813</v>
      </c>
      <c r="C360" s="1158">
        <v>2055</v>
      </c>
      <c r="D360" s="1157">
        <v>1190000</v>
      </c>
      <c r="E360" s="1159">
        <v>51590</v>
      </c>
      <c r="F360" s="1160">
        <v>29220</v>
      </c>
      <c r="G360" s="1157">
        <v>3.7582</v>
      </c>
      <c r="H360" s="1159">
        <v>8.4366999999999984E-3</v>
      </c>
      <c r="I360" s="1159">
        <v>-3.8261190000000002E-3</v>
      </c>
      <c r="J360" s="1160">
        <v>3.0054000000000003</v>
      </c>
    </row>
    <row r="361" spans="2:10">
      <c r="B361" s="1157" t="s">
        <v>822</v>
      </c>
      <c r="C361" s="1158">
        <v>2055</v>
      </c>
      <c r="D361" s="1157">
        <v>1190000</v>
      </c>
      <c r="E361" s="1159">
        <v>51590</v>
      </c>
      <c r="F361" s="1160">
        <v>29220</v>
      </c>
      <c r="G361" s="1157">
        <v>3.7582</v>
      </c>
      <c r="H361" s="1159">
        <v>8.4366999999999984E-3</v>
      </c>
      <c r="I361" s="1159">
        <v>-3.8261190000000002E-3</v>
      </c>
      <c r="J361" s="1160">
        <v>3.0054000000000003</v>
      </c>
    </row>
    <row r="362" spans="2:10" ht="14" thickBot="1">
      <c r="B362" s="1161" t="s">
        <v>1085</v>
      </c>
      <c r="C362" s="1162">
        <v>2055</v>
      </c>
      <c r="D362" s="1161">
        <v>1384000</v>
      </c>
      <c r="E362" s="1163">
        <v>1383000</v>
      </c>
      <c r="F362" s="1164">
        <v>5034</v>
      </c>
      <c r="G362" s="1161">
        <v>78.571100000000001</v>
      </c>
      <c r="H362" s="1163">
        <v>0.27494000000000002</v>
      </c>
      <c r="I362" s="1163">
        <v>2.3304000000000003E-3</v>
      </c>
      <c r="J362" s="1164">
        <v>87.594300000000004</v>
      </c>
    </row>
    <row r="363" spans="2:10">
      <c r="B363" s="1153" t="s">
        <v>1082</v>
      </c>
      <c r="C363" s="1154">
        <v>2060</v>
      </c>
      <c r="D363" s="1153">
        <v>1092000</v>
      </c>
      <c r="E363" s="1155">
        <v>1092000</v>
      </c>
      <c r="F363" s="1156">
        <v>3971</v>
      </c>
      <c r="G363" s="1153">
        <v>5.7390999999999996</v>
      </c>
      <c r="H363" s="1155">
        <v>0.18462200000000001</v>
      </c>
      <c r="I363" s="1155">
        <v>8.61E-4</v>
      </c>
      <c r="J363" s="1156">
        <v>11.5648</v>
      </c>
    </row>
    <row r="364" spans="2:10">
      <c r="B364" s="1157" t="s">
        <v>283</v>
      </c>
      <c r="C364" s="1158">
        <v>2060</v>
      </c>
      <c r="D364" s="1157">
        <v>1092000</v>
      </c>
      <c r="E364" s="1159">
        <v>1092000</v>
      </c>
      <c r="F364" s="1160">
        <v>3971</v>
      </c>
      <c r="G364" s="1157">
        <v>5.7390999999999996</v>
      </c>
      <c r="H364" s="1159">
        <v>0.18462200000000001</v>
      </c>
      <c r="I364" s="1159">
        <v>8.61E-4</v>
      </c>
      <c r="J364" s="1160">
        <v>11.5648</v>
      </c>
    </row>
    <row r="365" spans="2:10">
      <c r="B365" s="1157" t="s">
        <v>1083</v>
      </c>
      <c r="C365" s="1158">
        <v>2060</v>
      </c>
      <c r="D365" s="1157">
        <v>1092000</v>
      </c>
      <c r="E365" s="1159">
        <v>1092000</v>
      </c>
      <c r="F365" s="1160">
        <v>3971</v>
      </c>
      <c r="G365" s="1157">
        <v>5.7390999999999996</v>
      </c>
      <c r="H365" s="1159">
        <v>0.18462200000000001</v>
      </c>
      <c r="I365" s="1159">
        <v>8.61E-4</v>
      </c>
      <c r="J365" s="1160">
        <v>11.5648</v>
      </c>
    </row>
    <row r="366" spans="2:10">
      <c r="B366" s="1157" t="s">
        <v>679</v>
      </c>
      <c r="C366" s="1158">
        <v>2060</v>
      </c>
      <c r="D366" s="1157">
        <v>1092000</v>
      </c>
      <c r="E366" s="1159">
        <v>1092000</v>
      </c>
      <c r="F366" s="1160">
        <v>3971</v>
      </c>
      <c r="G366" s="1157">
        <v>5.7390999999999996</v>
      </c>
      <c r="H366" s="1159">
        <v>0.18462200000000001</v>
      </c>
      <c r="I366" s="1159">
        <v>8.61E-4</v>
      </c>
      <c r="J366" s="1160">
        <v>11.5648</v>
      </c>
    </row>
    <row r="367" spans="2:10">
      <c r="B367" s="1157" t="s">
        <v>680</v>
      </c>
      <c r="C367" s="1158">
        <v>2060</v>
      </c>
      <c r="D367" s="1157">
        <v>-1185000</v>
      </c>
      <c r="E367" s="1159">
        <v>0</v>
      </c>
      <c r="F367" s="1160">
        <v>0</v>
      </c>
      <c r="G367" s="1157">
        <v>-85.800000000000011</v>
      </c>
      <c r="H367" s="1159">
        <v>0.54700000000000004</v>
      </c>
      <c r="I367" s="1159">
        <v>-1.8286999999999999E-3</v>
      </c>
      <c r="J367" s="1160">
        <v>-70.08</v>
      </c>
    </row>
    <row r="368" spans="2:10">
      <c r="B368" s="1157" t="s">
        <v>681</v>
      </c>
      <c r="C368" s="1158">
        <v>2060</v>
      </c>
      <c r="D368" s="1157">
        <v>1721000</v>
      </c>
      <c r="E368" s="1159">
        <v>1293000</v>
      </c>
      <c r="F368" s="1160">
        <v>15050</v>
      </c>
      <c r="G368" s="1157">
        <v>125.08</v>
      </c>
      <c r="H368" s="1159">
        <v>0.20477100000000001</v>
      </c>
      <c r="I368" s="1159">
        <v>1.7827000000000001E-3</v>
      </c>
      <c r="J368" s="1160">
        <v>129.82</v>
      </c>
    </row>
    <row r="369" spans="2:10">
      <c r="B369" s="1157" t="s">
        <v>696</v>
      </c>
      <c r="C369" s="1158">
        <v>2060</v>
      </c>
      <c r="D369" s="1157">
        <v>1721000</v>
      </c>
      <c r="E369" s="1159">
        <v>1293000</v>
      </c>
      <c r="F369" s="1160">
        <v>15050</v>
      </c>
      <c r="G369" s="1157">
        <v>125.08</v>
      </c>
      <c r="H369" s="1159">
        <v>0.20477100000000001</v>
      </c>
      <c r="I369" s="1159">
        <v>1.7827000000000001E-3</v>
      </c>
      <c r="J369" s="1160">
        <v>129.82</v>
      </c>
    </row>
    <row r="370" spans="2:10">
      <c r="B370" s="1157" t="s">
        <v>682</v>
      </c>
      <c r="C370" s="1158">
        <v>2060</v>
      </c>
      <c r="D370" s="1157">
        <v>1721000</v>
      </c>
      <c r="E370" s="1159">
        <v>1293000</v>
      </c>
      <c r="F370" s="1160">
        <v>15050</v>
      </c>
      <c r="G370" s="1157">
        <v>125.08</v>
      </c>
      <c r="H370" s="1159">
        <v>0.20477100000000001</v>
      </c>
      <c r="I370" s="1159">
        <v>1.7827000000000001E-3</v>
      </c>
      <c r="J370" s="1160">
        <v>129.82</v>
      </c>
    </row>
    <row r="371" spans="2:10">
      <c r="B371" s="1157" t="s">
        <v>1084</v>
      </c>
      <c r="C371" s="1158">
        <v>2060</v>
      </c>
      <c r="D371" s="1157">
        <v>1022000</v>
      </c>
      <c r="E371" s="1159">
        <v>1021000</v>
      </c>
      <c r="F371" s="1160">
        <v>15510</v>
      </c>
      <c r="G371" s="1157">
        <v>1.6964999999999999</v>
      </c>
      <c r="H371" s="1159">
        <v>0.14096238999999999</v>
      </c>
      <c r="I371" s="1159">
        <v>3.2765999999999998E-5</v>
      </c>
      <c r="J371" s="1160">
        <v>5.9536999999999995</v>
      </c>
    </row>
    <row r="372" spans="2:10">
      <c r="B372" s="1157" t="s">
        <v>714</v>
      </c>
      <c r="C372" s="1158">
        <v>2060</v>
      </c>
      <c r="D372" s="1157">
        <v>1022000</v>
      </c>
      <c r="E372" s="1159">
        <v>1021000</v>
      </c>
      <c r="F372" s="1160">
        <v>15510</v>
      </c>
      <c r="G372" s="1157">
        <v>1.6964999999999999</v>
      </c>
      <c r="H372" s="1159">
        <v>0.14096238999999999</v>
      </c>
      <c r="I372" s="1159">
        <v>3.2765999999999998E-5</v>
      </c>
      <c r="J372" s="1160">
        <v>5.9536999999999995</v>
      </c>
    </row>
    <row r="373" spans="2:10">
      <c r="B373" s="1157" t="s">
        <v>715</v>
      </c>
      <c r="C373" s="1158">
        <v>2060</v>
      </c>
      <c r="D373" s="1157">
        <v>1022000</v>
      </c>
      <c r="E373" s="1159">
        <v>1021000</v>
      </c>
      <c r="F373" s="1160">
        <v>15510</v>
      </c>
      <c r="G373" s="1157">
        <v>1.6964999999999999</v>
      </c>
      <c r="H373" s="1159">
        <v>0.14096238999999999</v>
      </c>
      <c r="I373" s="1159">
        <v>3.2765999999999998E-5</v>
      </c>
      <c r="J373" s="1160">
        <v>5.9536999999999995</v>
      </c>
    </row>
    <row r="374" spans="2:10">
      <c r="B374" s="1157" t="s">
        <v>909</v>
      </c>
      <c r="C374" s="1158">
        <v>2060</v>
      </c>
      <c r="D374" s="1157">
        <v>1209000</v>
      </c>
      <c r="E374" s="1159">
        <v>1202000</v>
      </c>
      <c r="F374" s="1160">
        <v>1052000</v>
      </c>
      <c r="G374" s="1157">
        <v>17.969000000000001</v>
      </c>
      <c r="H374" s="1159">
        <v>0.164128</v>
      </c>
      <c r="I374" s="1159">
        <v>2.9025999999999998E-4</v>
      </c>
      <c r="J374" s="1160">
        <v>22.988</v>
      </c>
    </row>
    <row r="375" spans="2:10">
      <c r="B375" s="1157" t="s">
        <v>907</v>
      </c>
      <c r="C375" s="1158">
        <v>2060</v>
      </c>
      <c r="D375" s="1157">
        <v>1585000</v>
      </c>
      <c r="E375" s="1159">
        <v>696300</v>
      </c>
      <c r="F375" s="1160">
        <v>286000</v>
      </c>
      <c r="G375" s="1157">
        <v>38.049999999999997</v>
      </c>
      <c r="H375" s="1159">
        <v>0.1118</v>
      </c>
      <c r="I375" s="1159">
        <v>2.5350000000000001E-2</v>
      </c>
      <c r="J375" s="1160">
        <v>45.19</v>
      </c>
    </row>
    <row r="376" spans="2:10">
      <c r="B376" s="1157" t="s">
        <v>910</v>
      </c>
      <c r="C376" s="1158">
        <v>2060</v>
      </c>
      <c r="D376" s="1157">
        <v>1249000</v>
      </c>
      <c r="E376" s="1159">
        <v>1242000</v>
      </c>
      <c r="F376" s="1160">
        <v>1078000</v>
      </c>
      <c r="G376" s="1157">
        <v>23.84</v>
      </c>
      <c r="H376" s="1159">
        <v>0.16985799999999998</v>
      </c>
      <c r="I376" s="1159">
        <v>3.7813000000000001E-4</v>
      </c>
      <c r="J376" s="1160">
        <v>29.157000000000004</v>
      </c>
    </row>
    <row r="377" spans="2:10">
      <c r="B377" s="1157" t="s">
        <v>1078</v>
      </c>
      <c r="C377" s="1158">
        <v>2060</v>
      </c>
      <c r="D377" s="1157">
        <v>1190000</v>
      </c>
      <c r="E377" s="1159">
        <v>51590</v>
      </c>
      <c r="F377" s="1160">
        <v>29220</v>
      </c>
      <c r="G377" s="1157">
        <v>3.7582</v>
      </c>
      <c r="H377" s="1159">
        <v>8.4366999999999984E-3</v>
      </c>
      <c r="I377" s="1159">
        <v>-3.8261190000000002E-3</v>
      </c>
      <c r="J377" s="1160">
        <v>3.0054000000000003</v>
      </c>
    </row>
    <row r="378" spans="2:10">
      <c r="B378" s="1157" t="s">
        <v>813</v>
      </c>
      <c r="C378" s="1158">
        <v>2060</v>
      </c>
      <c r="D378" s="1157">
        <v>1190000</v>
      </c>
      <c r="E378" s="1159">
        <v>51590</v>
      </c>
      <c r="F378" s="1160">
        <v>29220</v>
      </c>
      <c r="G378" s="1157">
        <v>3.7582</v>
      </c>
      <c r="H378" s="1159">
        <v>8.4366999999999984E-3</v>
      </c>
      <c r="I378" s="1159">
        <v>-3.8261190000000002E-3</v>
      </c>
      <c r="J378" s="1160">
        <v>3.0054000000000003</v>
      </c>
    </row>
    <row r="379" spans="2:10">
      <c r="B379" s="1157" t="s">
        <v>822</v>
      </c>
      <c r="C379" s="1158">
        <v>2060</v>
      </c>
      <c r="D379" s="1157">
        <v>1190000</v>
      </c>
      <c r="E379" s="1159">
        <v>51590</v>
      </c>
      <c r="F379" s="1160">
        <v>29220</v>
      </c>
      <c r="G379" s="1157">
        <v>3.7582</v>
      </c>
      <c r="H379" s="1159">
        <v>8.4366999999999984E-3</v>
      </c>
      <c r="I379" s="1159">
        <v>-3.8261190000000002E-3</v>
      </c>
      <c r="J379" s="1160">
        <v>3.0054000000000003</v>
      </c>
    </row>
    <row r="380" spans="2:10" ht="14" thickBot="1">
      <c r="B380" s="1161" t="s">
        <v>1085</v>
      </c>
      <c r="C380" s="1162">
        <v>2060</v>
      </c>
      <c r="D380" s="1161">
        <v>1384000</v>
      </c>
      <c r="E380" s="1163">
        <v>1383000</v>
      </c>
      <c r="F380" s="1164">
        <v>5034</v>
      </c>
      <c r="G380" s="1161">
        <v>78.571100000000001</v>
      </c>
      <c r="H380" s="1163">
        <v>0.27494000000000002</v>
      </c>
      <c r="I380" s="1163">
        <v>2.3304000000000003E-3</v>
      </c>
      <c r="J380" s="1164">
        <v>87.594300000000004</v>
      </c>
    </row>
    <row r="381" spans="2:10">
      <c r="B381" s="1153" t="s">
        <v>1082</v>
      </c>
      <c r="C381" s="1154">
        <v>2065</v>
      </c>
      <c r="D381" s="1153">
        <v>1092000</v>
      </c>
      <c r="E381" s="1155">
        <v>1092000</v>
      </c>
      <c r="F381" s="1156">
        <v>3971</v>
      </c>
      <c r="G381" s="1153">
        <v>5.7390999999999996</v>
      </c>
      <c r="H381" s="1155">
        <v>0.18462200000000001</v>
      </c>
      <c r="I381" s="1155">
        <v>8.61E-4</v>
      </c>
      <c r="J381" s="1156">
        <v>11.5648</v>
      </c>
    </row>
    <row r="382" spans="2:10">
      <c r="B382" s="1157" t="s">
        <v>283</v>
      </c>
      <c r="C382" s="1158">
        <v>2065</v>
      </c>
      <c r="D382" s="1157">
        <v>1092000</v>
      </c>
      <c r="E382" s="1159">
        <v>1092000</v>
      </c>
      <c r="F382" s="1160">
        <v>3971</v>
      </c>
      <c r="G382" s="1157">
        <v>5.7390999999999996</v>
      </c>
      <c r="H382" s="1159">
        <v>0.18462200000000001</v>
      </c>
      <c r="I382" s="1159">
        <v>8.61E-4</v>
      </c>
      <c r="J382" s="1160">
        <v>11.5648</v>
      </c>
    </row>
    <row r="383" spans="2:10">
      <c r="B383" s="1157" t="s">
        <v>1083</v>
      </c>
      <c r="C383" s="1158">
        <v>2065</v>
      </c>
      <c r="D383" s="1157">
        <v>1092000</v>
      </c>
      <c r="E383" s="1159">
        <v>1092000</v>
      </c>
      <c r="F383" s="1160">
        <v>3971</v>
      </c>
      <c r="G383" s="1157">
        <v>5.7390999999999996</v>
      </c>
      <c r="H383" s="1159">
        <v>0.18462200000000001</v>
      </c>
      <c r="I383" s="1159">
        <v>8.61E-4</v>
      </c>
      <c r="J383" s="1160">
        <v>11.5648</v>
      </c>
    </row>
    <row r="384" spans="2:10">
      <c r="B384" s="1157" t="s">
        <v>679</v>
      </c>
      <c r="C384" s="1158">
        <v>2065</v>
      </c>
      <c r="D384" s="1157">
        <v>1092000</v>
      </c>
      <c r="E384" s="1159">
        <v>1092000</v>
      </c>
      <c r="F384" s="1160">
        <v>3971</v>
      </c>
      <c r="G384" s="1157">
        <v>5.7390999999999996</v>
      </c>
      <c r="H384" s="1159">
        <v>0.18462200000000001</v>
      </c>
      <c r="I384" s="1159">
        <v>8.61E-4</v>
      </c>
      <c r="J384" s="1160">
        <v>11.5648</v>
      </c>
    </row>
    <row r="385" spans="2:10">
      <c r="B385" s="1157" t="s">
        <v>680</v>
      </c>
      <c r="C385" s="1158">
        <v>2065</v>
      </c>
      <c r="D385" s="1157">
        <v>-1185000</v>
      </c>
      <c r="E385" s="1159">
        <v>0</v>
      </c>
      <c r="F385" s="1160">
        <v>0</v>
      </c>
      <c r="G385" s="1157">
        <v>-85.800000000000011</v>
      </c>
      <c r="H385" s="1159">
        <v>0.54700000000000004</v>
      </c>
      <c r="I385" s="1159">
        <v>-1.8286999999999999E-3</v>
      </c>
      <c r="J385" s="1160">
        <v>-70.08</v>
      </c>
    </row>
    <row r="386" spans="2:10">
      <c r="B386" s="1157" t="s">
        <v>681</v>
      </c>
      <c r="C386" s="1158">
        <v>2065</v>
      </c>
      <c r="D386" s="1157">
        <v>1721000</v>
      </c>
      <c r="E386" s="1159">
        <v>1293000</v>
      </c>
      <c r="F386" s="1160">
        <v>15050</v>
      </c>
      <c r="G386" s="1157">
        <v>125.08</v>
      </c>
      <c r="H386" s="1159">
        <v>0.20477100000000001</v>
      </c>
      <c r="I386" s="1159">
        <v>1.7827000000000001E-3</v>
      </c>
      <c r="J386" s="1160">
        <v>129.82</v>
      </c>
    </row>
    <row r="387" spans="2:10">
      <c r="B387" s="1157" t="s">
        <v>696</v>
      </c>
      <c r="C387" s="1158">
        <v>2065</v>
      </c>
      <c r="D387" s="1157">
        <v>1721000</v>
      </c>
      <c r="E387" s="1159">
        <v>1293000</v>
      </c>
      <c r="F387" s="1160">
        <v>15050</v>
      </c>
      <c r="G387" s="1157">
        <v>125.08</v>
      </c>
      <c r="H387" s="1159">
        <v>0.20477100000000001</v>
      </c>
      <c r="I387" s="1159">
        <v>1.7827000000000001E-3</v>
      </c>
      <c r="J387" s="1160">
        <v>129.82</v>
      </c>
    </row>
    <row r="388" spans="2:10">
      <c r="B388" s="1157" t="s">
        <v>682</v>
      </c>
      <c r="C388" s="1158">
        <v>2065</v>
      </c>
      <c r="D388" s="1157">
        <v>1721000</v>
      </c>
      <c r="E388" s="1159">
        <v>1293000</v>
      </c>
      <c r="F388" s="1160">
        <v>15050</v>
      </c>
      <c r="G388" s="1157">
        <v>125.08</v>
      </c>
      <c r="H388" s="1159">
        <v>0.20477100000000001</v>
      </c>
      <c r="I388" s="1159">
        <v>1.7827000000000001E-3</v>
      </c>
      <c r="J388" s="1160">
        <v>129.82</v>
      </c>
    </row>
    <row r="389" spans="2:10">
      <c r="B389" s="1157" t="s">
        <v>1084</v>
      </c>
      <c r="C389" s="1158">
        <v>2065</v>
      </c>
      <c r="D389" s="1157">
        <v>1022000</v>
      </c>
      <c r="E389" s="1159">
        <v>1021000</v>
      </c>
      <c r="F389" s="1160">
        <v>15510</v>
      </c>
      <c r="G389" s="1157">
        <v>1.6964999999999999</v>
      </c>
      <c r="H389" s="1159">
        <v>0.14096238999999999</v>
      </c>
      <c r="I389" s="1159">
        <v>3.2765999999999998E-5</v>
      </c>
      <c r="J389" s="1160">
        <v>5.9536999999999995</v>
      </c>
    </row>
    <row r="390" spans="2:10">
      <c r="B390" s="1157" t="s">
        <v>714</v>
      </c>
      <c r="C390" s="1158">
        <v>2065</v>
      </c>
      <c r="D390" s="1157">
        <v>1022000</v>
      </c>
      <c r="E390" s="1159">
        <v>1021000</v>
      </c>
      <c r="F390" s="1160">
        <v>15510</v>
      </c>
      <c r="G390" s="1157">
        <v>1.6964999999999999</v>
      </c>
      <c r="H390" s="1159">
        <v>0.14096238999999999</v>
      </c>
      <c r="I390" s="1159">
        <v>3.2765999999999998E-5</v>
      </c>
      <c r="J390" s="1160">
        <v>5.9536999999999995</v>
      </c>
    </row>
    <row r="391" spans="2:10">
      <c r="B391" s="1157" t="s">
        <v>715</v>
      </c>
      <c r="C391" s="1158">
        <v>2065</v>
      </c>
      <c r="D391" s="1157">
        <v>1022000</v>
      </c>
      <c r="E391" s="1159">
        <v>1021000</v>
      </c>
      <c r="F391" s="1160">
        <v>15510</v>
      </c>
      <c r="G391" s="1157">
        <v>1.6964999999999999</v>
      </c>
      <c r="H391" s="1159">
        <v>0.14096238999999999</v>
      </c>
      <c r="I391" s="1159">
        <v>3.2765999999999998E-5</v>
      </c>
      <c r="J391" s="1160">
        <v>5.9536999999999995</v>
      </c>
    </row>
    <row r="392" spans="2:10">
      <c r="B392" s="1157" t="s">
        <v>909</v>
      </c>
      <c r="C392" s="1158">
        <v>2065</v>
      </c>
      <c r="D392" s="1157">
        <v>1209000</v>
      </c>
      <c r="E392" s="1159">
        <v>1202000</v>
      </c>
      <c r="F392" s="1160">
        <v>1052000</v>
      </c>
      <c r="G392" s="1157">
        <v>17.969000000000001</v>
      </c>
      <c r="H392" s="1159">
        <v>0.164128</v>
      </c>
      <c r="I392" s="1159">
        <v>2.9025999999999998E-4</v>
      </c>
      <c r="J392" s="1160">
        <v>22.988</v>
      </c>
    </row>
    <row r="393" spans="2:10">
      <c r="B393" s="1157" t="s">
        <v>907</v>
      </c>
      <c r="C393" s="1158">
        <v>2065</v>
      </c>
      <c r="D393" s="1157">
        <v>1585000</v>
      </c>
      <c r="E393" s="1159">
        <v>696300</v>
      </c>
      <c r="F393" s="1160">
        <v>286000</v>
      </c>
      <c r="G393" s="1157">
        <v>38.049999999999997</v>
      </c>
      <c r="H393" s="1159">
        <v>0.1118</v>
      </c>
      <c r="I393" s="1159">
        <v>2.5350000000000001E-2</v>
      </c>
      <c r="J393" s="1160">
        <v>45.19</v>
      </c>
    </row>
    <row r="394" spans="2:10">
      <c r="B394" s="1157" t="s">
        <v>910</v>
      </c>
      <c r="C394" s="1158">
        <v>2065</v>
      </c>
      <c r="D394" s="1157">
        <v>1249000</v>
      </c>
      <c r="E394" s="1159">
        <v>1242000</v>
      </c>
      <c r="F394" s="1160">
        <v>1078000</v>
      </c>
      <c r="G394" s="1157">
        <v>23.84</v>
      </c>
      <c r="H394" s="1159">
        <v>0.16985799999999998</v>
      </c>
      <c r="I394" s="1159">
        <v>3.7813000000000001E-4</v>
      </c>
      <c r="J394" s="1160">
        <v>29.157000000000004</v>
      </c>
    </row>
    <row r="395" spans="2:10">
      <c r="B395" s="1157" t="s">
        <v>1078</v>
      </c>
      <c r="C395" s="1158">
        <v>2065</v>
      </c>
      <c r="D395" s="1157">
        <v>1190000</v>
      </c>
      <c r="E395" s="1159">
        <v>51590</v>
      </c>
      <c r="F395" s="1160">
        <v>29220</v>
      </c>
      <c r="G395" s="1157">
        <v>3.7582</v>
      </c>
      <c r="H395" s="1159">
        <v>8.4366999999999984E-3</v>
      </c>
      <c r="I395" s="1159">
        <v>-3.8261190000000002E-3</v>
      </c>
      <c r="J395" s="1160">
        <v>3.0054000000000003</v>
      </c>
    </row>
    <row r="396" spans="2:10">
      <c r="B396" s="1157" t="s">
        <v>813</v>
      </c>
      <c r="C396" s="1158">
        <v>2065</v>
      </c>
      <c r="D396" s="1157">
        <v>1190000</v>
      </c>
      <c r="E396" s="1159">
        <v>51590</v>
      </c>
      <c r="F396" s="1160">
        <v>29220</v>
      </c>
      <c r="G396" s="1157">
        <v>3.7582</v>
      </c>
      <c r="H396" s="1159">
        <v>8.4366999999999984E-3</v>
      </c>
      <c r="I396" s="1159">
        <v>-3.8261190000000002E-3</v>
      </c>
      <c r="J396" s="1160">
        <v>3.0054000000000003</v>
      </c>
    </row>
    <row r="397" spans="2:10">
      <c r="B397" s="1157" t="s">
        <v>822</v>
      </c>
      <c r="C397" s="1158">
        <v>2065</v>
      </c>
      <c r="D397" s="1157">
        <v>1190000</v>
      </c>
      <c r="E397" s="1159">
        <v>51590</v>
      </c>
      <c r="F397" s="1160">
        <v>29220</v>
      </c>
      <c r="G397" s="1157">
        <v>3.7582</v>
      </c>
      <c r="H397" s="1159">
        <v>8.4366999999999984E-3</v>
      </c>
      <c r="I397" s="1159">
        <v>-3.8261190000000002E-3</v>
      </c>
      <c r="J397" s="1160">
        <v>3.0054000000000003</v>
      </c>
    </row>
    <row r="398" spans="2:10" ht="14" thickBot="1">
      <c r="B398" s="1161" t="s">
        <v>1085</v>
      </c>
      <c r="C398" s="1162">
        <v>2065</v>
      </c>
      <c r="D398" s="1161">
        <v>1384000</v>
      </c>
      <c r="E398" s="1163">
        <v>1383000</v>
      </c>
      <c r="F398" s="1164">
        <v>5034</v>
      </c>
      <c r="G398" s="1161">
        <v>78.571100000000001</v>
      </c>
      <c r="H398" s="1163">
        <v>0.27494000000000002</v>
      </c>
      <c r="I398" s="1163">
        <v>2.3304000000000003E-3</v>
      </c>
      <c r="J398" s="1164">
        <v>87.594300000000004</v>
      </c>
    </row>
    <row r="399" spans="2:10">
      <c r="B399" s="1153" t="s">
        <v>1082</v>
      </c>
      <c r="C399" s="1154">
        <v>2070</v>
      </c>
      <c r="D399" s="1153">
        <v>1092000</v>
      </c>
      <c r="E399" s="1155">
        <v>1092000</v>
      </c>
      <c r="F399" s="1156">
        <v>3971</v>
      </c>
      <c r="G399" s="1153">
        <v>5.7390999999999996</v>
      </c>
      <c r="H399" s="1155">
        <v>0.18462200000000001</v>
      </c>
      <c r="I399" s="1155">
        <v>8.61E-4</v>
      </c>
      <c r="J399" s="1156">
        <v>11.5648</v>
      </c>
    </row>
    <row r="400" spans="2:10">
      <c r="B400" s="1157" t="s">
        <v>283</v>
      </c>
      <c r="C400" s="1158">
        <v>2070</v>
      </c>
      <c r="D400" s="1157">
        <v>1092000</v>
      </c>
      <c r="E400" s="1159">
        <v>1092000</v>
      </c>
      <c r="F400" s="1160">
        <v>3971</v>
      </c>
      <c r="G400" s="1157">
        <v>5.7390999999999996</v>
      </c>
      <c r="H400" s="1159">
        <v>0.18462200000000001</v>
      </c>
      <c r="I400" s="1159">
        <v>8.61E-4</v>
      </c>
      <c r="J400" s="1160">
        <v>11.5648</v>
      </c>
    </row>
    <row r="401" spans="2:10">
      <c r="B401" s="1157" t="s">
        <v>1083</v>
      </c>
      <c r="C401" s="1158">
        <v>2070</v>
      </c>
      <c r="D401" s="1157">
        <v>1092000</v>
      </c>
      <c r="E401" s="1159">
        <v>1092000</v>
      </c>
      <c r="F401" s="1160">
        <v>3971</v>
      </c>
      <c r="G401" s="1157">
        <v>5.7390999999999996</v>
      </c>
      <c r="H401" s="1159">
        <v>0.18462200000000001</v>
      </c>
      <c r="I401" s="1159">
        <v>8.61E-4</v>
      </c>
      <c r="J401" s="1160">
        <v>11.5648</v>
      </c>
    </row>
    <row r="402" spans="2:10">
      <c r="B402" s="1157" t="s">
        <v>679</v>
      </c>
      <c r="C402" s="1158">
        <v>2070</v>
      </c>
      <c r="D402" s="1157">
        <v>1092000</v>
      </c>
      <c r="E402" s="1159">
        <v>1092000</v>
      </c>
      <c r="F402" s="1160">
        <v>3971</v>
      </c>
      <c r="G402" s="1157">
        <v>5.7390999999999996</v>
      </c>
      <c r="H402" s="1159">
        <v>0.18462200000000001</v>
      </c>
      <c r="I402" s="1159">
        <v>8.61E-4</v>
      </c>
      <c r="J402" s="1160">
        <v>11.5648</v>
      </c>
    </row>
    <row r="403" spans="2:10">
      <c r="B403" s="1157" t="s">
        <v>680</v>
      </c>
      <c r="C403" s="1158">
        <v>2070</v>
      </c>
      <c r="D403" s="1157">
        <v>-1185000</v>
      </c>
      <c r="E403" s="1159">
        <v>0</v>
      </c>
      <c r="F403" s="1160">
        <v>0</v>
      </c>
      <c r="G403" s="1157">
        <v>-85.800000000000011</v>
      </c>
      <c r="H403" s="1159">
        <v>0.54700000000000004</v>
      </c>
      <c r="I403" s="1159">
        <v>-1.8286999999999999E-3</v>
      </c>
      <c r="J403" s="1160">
        <v>-70.08</v>
      </c>
    </row>
    <row r="404" spans="2:10">
      <c r="B404" s="1157" t="s">
        <v>681</v>
      </c>
      <c r="C404" s="1158">
        <v>2070</v>
      </c>
      <c r="D404" s="1157">
        <v>1721000</v>
      </c>
      <c r="E404" s="1159">
        <v>1293000</v>
      </c>
      <c r="F404" s="1160">
        <v>15050</v>
      </c>
      <c r="G404" s="1157">
        <v>125.08</v>
      </c>
      <c r="H404" s="1159">
        <v>0.20477100000000001</v>
      </c>
      <c r="I404" s="1159">
        <v>1.7827000000000001E-3</v>
      </c>
      <c r="J404" s="1160">
        <v>129.82</v>
      </c>
    </row>
    <row r="405" spans="2:10">
      <c r="B405" s="1157" t="s">
        <v>696</v>
      </c>
      <c r="C405" s="1158">
        <v>2070</v>
      </c>
      <c r="D405" s="1157">
        <v>1721000</v>
      </c>
      <c r="E405" s="1159">
        <v>1293000</v>
      </c>
      <c r="F405" s="1160">
        <v>15050</v>
      </c>
      <c r="G405" s="1157">
        <v>125.08</v>
      </c>
      <c r="H405" s="1159">
        <v>0.20477100000000001</v>
      </c>
      <c r="I405" s="1159">
        <v>1.7827000000000001E-3</v>
      </c>
      <c r="J405" s="1160">
        <v>129.82</v>
      </c>
    </row>
    <row r="406" spans="2:10">
      <c r="B406" s="1157" t="s">
        <v>682</v>
      </c>
      <c r="C406" s="1158">
        <v>2070</v>
      </c>
      <c r="D406" s="1157">
        <v>1721000</v>
      </c>
      <c r="E406" s="1159">
        <v>1293000</v>
      </c>
      <c r="F406" s="1160">
        <v>15050</v>
      </c>
      <c r="G406" s="1157">
        <v>125.08</v>
      </c>
      <c r="H406" s="1159">
        <v>0.20477100000000001</v>
      </c>
      <c r="I406" s="1159">
        <v>1.7827000000000001E-3</v>
      </c>
      <c r="J406" s="1160">
        <v>129.82</v>
      </c>
    </row>
    <row r="407" spans="2:10">
      <c r="B407" s="1157" t="s">
        <v>1084</v>
      </c>
      <c r="C407" s="1158">
        <v>2070</v>
      </c>
      <c r="D407" s="1157">
        <v>1022000</v>
      </c>
      <c r="E407" s="1159">
        <v>1021000</v>
      </c>
      <c r="F407" s="1160">
        <v>15510</v>
      </c>
      <c r="G407" s="1157">
        <v>1.6964999999999999</v>
      </c>
      <c r="H407" s="1159">
        <v>0.14096238999999999</v>
      </c>
      <c r="I407" s="1159">
        <v>3.2765999999999998E-5</v>
      </c>
      <c r="J407" s="1160">
        <v>5.9536999999999995</v>
      </c>
    </row>
    <row r="408" spans="2:10">
      <c r="B408" s="1157" t="s">
        <v>714</v>
      </c>
      <c r="C408" s="1158">
        <v>2070</v>
      </c>
      <c r="D408" s="1157">
        <v>1022000</v>
      </c>
      <c r="E408" s="1159">
        <v>1021000</v>
      </c>
      <c r="F408" s="1160">
        <v>15510</v>
      </c>
      <c r="G408" s="1157">
        <v>1.6964999999999999</v>
      </c>
      <c r="H408" s="1159">
        <v>0.14096238999999999</v>
      </c>
      <c r="I408" s="1159">
        <v>3.2765999999999998E-5</v>
      </c>
      <c r="J408" s="1160">
        <v>5.9536999999999995</v>
      </c>
    </row>
    <row r="409" spans="2:10">
      <c r="B409" s="1157" t="s">
        <v>715</v>
      </c>
      <c r="C409" s="1158">
        <v>2070</v>
      </c>
      <c r="D409" s="1157">
        <v>1022000</v>
      </c>
      <c r="E409" s="1159">
        <v>1021000</v>
      </c>
      <c r="F409" s="1160">
        <v>15510</v>
      </c>
      <c r="G409" s="1157">
        <v>1.6964999999999999</v>
      </c>
      <c r="H409" s="1159">
        <v>0.14096238999999999</v>
      </c>
      <c r="I409" s="1159">
        <v>3.2765999999999998E-5</v>
      </c>
      <c r="J409" s="1160">
        <v>5.9536999999999995</v>
      </c>
    </row>
    <row r="410" spans="2:10">
      <c r="B410" s="1157" t="s">
        <v>909</v>
      </c>
      <c r="C410" s="1158">
        <v>2070</v>
      </c>
      <c r="D410" s="1157">
        <v>1209000</v>
      </c>
      <c r="E410" s="1159">
        <v>1202000</v>
      </c>
      <c r="F410" s="1160">
        <v>1052000</v>
      </c>
      <c r="G410" s="1157">
        <v>17.969000000000001</v>
      </c>
      <c r="H410" s="1159">
        <v>0.164128</v>
      </c>
      <c r="I410" s="1159">
        <v>2.9025999999999998E-4</v>
      </c>
      <c r="J410" s="1160">
        <v>22.988</v>
      </c>
    </row>
    <row r="411" spans="2:10">
      <c r="B411" s="1157" t="s">
        <v>907</v>
      </c>
      <c r="C411" s="1158">
        <v>2070</v>
      </c>
      <c r="D411" s="1157">
        <v>1585000</v>
      </c>
      <c r="E411" s="1159">
        <v>696300</v>
      </c>
      <c r="F411" s="1160">
        <v>286000</v>
      </c>
      <c r="G411" s="1157">
        <v>38.049999999999997</v>
      </c>
      <c r="H411" s="1159">
        <v>0.1118</v>
      </c>
      <c r="I411" s="1159">
        <v>2.5350000000000001E-2</v>
      </c>
      <c r="J411" s="1160">
        <v>45.19</v>
      </c>
    </row>
    <row r="412" spans="2:10">
      <c r="B412" s="1157" t="s">
        <v>910</v>
      </c>
      <c r="C412" s="1158">
        <v>2070</v>
      </c>
      <c r="D412" s="1157">
        <v>1249000</v>
      </c>
      <c r="E412" s="1159">
        <v>1242000</v>
      </c>
      <c r="F412" s="1160">
        <v>1078000</v>
      </c>
      <c r="G412" s="1157">
        <v>23.84</v>
      </c>
      <c r="H412" s="1159">
        <v>0.16985799999999998</v>
      </c>
      <c r="I412" s="1159">
        <v>3.7813000000000001E-4</v>
      </c>
      <c r="J412" s="1160">
        <v>29.157000000000004</v>
      </c>
    </row>
    <row r="413" spans="2:10">
      <c r="B413" s="1157" t="s">
        <v>1078</v>
      </c>
      <c r="C413" s="1158">
        <v>2070</v>
      </c>
      <c r="D413" s="1157">
        <v>1190000</v>
      </c>
      <c r="E413" s="1159">
        <v>51590</v>
      </c>
      <c r="F413" s="1160">
        <v>29220</v>
      </c>
      <c r="G413" s="1157">
        <v>3.7582</v>
      </c>
      <c r="H413" s="1159">
        <v>8.4366999999999984E-3</v>
      </c>
      <c r="I413" s="1159">
        <v>-3.8261190000000002E-3</v>
      </c>
      <c r="J413" s="1160">
        <v>3.0054000000000003</v>
      </c>
    </row>
    <row r="414" spans="2:10">
      <c r="B414" s="1157" t="s">
        <v>813</v>
      </c>
      <c r="C414" s="1158">
        <v>2070</v>
      </c>
      <c r="D414" s="1157">
        <v>1190000</v>
      </c>
      <c r="E414" s="1159">
        <v>51590</v>
      </c>
      <c r="F414" s="1160">
        <v>29220</v>
      </c>
      <c r="G414" s="1157">
        <v>3.7582</v>
      </c>
      <c r="H414" s="1159">
        <v>8.4366999999999984E-3</v>
      </c>
      <c r="I414" s="1159">
        <v>-3.8261190000000002E-3</v>
      </c>
      <c r="J414" s="1160">
        <v>3.0054000000000003</v>
      </c>
    </row>
    <row r="415" spans="2:10">
      <c r="B415" s="1157" t="s">
        <v>822</v>
      </c>
      <c r="C415" s="1158">
        <v>2070</v>
      </c>
      <c r="D415" s="1157">
        <v>1190000</v>
      </c>
      <c r="E415" s="1159">
        <v>51590</v>
      </c>
      <c r="F415" s="1160">
        <v>29220</v>
      </c>
      <c r="G415" s="1157">
        <v>3.7582</v>
      </c>
      <c r="H415" s="1159">
        <v>8.4366999999999984E-3</v>
      </c>
      <c r="I415" s="1159">
        <v>-3.8261190000000002E-3</v>
      </c>
      <c r="J415" s="1160">
        <v>3.0054000000000003</v>
      </c>
    </row>
    <row r="416" spans="2:10" ht="14" thickBot="1">
      <c r="B416" s="1161" t="s">
        <v>1085</v>
      </c>
      <c r="C416" s="1162">
        <v>2070</v>
      </c>
      <c r="D416" s="1161">
        <v>1384000</v>
      </c>
      <c r="E416" s="1163">
        <v>1383000</v>
      </c>
      <c r="F416" s="1164">
        <v>5034</v>
      </c>
      <c r="G416" s="1161">
        <v>78.571100000000001</v>
      </c>
      <c r="H416" s="1163">
        <v>0.27494000000000002</v>
      </c>
      <c r="I416" s="1163">
        <v>2.3304000000000003E-3</v>
      </c>
      <c r="J416" s="1164">
        <v>87.594300000000004</v>
      </c>
    </row>
    <row r="417" spans="2:10">
      <c r="B417" s="1153" t="s">
        <v>1082</v>
      </c>
      <c r="C417" s="1154">
        <v>2075</v>
      </c>
      <c r="D417" s="1153">
        <v>1092000</v>
      </c>
      <c r="E417" s="1155">
        <v>1092000</v>
      </c>
      <c r="F417" s="1156">
        <v>3971</v>
      </c>
      <c r="G417" s="1153">
        <v>5.7390999999999996</v>
      </c>
      <c r="H417" s="1155">
        <v>0.18462200000000001</v>
      </c>
      <c r="I417" s="1155">
        <v>8.61E-4</v>
      </c>
      <c r="J417" s="1156">
        <v>11.5648</v>
      </c>
    </row>
    <row r="418" spans="2:10">
      <c r="B418" s="1157" t="s">
        <v>283</v>
      </c>
      <c r="C418" s="1158">
        <v>2075</v>
      </c>
      <c r="D418" s="1157">
        <v>1092000</v>
      </c>
      <c r="E418" s="1159">
        <v>1092000</v>
      </c>
      <c r="F418" s="1160">
        <v>3971</v>
      </c>
      <c r="G418" s="1157">
        <v>5.7390999999999996</v>
      </c>
      <c r="H418" s="1159">
        <v>0.18462200000000001</v>
      </c>
      <c r="I418" s="1159">
        <v>8.61E-4</v>
      </c>
      <c r="J418" s="1160">
        <v>11.5648</v>
      </c>
    </row>
    <row r="419" spans="2:10">
      <c r="B419" s="1157" t="s">
        <v>1083</v>
      </c>
      <c r="C419" s="1158">
        <v>2075</v>
      </c>
      <c r="D419" s="1157">
        <v>1092000</v>
      </c>
      <c r="E419" s="1159">
        <v>1092000</v>
      </c>
      <c r="F419" s="1160">
        <v>3971</v>
      </c>
      <c r="G419" s="1157">
        <v>5.7390999999999996</v>
      </c>
      <c r="H419" s="1159">
        <v>0.18462200000000001</v>
      </c>
      <c r="I419" s="1159">
        <v>8.61E-4</v>
      </c>
      <c r="J419" s="1160">
        <v>11.5648</v>
      </c>
    </row>
    <row r="420" spans="2:10">
      <c r="B420" s="1157" t="s">
        <v>679</v>
      </c>
      <c r="C420" s="1158">
        <v>2075</v>
      </c>
      <c r="D420" s="1157">
        <v>1092000</v>
      </c>
      <c r="E420" s="1159">
        <v>1092000</v>
      </c>
      <c r="F420" s="1160">
        <v>3971</v>
      </c>
      <c r="G420" s="1157">
        <v>5.7390999999999996</v>
      </c>
      <c r="H420" s="1159">
        <v>0.18462200000000001</v>
      </c>
      <c r="I420" s="1159">
        <v>8.61E-4</v>
      </c>
      <c r="J420" s="1160">
        <v>11.5648</v>
      </c>
    </row>
    <row r="421" spans="2:10">
      <c r="B421" s="1157" t="s">
        <v>680</v>
      </c>
      <c r="C421" s="1158">
        <v>2075</v>
      </c>
      <c r="D421" s="1157">
        <v>-1185000</v>
      </c>
      <c r="E421" s="1159">
        <v>0</v>
      </c>
      <c r="F421" s="1160">
        <v>0</v>
      </c>
      <c r="G421" s="1157">
        <v>-85.800000000000011</v>
      </c>
      <c r="H421" s="1159">
        <v>0.54700000000000004</v>
      </c>
      <c r="I421" s="1159">
        <v>-1.8286999999999999E-3</v>
      </c>
      <c r="J421" s="1160">
        <v>-70.08</v>
      </c>
    </row>
    <row r="422" spans="2:10">
      <c r="B422" s="1157" t="s">
        <v>681</v>
      </c>
      <c r="C422" s="1158">
        <v>2075</v>
      </c>
      <c r="D422" s="1157">
        <v>1721000</v>
      </c>
      <c r="E422" s="1159">
        <v>1293000</v>
      </c>
      <c r="F422" s="1160">
        <v>15050</v>
      </c>
      <c r="G422" s="1157">
        <v>125.08</v>
      </c>
      <c r="H422" s="1159">
        <v>0.20477100000000001</v>
      </c>
      <c r="I422" s="1159">
        <v>1.7827000000000001E-3</v>
      </c>
      <c r="J422" s="1160">
        <v>129.82</v>
      </c>
    </row>
    <row r="423" spans="2:10">
      <c r="B423" s="1157" t="s">
        <v>696</v>
      </c>
      <c r="C423" s="1158">
        <v>2075</v>
      </c>
      <c r="D423" s="1157">
        <v>1721000</v>
      </c>
      <c r="E423" s="1159">
        <v>1293000</v>
      </c>
      <c r="F423" s="1160">
        <v>15050</v>
      </c>
      <c r="G423" s="1157">
        <v>125.08</v>
      </c>
      <c r="H423" s="1159">
        <v>0.20477100000000001</v>
      </c>
      <c r="I423" s="1159">
        <v>1.7827000000000001E-3</v>
      </c>
      <c r="J423" s="1160">
        <v>129.82</v>
      </c>
    </row>
    <row r="424" spans="2:10">
      <c r="B424" s="1157" t="s">
        <v>682</v>
      </c>
      <c r="C424" s="1158">
        <v>2075</v>
      </c>
      <c r="D424" s="1157">
        <v>1721000</v>
      </c>
      <c r="E424" s="1159">
        <v>1293000</v>
      </c>
      <c r="F424" s="1160">
        <v>15050</v>
      </c>
      <c r="G424" s="1157">
        <v>125.08</v>
      </c>
      <c r="H424" s="1159">
        <v>0.20477100000000001</v>
      </c>
      <c r="I424" s="1159">
        <v>1.7827000000000001E-3</v>
      </c>
      <c r="J424" s="1160">
        <v>129.82</v>
      </c>
    </row>
    <row r="425" spans="2:10">
      <c r="B425" s="1157" t="s">
        <v>1084</v>
      </c>
      <c r="C425" s="1158">
        <v>2075</v>
      </c>
      <c r="D425" s="1157">
        <v>1022000</v>
      </c>
      <c r="E425" s="1159">
        <v>1021000</v>
      </c>
      <c r="F425" s="1160">
        <v>15510</v>
      </c>
      <c r="G425" s="1157">
        <v>1.6964999999999999</v>
      </c>
      <c r="H425" s="1159">
        <v>0.14096238999999999</v>
      </c>
      <c r="I425" s="1159">
        <v>3.2765999999999998E-5</v>
      </c>
      <c r="J425" s="1160">
        <v>5.9536999999999995</v>
      </c>
    </row>
    <row r="426" spans="2:10">
      <c r="B426" s="1157" t="s">
        <v>714</v>
      </c>
      <c r="C426" s="1158">
        <v>2075</v>
      </c>
      <c r="D426" s="1157">
        <v>1022000</v>
      </c>
      <c r="E426" s="1159">
        <v>1021000</v>
      </c>
      <c r="F426" s="1160">
        <v>15510</v>
      </c>
      <c r="G426" s="1157">
        <v>1.6964999999999999</v>
      </c>
      <c r="H426" s="1159">
        <v>0.14096238999999999</v>
      </c>
      <c r="I426" s="1159">
        <v>3.2765999999999998E-5</v>
      </c>
      <c r="J426" s="1160">
        <v>5.9536999999999995</v>
      </c>
    </row>
    <row r="427" spans="2:10">
      <c r="B427" s="1157" t="s">
        <v>715</v>
      </c>
      <c r="C427" s="1158">
        <v>2075</v>
      </c>
      <c r="D427" s="1157">
        <v>1022000</v>
      </c>
      <c r="E427" s="1159">
        <v>1021000</v>
      </c>
      <c r="F427" s="1160">
        <v>15510</v>
      </c>
      <c r="G427" s="1157">
        <v>1.6964999999999999</v>
      </c>
      <c r="H427" s="1159">
        <v>0.14096238999999999</v>
      </c>
      <c r="I427" s="1159">
        <v>3.2765999999999998E-5</v>
      </c>
      <c r="J427" s="1160">
        <v>5.9536999999999995</v>
      </c>
    </row>
    <row r="428" spans="2:10">
      <c r="B428" s="1157" t="s">
        <v>909</v>
      </c>
      <c r="C428" s="1158">
        <v>2075</v>
      </c>
      <c r="D428" s="1157">
        <v>1209000</v>
      </c>
      <c r="E428" s="1159">
        <v>1202000</v>
      </c>
      <c r="F428" s="1160">
        <v>1052000</v>
      </c>
      <c r="G428" s="1157">
        <v>17.969000000000001</v>
      </c>
      <c r="H428" s="1159">
        <v>0.164128</v>
      </c>
      <c r="I428" s="1159">
        <v>2.9025999999999998E-4</v>
      </c>
      <c r="J428" s="1160">
        <v>22.988</v>
      </c>
    </row>
    <row r="429" spans="2:10">
      <c r="B429" s="1157" t="s">
        <v>907</v>
      </c>
      <c r="C429" s="1158">
        <v>2075</v>
      </c>
      <c r="D429" s="1157">
        <v>1585000</v>
      </c>
      <c r="E429" s="1159">
        <v>696300</v>
      </c>
      <c r="F429" s="1160">
        <v>286000</v>
      </c>
      <c r="G429" s="1157">
        <v>38.049999999999997</v>
      </c>
      <c r="H429" s="1159">
        <v>0.1118</v>
      </c>
      <c r="I429" s="1159">
        <v>2.5350000000000001E-2</v>
      </c>
      <c r="J429" s="1160">
        <v>45.19</v>
      </c>
    </row>
    <row r="430" spans="2:10">
      <c r="B430" s="1157" t="s">
        <v>910</v>
      </c>
      <c r="C430" s="1158">
        <v>2075</v>
      </c>
      <c r="D430" s="1157">
        <v>1249000</v>
      </c>
      <c r="E430" s="1159">
        <v>1242000</v>
      </c>
      <c r="F430" s="1160">
        <v>1078000</v>
      </c>
      <c r="G430" s="1157">
        <v>23.84</v>
      </c>
      <c r="H430" s="1159">
        <v>0.16985799999999998</v>
      </c>
      <c r="I430" s="1159">
        <v>3.7813000000000001E-4</v>
      </c>
      <c r="J430" s="1160">
        <v>29.157000000000004</v>
      </c>
    </row>
    <row r="431" spans="2:10">
      <c r="B431" s="1157" t="s">
        <v>1078</v>
      </c>
      <c r="C431" s="1158">
        <v>2075</v>
      </c>
      <c r="D431" s="1157">
        <v>1190000</v>
      </c>
      <c r="E431" s="1159">
        <v>51590</v>
      </c>
      <c r="F431" s="1160">
        <v>29220</v>
      </c>
      <c r="G431" s="1157">
        <v>3.7582</v>
      </c>
      <c r="H431" s="1159">
        <v>8.4366999999999984E-3</v>
      </c>
      <c r="I431" s="1159">
        <v>-3.8261190000000002E-3</v>
      </c>
      <c r="J431" s="1160">
        <v>3.0054000000000003</v>
      </c>
    </row>
    <row r="432" spans="2:10">
      <c r="B432" s="1157" t="s">
        <v>813</v>
      </c>
      <c r="C432" s="1158">
        <v>2075</v>
      </c>
      <c r="D432" s="1157">
        <v>1190000</v>
      </c>
      <c r="E432" s="1159">
        <v>51590</v>
      </c>
      <c r="F432" s="1160">
        <v>29220</v>
      </c>
      <c r="G432" s="1157">
        <v>3.7582</v>
      </c>
      <c r="H432" s="1159">
        <v>8.4366999999999984E-3</v>
      </c>
      <c r="I432" s="1159">
        <v>-3.8261190000000002E-3</v>
      </c>
      <c r="J432" s="1160">
        <v>3.0054000000000003</v>
      </c>
    </row>
    <row r="433" spans="2:10">
      <c r="B433" s="1157" t="s">
        <v>822</v>
      </c>
      <c r="C433" s="1158">
        <v>2075</v>
      </c>
      <c r="D433" s="1157">
        <v>1190000</v>
      </c>
      <c r="E433" s="1159">
        <v>51590</v>
      </c>
      <c r="F433" s="1160">
        <v>29220</v>
      </c>
      <c r="G433" s="1157">
        <v>3.7582</v>
      </c>
      <c r="H433" s="1159">
        <v>8.4366999999999984E-3</v>
      </c>
      <c r="I433" s="1159">
        <v>-3.8261190000000002E-3</v>
      </c>
      <c r="J433" s="1160">
        <v>3.0054000000000003</v>
      </c>
    </row>
    <row r="434" spans="2:10" ht="14" thickBot="1">
      <c r="B434" s="1161" t="s">
        <v>1085</v>
      </c>
      <c r="C434" s="1162">
        <v>2075</v>
      </c>
      <c r="D434" s="1161">
        <v>1384000</v>
      </c>
      <c r="E434" s="1163">
        <v>1383000</v>
      </c>
      <c r="F434" s="1164">
        <v>5034</v>
      </c>
      <c r="G434" s="1161">
        <v>78.571100000000001</v>
      </c>
      <c r="H434" s="1163">
        <v>0.27494000000000002</v>
      </c>
      <c r="I434" s="1163">
        <v>2.3304000000000003E-3</v>
      </c>
      <c r="J434" s="1164">
        <v>87.594300000000004</v>
      </c>
    </row>
    <row r="435" spans="2:10">
      <c r="B435" s="1153" t="s">
        <v>1082</v>
      </c>
      <c r="C435" s="1154">
        <v>2080</v>
      </c>
      <c r="D435" s="1153">
        <v>1092000</v>
      </c>
      <c r="E435" s="1155">
        <v>1092000</v>
      </c>
      <c r="F435" s="1156">
        <v>3971</v>
      </c>
      <c r="G435" s="1153">
        <v>5.7390999999999996</v>
      </c>
      <c r="H435" s="1155">
        <v>0.18462200000000001</v>
      </c>
      <c r="I435" s="1155">
        <v>8.61E-4</v>
      </c>
      <c r="J435" s="1156">
        <v>11.5648</v>
      </c>
    </row>
    <row r="436" spans="2:10">
      <c r="B436" s="1157" t="s">
        <v>283</v>
      </c>
      <c r="C436" s="1158">
        <v>2080</v>
      </c>
      <c r="D436" s="1157">
        <v>1092000</v>
      </c>
      <c r="E436" s="1159">
        <v>1092000</v>
      </c>
      <c r="F436" s="1160">
        <v>3971</v>
      </c>
      <c r="G436" s="1157">
        <v>5.7390999999999996</v>
      </c>
      <c r="H436" s="1159">
        <v>0.18462200000000001</v>
      </c>
      <c r="I436" s="1159">
        <v>8.61E-4</v>
      </c>
      <c r="J436" s="1160">
        <v>11.5648</v>
      </c>
    </row>
    <row r="437" spans="2:10">
      <c r="B437" s="1157" t="s">
        <v>1083</v>
      </c>
      <c r="C437" s="1158">
        <v>2080</v>
      </c>
      <c r="D437" s="1157">
        <v>1092000</v>
      </c>
      <c r="E437" s="1159">
        <v>1092000</v>
      </c>
      <c r="F437" s="1160">
        <v>3971</v>
      </c>
      <c r="G437" s="1157">
        <v>5.7390999999999996</v>
      </c>
      <c r="H437" s="1159">
        <v>0.18462200000000001</v>
      </c>
      <c r="I437" s="1159">
        <v>8.61E-4</v>
      </c>
      <c r="J437" s="1160">
        <v>11.5648</v>
      </c>
    </row>
    <row r="438" spans="2:10">
      <c r="B438" s="1157" t="s">
        <v>679</v>
      </c>
      <c r="C438" s="1158">
        <v>2080</v>
      </c>
      <c r="D438" s="1157">
        <v>1092000</v>
      </c>
      <c r="E438" s="1159">
        <v>1092000</v>
      </c>
      <c r="F438" s="1160">
        <v>3971</v>
      </c>
      <c r="G438" s="1157">
        <v>5.7390999999999996</v>
      </c>
      <c r="H438" s="1159">
        <v>0.18462200000000001</v>
      </c>
      <c r="I438" s="1159">
        <v>8.61E-4</v>
      </c>
      <c r="J438" s="1160">
        <v>11.5648</v>
      </c>
    </row>
    <row r="439" spans="2:10">
      <c r="B439" s="1157" t="s">
        <v>680</v>
      </c>
      <c r="C439" s="1158">
        <v>2080</v>
      </c>
      <c r="D439" s="1157">
        <v>-1185000</v>
      </c>
      <c r="E439" s="1159">
        <v>0</v>
      </c>
      <c r="F439" s="1160">
        <v>0</v>
      </c>
      <c r="G439" s="1157">
        <v>-85.800000000000011</v>
      </c>
      <c r="H439" s="1159">
        <v>0.54700000000000004</v>
      </c>
      <c r="I439" s="1159">
        <v>-1.8286999999999999E-3</v>
      </c>
      <c r="J439" s="1160">
        <v>-70.08</v>
      </c>
    </row>
    <row r="440" spans="2:10">
      <c r="B440" s="1157" t="s">
        <v>681</v>
      </c>
      <c r="C440" s="1158">
        <v>2080</v>
      </c>
      <c r="D440" s="1157">
        <v>1721000</v>
      </c>
      <c r="E440" s="1159">
        <v>1293000</v>
      </c>
      <c r="F440" s="1160">
        <v>15050</v>
      </c>
      <c r="G440" s="1157">
        <v>125.08</v>
      </c>
      <c r="H440" s="1159">
        <v>0.20477100000000001</v>
      </c>
      <c r="I440" s="1159">
        <v>1.7827000000000001E-3</v>
      </c>
      <c r="J440" s="1160">
        <v>129.82</v>
      </c>
    </row>
    <row r="441" spans="2:10">
      <c r="B441" s="1157" t="s">
        <v>696</v>
      </c>
      <c r="C441" s="1158">
        <v>2080</v>
      </c>
      <c r="D441" s="1157">
        <v>1721000</v>
      </c>
      <c r="E441" s="1159">
        <v>1293000</v>
      </c>
      <c r="F441" s="1160">
        <v>15050</v>
      </c>
      <c r="G441" s="1157">
        <v>125.08</v>
      </c>
      <c r="H441" s="1159">
        <v>0.20477100000000001</v>
      </c>
      <c r="I441" s="1159">
        <v>1.7827000000000001E-3</v>
      </c>
      <c r="J441" s="1160">
        <v>129.82</v>
      </c>
    </row>
    <row r="442" spans="2:10">
      <c r="B442" s="1157" t="s">
        <v>682</v>
      </c>
      <c r="C442" s="1158">
        <v>2080</v>
      </c>
      <c r="D442" s="1157">
        <v>1721000</v>
      </c>
      <c r="E442" s="1159">
        <v>1293000</v>
      </c>
      <c r="F442" s="1160">
        <v>15050</v>
      </c>
      <c r="G442" s="1157">
        <v>125.08</v>
      </c>
      <c r="H442" s="1159">
        <v>0.20477100000000001</v>
      </c>
      <c r="I442" s="1159">
        <v>1.7827000000000001E-3</v>
      </c>
      <c r="J442" s="1160">
        <v>129.82</v>
      </c>
    </row>
    <row r="443" spans="2:10">
      <c r="B443" s="1157" t="s">
        <v>1084</v>
      </c>
      <c r="C443" s="1158">
        <v>2080</v>
      </c>
      <c r="D443" s="1157">
        <v>1022000</v>
      </c>
      <c r="E443" s="1159">
        <v>1021000</v>
      </c>
      <c r="F443" s="1160">
        <v>15510</v>
      </c>
      <c r="G443" s="1157">
        <v>1.6964999999999999</v>
      </c>
      <c r="H443" s="1159">
        <v>0.14096238999999999</v>
      </c>
      <c r="I443" s="1159">
        <v>3.2765999999999998E-5</v>
      </c>
      <c r="J443" s="1160">
        <v>5.9536999999999995</v>
      </c>
    </row>
    <row r="444" spans="2:10">
      <c r="B444" s="1157" t="s">
        <v>714</v>
      </c>
      <c r="C444" s="1158">
        <v>2080</v>
      </c>
      <c r="D444" s="1157">
        <v>1022000</v>
      </c>
      <c r="E444" s="1159">
        <v>1021000</v>
      </c>
      <c r="F444" s="1160">
        <v>15510</v>
      </c>
      <c r="G444" s="1157">
        <v>1.6964999999999999</v>
      </c>
      <c r="H444" s="1159">
        <v>0.14096238999999999</v>
      </c>
      <c r="I444" s="1159">
        <v>3.2765999999999998E-5</v>
      </c>
      <c r="J444" s="1160">
        <v>5.9536999999999995</v>
      </c>
    </row>
    <row r="445" spans="2:10">
      <c r="B445" s="1157" t="s">
        <v>715</v>
      </c>
      <c r="C445" s="1158">
        <v>2080</v>
      </c>
      <c r="D445" s="1157">
        <v>1022000</v>
      </c>
      <c r="E445" s="1159">
        <v>1021000</v>
      </c>
      <c r="F445" s="1160">
        <v>15510</v>
      </c>
      <c r="G445" s="1157">
        <v>1.6964999999999999</v>
      </c>
      <c r="H445" s="1159">
        <v>0.14096238999999999</v>
      </c>
      <c r="I445" s="1159">
        <v>3.2765999999999998E-5</v>
      </c>
      <c r="J445" s="1160">
        <v>5.9536999999999995</v>
      </c>
    </row>
    <row r="446" spans="2:10">
      <c r="B446" s="1157" t="s">
        <v>909</v>
      </c>
      <c r="C446" s="1158">
        <v>2080</v>
      </c>
      <c r="D446" s="1157">
        <v>1209000</v>
      </c>
      <c r="E446" s="1159">
        <v>1202000</v>
      </c>
      <c r="F446" s="1160">
        <v>1052000</v>
      </c>
      <c r="G446" s="1157">
        <v>17.969000000000001</v>
      </c>
      <c r="H446" s="1159">
        <v>0.164128</v>
      </c>
      <c r="I446" s="1159">
        <v>2.9025999999999998E-4</v>
      </c>
      <c r="J446" s="1160">
        <v>22.988</v>
      </c>
    </row>
    <row r="447" spans="2:10">
      <c r="B447" s="1157" t="s">
        <v>907</v>
      </c>
      <c r="C447" s="1158">
        <v>2080</v>
      </c>
      <c r="D447" s="1157">
        <v>1585000</v>
      </c>
      <c r="E447" s="1159">
        <v>696300</v>
      </c>
      <c r="F447" s="1160">
        <v>286000</v>
      </c>
      <c r="G447" s="1157">
        <v>38.049999999999997</v>
      </c>
      <c r="H447" s="1159">
        <v>0.1118</v>
      </c>
      <c r="I447" s="1159">
        <v>2.5350000000000001E-2</v>
      </c>
      <c r="J447" s="1160">
        <v>45.19</v>
      </c>
    </row>
    <row r="448" spans="2:10">
      <c r="B448" s="1157" t="s">
        <v>910</v>
      </c>
      <c r="C448" s="1158">
        <v>2080</v>
      </c>
      <c r="D448" s="1157">
        <v>1249000</v>
      </c>
      <c r="E448" s="1159">
        <v>1242000</v>
      </c>
      <c r="F448" s="1160">
        <v>1078000</v>
      </c>
      <c r="G448" s="1157">
        <v>23.84</v>
      </c>
      <c r="H448" s="1159">
        <v>0.16985799999999998</v>
      </c>
      <c r="I448" s="1159">
        <v>3.7813000000000001E-4</v>
      </c>
      <c r="J448" s="1160">
        <v>29.157000000000004</v>
      </c>
    </row>
    <row r="449" spans="2:10">
      <c r="B449" s="1157" t="s">
        <v>1078</v>
      </c>
      <c r="C449" s="1158">
        <v>2080</v>
      </c>
      <c r="D449" s="1157">
        <v>1190000</v>
      </c>
      <c r="E449" s="1159">
        <v>51590</v>
      </c>
      <c r="F449" s="1160">
        <v>29220</v>
      </c>
      <c r="G449" s="1157">
        <v>3.7582</v>
      </c>
      <c r="H449" s="1159">
        <v>8.4366999999999984E-3</v>
      </c>
      <c r="I449" s="1159">
        <v>-3.8261190000000002E-3</v>
      </c>
      <c r="J449" s="1160">
        <v>3.0054000000000003</v>
      </c>
    </row>
    <row r="450" spans="2:10">
      <c r="B450" s="1157" t="s">
        <v>813</v>
      </c>
      <c r="C450" s="1158">
        <v>2080</v>
      </c>
      <c r="D450" s="1157">
        <v>1190000</v>
      </c>
      <c r="E450" s="1159">
        <v>51590</v>
      </c>
      <c r="F450" s="1160">
        <v>29220</v>
      </c>
      <c r="G450" s="1157">
        <v>3.7582</v>
      </c>
      <c r="H450" s="1159">
        <v>8.4366999999999984E-3</v>
      </c>
      <c r="I450" s="1159">
        <v>-3.8261190000000002E-3</v>
      </c>
      <c r="J450" s="1160">
        <v>3.0054000000000003</v>
      </c>
    </row>
    <row r="451" spans="2:10">
      <c r="B451" s="1157" t="s">
        <v>822</v>
      </c>
      <c r="C451" s="1158">
        <v>2080</v>
      </c>
      <c r="D451" s="1157">
        <v>1190000</v>
      </c>
      <c r="E451" s="1159">
        <v>51590</v>
      </c>
      <c r="F451" s="1160">
        <v>29220</v>
      </c>
      <c r="G451" s="1157">
        <v>3.7582</v>
      </c>
      <c r="H451" s="1159">
        <v>8.4366999999999984E-3</v>
      </c>
      <c r="I451" s="1159">
        <v>-3.8261190000000002E-3</v>
      </c>
      <c r="J451" s="1160">
        <v>3.0054000000000003</v>
      </c>
    </row>
    <row r="452" spans="2:10" ht="14" thickBot="1">
      <c r="B452" s="1161" t="s">
        <v>1085</v>
      </c>
      <c r="C452" s="1162">
        <v>2080</v>
      </c>
      <c r="D452" s="1161">
        <v>1384000</v>
      </c>
      <c r="E452" s="1163">
        <v>1383000</v>
      </c>
      <c r="F452" s="1164">
        <v>5034</v>
      </c>
      <c r="G452" s="1161">
        <v>78.571100000000001</v>
      </c>
      <c r="H452" s="1163">
        <v>0.27494000000000002</v>
      </c>
      <c r="I452" s="1163">
        <v>2.3304000000000003E-3</v>
      </c>
      <c r="J452" s="1164">
        <v>87.594300000000004</v>
      </c>
    </row>
    <row r="453" spans="2:10">
      <c r="B453" s="1153" t="s">
        <v>1082</v>
      </c>
      <c r="C453" s="1154">
        <v>2085</v>
      </c>
      <c r="D453" s="1153">
        <v>1092000</v>
      </c>
      <c r="E453" s="1155">
        <v>1092000</v>
      </c>
      <c r="F453" s="1156">
        <v>3971</v>
      </c>
      <c r="G453" s="1153">
        <v>5.7390999999999996</v>
      </c>
      <c r="H453" s="1155">
        <v>0.18462200000000001</v>
      </c>
      <c r="I453" s="1155">
        <v>8.61E-4</v>
      </c>
      <c r="J453" s="1156">
        <v>11.5648</v>
      </c>
    </row>
    <row r="454" spans="2:10">
      <c r="B454" s="1157" t="s">
        <v>283</v>
      </c>
      <c r="C454" s="1158">
        <v>2085</v>
      </c>
      <c r="D454" s="1157">
        <v>1092000</v>
      </c>
      <c r="E454" s="1159">
        <v>1092000</v>
      </c>
      <c r="F454" s="1160">
        <v>3971</v>
      </c>
      <c r="G454" s="1157">
        <v>5.7390999999999996</v>
      </c>
      <c r="H454" s="1159">
        <v>0.18462200000000001</v>
      </c>
      <c r="I454" s="1159">
        <v>8.61E-4</v>
      </c>
      <c r="J454" s="1160">
        <v>11.5648</v>
      </c>
    </row>
    <row r="455" spans="2:10">
      <c r="B455" s="1157" t="s">
        <v>1083</v>
      </c>
      <c r="C455" s="1158">
        <v>2085</v>
      </c>
      <c r="D455" s="1157">
        <v>1092000</v>
      </c>
      <c r="E455" s="1159">
        <v>1092000</v>
      </c>
      <c r="F455" s="1160">
        <v>3971</v>
      </c>
      <c r="G455" s="1157">
        <v>5.7390999999999996</v>
      </c>
      <c r="H455" s="1159">
        <v>0.18462200000000001</v>
      </c>
      <c r="I455" s="1159">
        <v>8.61E-4</v>
      </c>
      <c r="J455" s="1160">
        <v>11.5648</v>
      </c>
    </row>
    <row r="456" spans="2:10">
      <c r="B456" s="1157" t="s">
        <v>679</v>
      </c>
      <c r="C456" s="1158">
        <v>2085</v>
      </c>
      <c r="D456" s="1157">
        <v>1092000</v>
      </c>
      <c r="E456" s="1159">
        <v>1092000</v>
      </c>
      <c r="F456" s="1160">
        <v>3971</v>
      </c>
      <c r="G456" s="1157">
        <v>5.7390999999999996</v>
      </c>
      <c r="H456" s="1159">
        <v>0.18462200000000001</v>
      </c>
      <c r="I456" s="1159">
        <v>8.61E-4</v>
      </c>
      <c r="J456" s="1160">
        <v>11.5648</v>
      </c>
    </row>
    <row r="457" spans="2:10">
      <c r="B457" s="1157" t="s">
        <v>680</v>
      </c>
      <c r="C457" s="1158">
        <v>2085</v>
      </c>
      <c r="D457" s="1157">
        <v>-1185000</v>
      </c>
      <c r="E457" s="1159">
        <v>0</v>
      </c>
      <c r="F457" s="1160">
        <v>0</v>
      </c>
      <c r="G457" s="1157">
        <v>-85.800000000000011</v>
      </c>
      <c r="H457" s="1159">
        <v>0.54700000000000004</v>
      </c>
      <c r="I457" s="1159">
        <v>-1.8286999999999999E-3</v>
      </c>
      <c r="J457" s="1160">
        <v>-70.08</v>
      </c>
    </row>
    <row r="458" spans="2:10">
      <c r="B458" s="1157" t="s">
        <v>681</v>
      </c>
      <c r="C458" s="1158">
        <v>2085</v>
      </c>
      <c r="D458" s="1157">
        <v>1721000</v>
      </c>
      <c r="E458" s="1159">
        <v>1293000</v>
      </c>
      <c r="F458" s="1160">
        <v>15050</v>
      </c>
      <c r="G458" s="1157">
        <v>125.08</v>
      </c>
      <c r="H458" s="1159">
        <v>0.20477100000000001</v>
      </c>
      <c r="I458" s="1159">
        <v>1.7827000000000001E-3</v>
      </c>
      <c r="J458" s="1160">
        <v>129.82</v>
      </c>
    </row>
    <row r="459" spans="2:10">
      <c r="B459" s="1157" t="s">
        <v>696</v>
      </c>
      <c r="C459" s="1158">
        <v>2085</v>
      </c>
      <c r="D459" s="1157">
        <v>1721000</v>
      </c>
      <c r="E459" s="1159">
        <v>1293000</v>
      </c>
      <c r="F459" s="1160">
        <v>15050</v>
      </c>
      <c r="G459" s="1157">
        <v>125.08</v>
      </c>
      <c r="H459" s="1159">
        <v>0.20477100000000001</v>
      </c>
      <c r="I459" s="1159">
        <v>1.7827000000000001E-3</v>
      </c>
      <c r="J459" s="1160">
        <v>129.82</v>
      </c>
    </row>
    <row r="460" spans="2:10">
      <c r="B460" s="1157" t="s">
        <v>682</v>
      </c>
      <c r="C460" s="1158">
        <v>2085</v>
      </c>
      <c r="D460" s="1157">
        <v>1721000</v>
      </c>
      <c r="E460" s="1159">
        <v>1293000</v>
      </c>
      <c r="F460" s="1160">
        <v>15050</v>
      </c>
      <c r="G460" s="1157">
        <v>125.08</v>
      </c>
      <c r="H460" s="1159">
        <v>0.20477100000000001</v>
      </c>
      <c r="I460" s="1159">
        <v>1.7827000000000001E-3</v>
      </c>
      <c r="J460" s="1160">
        <v>129.82</v>
      </c>
    </row>
    <row r="461" spans="2:10">
      <c r="B461" s="1157" t="s">
        <v>1084</v>
      </c>
      <c r="C461" s="1158">
        <v>2085</v>
      </c>
      <c r="D461" s="1157">
        <v>1022000</v>
      </c>
      <c r="E461" s="1159">
        <v>1021000</v>
      </c>
      <c r="F461" s="1160">
        <v>15510</v>
      </c>
      <c r="G461" s="1157">
        <v>1.6964999999999999</v>
      </c>
      <c r="H461" s="1159">
        <v>0.14096238999999999</v>
      </c>
      <c r="I461" s="1159">
        <v>3.2765999999999998E-5</v>
      </c>
      <c r="J461" s="1160">
        <v>5.9536999999999995</v>
      </c>
    </row>
    <row r="462" spans="2:10">
      <c r="B462" s="1157" t="s">
        <v>714</v>
      </c>
      <c r="C462" s="1158">
        <v>2085</v>
      </c>
      <c r="D462" s="1157">
        <v>1022000</v>
      </c>
      <c r="E462" s="1159">
        <v>1021000</v>
      </c>
      <c r="F462" s="1160">
        <v>15510</v>
      </c>
      <c r="G462" s="1157">
        <v>1.6964999999999999</v>
      </c>
      <c r="H462" s="1159">
        <v>0.14096238999999999</v>
      </c>
      <c r="I462" s="1159">
        <v>3.2765999999999998E-5</v>
      </c>
      <c r="J462" s="1160">
        <v>5.9536999999999995</v>
      </c>
    </row>
    <row r="463" spans="2:10">
      <c r="B463" s="1157" t="s">
        <v>715</v>
      </c>
      <c r="C463" s="1158">
        <v>2085</v>
      </c>
      <c r="D463" s="1157">
        <v>1022000</v>
      </c>
      <c r="E463" s="1159">
        <v>1021000</v>
      </c>
      <c r="F463" s="1160">
        <v>15510</v>
      </c>
      <c r="G463" s="1157">
        <v>1.6964999999999999</v>
      </c>
      <c r="H463" s="1159">
        <v>0.14096238999999999</v>
      </c>
      <c r="I463" s="1159">
        <v>3.2765999999999998E-5</v>
      </c>
      <c r="J463" s="1160">
        <v>5.9536999999999995</v>
      </c>
    </row>
    <row r="464" spans="2:10">
      <c r="B464" s="1157" t="s">
        <v>909</v>
      </c>
      <c r="C464" s="1158">
        <v>2085</v>
      </c>
      <c r="D464" s="1157">
        <v>1209000</v>
      </c>
      <c r="E464" s="1159">
        <v>1202000</v>
      </c>
      <c r="F464" s="1160">
        <v>1052000</v>
      </c>
      <c r="G464" s="1157">
        <v>17.969000000000001</v>
      </c>
      <c r="H464" s="1159">
        <v>0.164128</v>
      </c>
      <c r="I464" s="1159">
        <v>2.9025999999999998E-4</v>
      </c>
      <c r="J464" s="1160">
        <v>22.988</v>
      </c>
    </row>
    <row r="465" spans="2:10">
      <c r="B465" s="1157" t="s">
        <v>907</v>
      </c>
      <c r="C465" s="1158">
        <v>2085</v>
      </c>
      <c r="D465" s="1157">
        <v>1585000</v>
      </c>
      <c r="E465" s="1159">
        <v>696300</v>
      </c>
      <c r="F465" s="1160">
        <v>286000</v>
      </c>
      <c r="G465" s="1157">
        <v>38.049999999999997</v>
      </c>
      <c r="H465" s="1159">
        <v>0.1118</v>
      </c>
      <c r="I465" s="1159">
        <v>2.5350000000000001E-2</v>
      </c>
      <c r="J465" s="1160">
        <v>45.19</v>
      </c>
    </row>
    <row r="466" spans="2:10">
      <c r="B466" s="1157" t="s">
        <v>910</v>
      </c>
      <c r="C466" s="1158">
        <v>2085</v>
      </c>
      <c r="D466" s="1157">
        <v>1249000</v>
      </c>
      <c r="E466" s="1159">
        <v>1242000</v>
      </c>
      <c r="F466" s="1160">
        <v>1078000</v>
      </c>
      <c r="G466" s="1157">
        <v>23.84</v>
      </c>
      <c r="H466" s="1159">
        <v>0.16985799999999998</v>
      </c>
      <c r="I466" s="1159">
        <v>3.7813000000000001E-4</v>
      </c>
      <c r="J466" s="1160">
        <v>29.157000000000004</v>
      </c>
    </row>
    <row r="467" spans="2:10">
      <c r="B467" s="1157" t="s">
        <v>1078</v>
      </c>
      <c r="C467" s="1158">
        <v>2085</v>
      </c>
      <c r="D467" s="1157">
        <v>1190000</v>
      </c>
      <c r="E467" s="1159">
        <v>51590</v>
      </c>
      <c r="F467" s="1160">
        <v>29220</v>
      </c>
      <c r="G467" s="1157">
        <v>3.7582</v>
      </c>
      <c r="H467" s="1159">
        <v>8.4366999999999984E-3</v>
      </c>
      <c r="I467" s="1159">
        <v>-3.8261190000000002E-3</v>
      </c>
      <c r="J467" s="1160">
        <v>3.0054000000000003</v>
      </c>
    </row>
    <row r="468" spans="2:10">
      <c r="B468" s="1157" t="s">
        <v>813</v>
      </c>
      <c r="C468" s="1158">
        <v>2085</v>
      </c>
      <c r="D468" s="1157">
        <v>1190000</v>
      </c>
      <c r="E468" s="1159">
        <v>51590</v>
      </c>
      <c r="F468" s="1160">
        <v>29220</v>
      </c>
      <c r="G468" s="1157">
        <v>3.7582</v>
      </c>
      <c r="H468" s="1159">
        <v>8.4366999999999984E-3</v>
      </c>
      <c r="I468" s="1159">
        <v>-3.8261190000000002E-3</v>
      </c>
      <c r="J468" s="1160">
        <v>3.0054000000000003</v>
      </c>
    </row>
    <row r="469" spans="2:10">
      <c r="B469" s="1157" t="s">
        <v>822</v>
      </c>
      <c r="C469" s="1158">
        <v>2085</v>
      </c>
      <c r="D469" s="1157">
        <v>1190000</v>
      </c>
      <c r="E469" s="1159">
        <v>51590</v>
      </c>
      <c r="F469" s="1160">
        <v>29220</v>
      </c>
      <c r="G469" s="1157">
        <v>3.7582</v>
      </c>
      <c r="H469" s="1159">
        <v>8.4366999999999984E-3</v>
      </c>
      <c r="I469" s="1159">
        <v>-3.8261190000000002E-3</v>
      </c>
      <c r="J469" s="1160">
        <v>3.0054000000000003</v>
      </c>
    </row>
    <row r="470" spans="2:10" ht="14" thickBot="1">
      <c r="B470" s="1161" t="s">
        <v>1085</v>
      </c>
      <c r="C470" s="1162">
        <v>2085</v>
      </c>
      <c r="D470" s="1161">
        <v>1384000</v>
      </c>
      <c r="E470" s="1163">
        <v>1383000</v>
      </c>
      <c r="F470" s="1164">
        <v>5034</v>
      </c>
      <c r="G470" s="1161">
        <v>78.571100000000001</v>
      </c>
      <c r="H470" s="1163">
        <v>0.27494000000000002</v>
      </c>
      <c r="I470" s="1163">
        <v>2.3304000000000003E-3</v>
      </c>
      <c r="J470" s="1164">
        <v>87.594300000000004</v>
      </c>
    </row>
    <row r="471" spans="2:10">
      <c r="B471" s="1153" t="s">
        <v>1082</v>
      </c>
      <c r="C471" s="1154">
        <v>2090</v>
      </c>
      <c r="D471" s="1153">
        <v>1092000</v>
      </c>
      <c r="E471" s="1155">
        <v>1092000</v>
      </c>
      <c r="F471" s="1156">
        <v>3971</v>
      </c>
      <c r="G471" s="1153">
        <v>5.7390999999999996</v>
      </c>
      <c r="H471" s="1155">
        <v>0.18462200000000001</v>
      </c>
      <c r="I471" s="1155">
        <v>8.61E-4</v>
      </c>
      <c r="J471" s="1156">
        <v>11.5648</v>
      </c>
    </row>
    <row r="472" spans="2:10">
      <c r="B472" s="1157" t="s">
        <v>283</v>
      </c>
      <c r="C472" s="1158">
        <v>2090</v>
      </c>
      <c r="D472" s="1157">
        <v>1092000</v>
      </c>
      <c r="E472" s="1159">
        <v>1092000</v>
      </c>
      <c r="F472" s="1160">
        <v>3971</v>
      </c>
      <c r="G472" s="1157">
        <v>5.7390999999999996</v>
      </c>
      <c r="H472" s="1159">
        <v>0.18462200000000001</v>
      </c>
      <c r="I472" s="1159">
        <v>8.61E-4</v>
      </c>
      <c r="J472" s="1160">
        <v>11.5648</v>
      </c>
    </row>
    <row r="473" spans="2:10">
      <c r="B473" s="1157" t="s">
        <v>1083</v>
      </c>
      <c r="C473" s="1158">
        <v>2090</v>
      </c>
      <c r="D473" s="1157">
        <v>1092000</v>
      </c>
      <c r="E473" s="1159">
        <v>1092000</v>
      </c>
      <c r="F473" s="1160">
        <v>3971</v>
      </c>
      <c r="G473" s="1157">
        <v>5.7390999999999996</v>
      </c>
      <c r="H473" s="1159">
        <v>0.18462200000000001</v>
      </c>
      <c r="I473" s="1159">
        <v>8.61E-4</v>
      </c>
      <c r="J473" s="1160">
        <v>11.5648</v>
      </c>
    </row>
    <row r="474" spans="2:10">
      <c r="B474" s="1157" t="s">
        <v>679</v>
      </c>
      <c r="C474" s="1158">
        <v>2090</v>
      </c>
      <c r="D474" s="1157">
        <v>1092000</v>
      </c>
      <c r="E474" s="1159">
        <v>1092000</v>
      </c>
      <c r="F474" s="1160">
        <v>3971</v>
      </c>
      <c r="G474" s="1157">
        <v>5.7390999999999996</v>
      </c>
      <c r="H474" s="1159">
        <v>0.18462200000000001</v>
      </c>
      <c r="I474" s="1159">
        <v>8.61E-4</v>
      </c>
      <c r="J474" s="1160">
        <v>11.5648</v>
      </c>
    </row>
    <row r="475" spans="2:10">
      <c r="B475" s="1157" t="s">
        <v>680</v>
      </c>
      <c r="C475" s="1158">
        <v>2090</v>
      </c>
      <c r="D475" s="1157">
        <v>-1185000</v>
      </c>
      <c r="E475" s="1159">
        <v>0</v>
      </c>
      <c r="F475" s="1160">
        <v>0</v>
      </c>
      <c r="G475" s="1157">
        <v>-85.800000000000011</v>
      </c>
      <c r="H475" s="1159">
        <v>0.54700000000000004</v>
      </c>
      <c r="I475" s="1159">
        <v>-1.8286999999999999E-3</v>
      </c>
      <c r="J475" s="1160">
        <v>-70.08</v>
      </c>
    </row>
    <row r="476" spans="2:10">
      <c r="B476" s="1157" t="s">
        <v>681</v>
      </c>
      <c r="C476" s="1158">
        <v>2090</v>
      </c>
      <c r="D476" s="1157">
        <v>1721000</v>
      </c>
      <c r="E476" s="1159">
        <v>1293000</v>
      </c>
      <c r="F476" s="1160">
        <v>15050</v>
      </c>
      <c r="G476" s="1157">
        <v>125.08</v>
      </c>
      <c r="H476" s="1159">
        <v>0.20477100000000001</v>
      </c>
      <c r="I476" s="1159">
        <v>1.7827000000000001E-3</v>
      </c>
      <c r="J476" s="1160">
        <v>129.82</v>
      </c>
    </row>
    <row r="477" spans="2:10">
      <c r="B477" s="1157" t="s">
        <v>696</v>
      </c>
      <c r="C477" s="1158">
        <v>2090</v>
      </c>
      <c r="D477" s="1157">
        <v>1721000</v>
      </c>
      <c r="E477" s="1159">
        <v>1293000</v>
      </c>
      <c r="F477" s="1160">
        <v>15050</v>
      </c>
      <c r="G477" s="1157">
        <v>125.08</v>
      </c>
      <c r="H477" s="1159">
        <v>0.20477100000000001</v>
      </c>
      <c r="I477" s="1159">
        <v>1.7827000000000001E-3</v>
      </c>
      <c r="J477" s="1160">
        <v>129.82</v>
      </c>
    </row>
    <row r="478" spans="2:10">
      <c r="B478" s="1157" t="s">
        <v>682</v>
      </c>
      <c r="C478" s="1158">
        <v>2090</v>
      </c>
      <c r="D478" s="1157">
        <v>1721000</v>
      </c>
      <c r="E478" s="1159">
        <v>1293000</v>
      </c>
      <c r="F478" s="1160">
        <v>15050</v>
      </c>
      <c r="G478" s="1157">
        <v>125.08</v>
      </c>
      <c r="H478" s="1159">
        <v>0.20477100000000001</v>
      </c>
      <c r="I478" s="1159">
        <v>1.7827000000000001E-3</v>
      </c>
      <c r="J478" s="1160">
        <v>129.82</v>
      </c>
    </row>
    <row r="479" spans="2:10">
      <c r="B479" s="1157" t="s">
        <v>1084</v>
      </c>
      <c r="C479" s="1158">
        <v>2090</v>
      </c>
      <c r="D479" s="1157">
        <v>1022000</v>
      </c>
      <c r="E479" s="1159">
        <v>1021000</v>
      </c>
      <c r="F479" s="1160">
        <v>15510</v>
      </c>
      <c r="G479" s="1157">
        <v>1.6964999999999999</v>
      </c>
      <c r="H479" s="1159">
        <v>0.14096238999999999</v>
      </c>
      <c r="I479" s="1159">
        <v>3.2765999999999998E-5</v>
      </c>
      <c r="J479" s="1160">
        <v>5.9536999999999995</v>
      </c>
    </row>
    <row r="480" spans="2:10">
      <c r="B480" s="1157" t="s">
        <v>714</v>
      </c>
      <c r="C480" s="1158">
        <v>2090</v>
      </c>
      <c r="D480" s="1157">
        <v>1022000</v>
      </c>
      <c r="E480" s="1159">
        <v>1021000</v>
      </c>
      <c r="F480" s="1160">
        <v>15510</v>
      </c>
      <c r="G480" s="1157">
        <v>1.6964999999999999</v>
      </c>
      <c r="H480" s="1159">
        <v>0.14096238999999999</v>
      </c>
      <c r="I480" s="1159">
        <v>3.2765999999999998E-5</v>
      </c>
      <c r="J480" s="1160">
        <v>5.9536999999999995</v>
      </c>
    </row>
    <row r="481" spans="2:10">
      <c r="B481" s="1157" t="s">
        <v>715</v>
      </c>
      <c r="C481" s="1158">
        <v>2090</v>
      </c>
      <c r="D481" s="1157">
        <v>1022000</v>
      </c>
      <c r="E481" s="1159">
        <v>1021000</v>
      </c>
      <c r="F481" s="1160">
        <v>15510</v>
      </c>
      <c r="G481" s="1157">
        <v>1.6964999999999999</v>
      </c>
      <c r="H481" s="1159">
        <v>0.14096238999999999</v>
      </c>
      <c r="I481" s="1159">
        <v>3.2765999999999998E-5</v>
      </c>
      <c r="J481" s="1160">
        <v>5.9536999999999995</v>
      </c>
    </row>
    <row r="482" spans="2:10">
      <c r="B482" s="1157" t="s">
        <v>909</v>
      </c>
      <c r="C482" s="1158">
        <v>2090</v>
      </c>
      <c r="D482" s="1157">
        <v>1209000</v>
      </c>
      <c r="E482" s="1159">
        <v>1202000</v>
      </c>
      <c r="F482" s="1160">
        <v>1052000</v>
      </c>
      <c r="G482" s="1157">
        <v>17.969000000000001</v>
      </c>
      <c r="H482" s="1159">
        <v>0.164128</v>
      </c>
      <c r="I482" s="1159">
        <v>2.9025999999999998E-4</v>
      </c>
      <c r="J482" s="1160">
        <v>22.988</v>
      </c>
    </row>
    <row r="483" spans="2:10">
      <c r="B483" s="1157" t="s">
        <v>907</v>
      </c>
      <c r="C483" s="1158">
        <v>2090</v>
      </c>
      <c r="D483" s="1157">
        <v>1585000</v>
      </c>
      <c r="E483" s="1159">
        <v>696300</v>
      </c>
      <c r="F483" s="1160">
        <v>286000</v>
      </c>
      <c r="G483" s="1157">
        <v>38.049999999999997</v>
      </c>
      <c r="H483" s="1159">
        <v>0.1118</v>
      </c>
      <c r="I483" s="1159">
        <v>2.5350000000000001E-2</v>
      </c>
      <c r="J483" s="1160">
        <v>45.19</v>
      </c>
    </row>
    <row r="484" spans="2:10">
      <c r="B484" s="1157" t="s">
        <v>910</v>
      </c>
      <c r="C484" s="1158">
        <v>2090</v>
      </c>
      <c r="D484" s="1157">
        <v>1249000</v>
      </c>
      <c r="E484" s="1159">
        <v>1242000</v>
      </c>
      <c r="F484" s="1160">
        <v>1078000</v>
      </c>
      <c r="G484" s="1157">
        <v>23.84</v>
      </c>
      <c r="H484" s="1159">
        <v>0.16985799999999998</v>
      </c>
      <c r="I484" s="1159">
        <v>3.7813000000000001E-4</v>
      </c>
      <c r="J484" s="1160">
        <v>29.157000000000004</v>
      </c>
    </row>
    <row r="485" spans="2:10">
      <c r="B485" s="1157" t="s">
        <v>1078</v>
      </c>
      <c r="C485" s="1158">
        <v>2090</v>
      </c>
      <c r="D485" s="1157">
        <v>1190000</v>
      </c>
      <c r="E485" s="1159">
        <v>51590</v>
      </c>
      <c r="F485" s="1160">
        <v>29220</v>
      </c>
      <c r="G485" s="1157">
        <v>3.7582</v>
      </c>
      <c r="H485" s="1159">
        <v>8.4366999999999984E-3</v>
      </c>
      <c r="I485" s="1159">
        <v>-3.8261190000000002E-3</v>
      </c>
      <c r="J485" s="1160">
        <v>3.0054000000000003</v>
      </c>
    </row>
    <row r="486" spans="2:10">
      <c r="B486" s="1157" t="s">
        <v>813</v>
      </c>
      <c r="C486" s="1158">
        <v>2090</v>
      </c>
      <c r="D486" s="1157">
        <v>1190000</v>
      </c>
      <c r="E486" s="1159">
        <v>51590</v>
      </c>
      <c r="F486" s="1160">
        <v>29220</v>
      </c>
      <c r="G486" s="1157">
        <v>3.7582</v>
      </c>
      <c r="H486" s="1159">
        <v>8.4366999999999984E-3</v>
      </c>
      <c r="I486" s="1159">
        <v>-3.8261190000000002E-3</v>
      </c>
      <c r="J486" s="1160">
        <v>3.0054000000000003</v>
      </c>
    </row>
    <row r="487" spans="2:10">
      <c r="B487" s="1157" t="s">
        <v>822</v>
      </c>
      <c r="C487" s="1158">
        <v>2090</v>
      </c>
      <c r="D487" s="1157">
        <v>1190000</v>
      </c>
      <c r="E487" s="1159">
        <v>51590</v>
      </c>
      <c r="F487" s="1160">
        <v>29220</v>
      </c>
      <c r="G487" s="1157">
        <v>3.7582</v>
      </c>
      <c r="H487" s="1159">
        <v>8.4366999999999984E-3</v>
      </c>
      <c r="I487" s="1159">
        <v>-3.8261190000000002E-3</v>
      </c>
      <c r="J487" s="1160">
        <v>3.0054000000000003</v>
      </c>
    </row>
    <row r="488" spans="2:10" ht="14" thickBot="1">
      <c r="B488" s="1161" t="s">
        <v>1085</v>
      </c>
      <c r="C488" s="1162">
        <v>2090</v>
      </c>
      <c r="D488" s="1161">
        <v>1384000</v>
      </c>
      <c r="E488" s="1163">
        <v>1383000</v>
      </c>
      <c r="F488" s="1164">
        <v>5034</v>
      </c>
      <c r="G488" s="1161">
        <v>78.571100000000001</v>
      </c>
      <c r="H488" s="1163">
        <v>0.27494000000000002</v>
      </c>
      <c r="I488" s="1163">
        <v>2.3304000000000003E-3</v>
      </c>
      <c r="J488" s="1164">
        <v>87.594300000000004</v>
      </c>
    </row>
    <row r="489" spans="2:10">
      <c r="B489" s="1153" t="s">
        <v>1082</v>
      </c>
      <c r="C489" s="1154">
        <v>2095</v>
      </c>
      <c r="D489" s="1153">
        <v>1092000</v>
      </c>
      <c r="E489" s="1155">
        <v>1092000</v>
      </c>
      <c r="F489" s="1156">
        <v>3971</v>
      </c>
      <c r="G489" s="1153">
        <v>5.7390999999999996</v>
      </c>
      <c r="H489" s="1155">
        <v>0.18462200000000001</v>
      </c>
      <c r="I489" s="1155">
        <v>8.61E-4</v>
      </c>
      <c r="J489" s="1156">
        <v>11.5648</v>
      </c>
    </row>
    <row r="490" spans="2:10">
      <c r="B490" s="1157" t="s">
        <v>283</v>
      </c>
      <c r="C490" s="1158">
        <v>2095</v>
      </c>
      <c r="D490" s="1157">
        <v>1092000</v>
      </c>
      <c r="E490" s="1159">
        <v>1092000</v>
      </c>
      <c r="F490" s="1160">
        <v>3971</v>
      </c>
      <c r="G490" s="1157">
        <v>5.7390999999999996</v>
      </c>
      <c r="H490" s="1159">
        <v>0.18462200000000001</v>
      </c>
      <c r="I490" s="1159">
        <v>8.61E-4</v>
      </c>
      <c r="J490" s="1160">
        <v>11.5648</v>
      </c>
    </row>
    <row r="491" spans="2:10">
      <c r="B491" s="1157" t="s">
        <v>1083</v>
      </c>
      <c r="C491" s="1158">
        <v>2095</v>
      </c>
      <c r="D491" s="1157">
        <v>1092000</v>
      </c>
      <c r="E491" s="1159">
        <v>1092000</v>
      </c>
      <c r="F491" s="1160">
        <v>3971</v>
      </c>
      <c r="G491" s="1157">
        <v>5.7390999999999996</v>
      </c>
      <c r="H491" s="1159">
        <v>0.18462200000000001</v>
      </c>
      <c r="I491" s="1159">
        <v>8.61E-4</v>
      </c>
      <c r="J491" s="1160">
        <v>11.5648</v>
      </c>
    </row>
    <row r="492" spans="2:10">
      <c r="B492" s="1157" t="s">
        <v>679</v>
      </c>
      <c r="C492" s="1158">
        <v>2095</v>
      </c>
      <c r="D492" s="1157">
        <v>1092000</v>
      </c>
      <c r="E492" s="1159">
        <v>1092000</v>
      </c>
      <c r="F492" s="1160">
        <v>3971</v>
      </c>
      <c r="G492" s="1157">
        <v>5.7390999999999996</v>
      </c>
      <c r="H492" s="1159">
        <v>0.18462200000000001</v>
      </c>
      <c r="I492" s="1159">
        <v>8.61E-4</v>
      </c>
      <c r="J492" s="1160">
        <v>11.5648</v>
      </c>
    </row>
    <row r="493" spans="2:10">
      <c r="B493" s="1157" t="s">
        <v>680</v>
      </c>
      <c r="C493" s="1158">
        <v>2095</v>
      </c>
      <c r="D493" s="1157">
        <v>-1185000</v>
      </c>
      <c r="E493" s="1159">
        <v>0</v>
      </c>
      <c r="F493" s="1160">
        <v>0</v>
      </c>
      <c r="G493" s="1157">
        <v>-85.800000000000011</v>
      </c>
      <c r="H493" s="1159">
        <v>0.54700000000000004</v>
      </c>
      <c r="I493" s="1159">
        <v>-1.8286999999999999E-3</v>
      </c>
      <c r="J493" s="1160">
        <v>-70.08</v>
      </c>
    </row>
    <row r="494" spans="2:10">
      <c r="B494" s="1157" t="s">
        <v>681</v>
      </c>
      <c r="C494" s="1158">
        <v>2095</v>
      </c>
      <c r="D494" s="1157">
        <v>1721000</v>
      </c>
      <c r="E494" s="1159">
        <v>1293000</v>
      </c>
      <c r="F494" s="1160">
        <v>15050</v>
      </c>
      <c r="G494" s="1157">
        <v>125.08</v>
      </c>
      <c r="H494" s="1159">
        <v>0.20477100000000001</v>
      </c>
      <c r="I494" s="1159">
        <v>1.7827000000000001E-3</v>
      </c>
      <c r="J494" s="1160">
        <v>129.82</v>
      </c>
    </row>
    <row r="495" spans="2:10">
      <c r="B495" s="1157" t="s">
        <v>696</v>
      </c>
      <c r="C495" s="1158">
        <v>2095</v>
      </c>
      <c r="D495" s="1157">
        <v>1721000</v>
      </c>
      <c r="E495" s="1159">
        <v>1293000</v>
      </c>
      <c r="F495" s="1160">
        <v>15050</v>
      </c>
      <c r="G495" s="1157">
        <v>125.08</v>
      </c>
      <c r="H495" s="1159">
        <v>0.20477100000000001</v>
      </c>
      <c r="I495" s="1159">
        <v>1.7827000000000001E-3</v>
      </c>
      <c r="J495" s="1160">
        <v>129.82</v>
      </c>
    </row>
    <row r="496" spans="2:10">
      <c r="B496" s="1157" t="s">
        <v>682</v>
      </c>
      <c r="C496" s="1158">
        <v>2095</v>
      </c>
      <c r="D496" s="1157">
        <v>1721000</v>
      </c>
      <c r="E496" s="1159">
        <v>1293000</v>
      </c>
      <c r="F496" s="1160">
        <v>15050</v>
      </c>
      <c r="G496" s="1157">
        <v>125.08</v>
      </c>
      <c r="H496" s="1159">
        <v>0.20477100000000001</v>
      </c>
      <c r="I496" s="1159">
        <v>1.7827000000000001E-3</v>
      </c>
      <c r="J496" s="1160">
        <v>129.82</v>
      </c>
    </row>
    <row r="497" spans="2:10">
      <c r="B497" s="1157" t="s">
        <v>1084</v>
      </c>
      <c r="C497" s="1158">
        <v>2095</v>
      </c>
      <c r="D497" s="1157">
        <v>1022000</v>
      </c>
      <c r="E497" s="1159">
        <v>1021000</v>
      </c>
      <c r="F497" s="1160">
        <v>15510</v>
      </c>
      <c r="G497" s="1157">
        <v>1.6964999999999999</v>
      </c>
      <c r="H497" s="1159">
        <v>0.14096238999999999</v>
      </c>
      <c r="I497" s="1159">
        <v>3.2765999999999998E-5</v>
      </c>
      <c r="J497" s="1160">
        <v>5.9536999999999995</v>
      </c>
    </row>
    <row r="498" spans="2:10">
      <c r="B498" s="1157" t="s">
        <v>714</v>
      </c>
      <c r="C498" s="1158">
        <v>2095</v>
      </c>
      <c r="D498" s="1157">
        <v>1022000</v>
      </c>
      <c r="E498" s="1159">
        <v>1021000</v>
      </c>
      <c r="F498" s="1160">
        <v>15510</v>
      </c>
      <c r="G498" s="1157">
        <v>1.6964999999999999</v>
      </c>
      <c r="H498" s="1159">
        <v>0.14096238999999999</v>
      </c>
      <c r="I498" s="1159">
        <v>3.2765999999999998E-5</v>
      </c>
      <c r="J498" s="1160">
        <v>5.9536999999999995</v>
      </c>
    </row>
    <row r="499" spans="2:10">
      <c r="B499" s="1157" t="s">
        <v>715</v>
      </c>
      <c r="C499" s="1158">
        <v>2095</v>
      </c>
      <c r="D499" s="1157">
        <v>1022000</v>
      </c>
      <c r="E499" s="1159">
        <v>1021000</v>
      </c>
      <c r="F499" s="1160">
        <v>15510</v>
      </c>
      <c r="G499" s="1157">
        <v>1.6964999999999999</v>
      </c>
      <c r="H499" s="1159">
        <v>0.14096238999999999</v>
      </c>
      <c r="I499" s="1159">
        <v>3.2765999999999998E-5</v>
      </c>
      <c r="J499" s="1160">
        <v>5.9536999999999995</v>
      </c>
    </row>
    <row r="500" spans="2:10">
      <c r="B500" s="1157" t="s">
        <v>909</v>
      </c>
      <c r="C500" s="1158">
        <v>2095</v>
      </c>
      <c r="D500" s="1157">
        <v>1209000</v>
      </c>
      <c r="E500" s="1159">
        <v>1202000</v>
      </c>
      <c r="F500" s="1160">
        <v>1052000</v>
      </c>
      <c r="G500" s="1157">
        <v>17.969000000000001</v>
      </c>
      <c r="H500" s="1159">
        <v>0.164128</v>
      </c>
      <c r="I500" s="1159">
        <v>2.9025999999999998E-4</v>
      </c>
      <c r="J500" s="1160">
        <v>22.988</v>
      </c>
    </row>
    <row r="501" spans="2:10">
      <c r="B501" s="1157" t="s">
        <v>907</v>
      </c>
      <c r="C501" s="1158">
        <v>2095</v>
      </c>
      <c r="D501" s="1157">
        <v>1585000</v>
      </c>
      <c r="E501" s="1159">
        <v>696300</v>
      </c>
      <c r="F501" s="1160">
        <v>286000</v>
      </c>
      <c r="G501" s="1157">
        <v>38.049999999999997</v>
      </c>
      <c r="H501" s="1159">
        <v>0.1118</v>
      </c>
      <c r="I501" s="1159">
        <v>2.5350000000000001E-2</v>
      </c>
      <c r="J501" s="1160">
        <v>45.19</v>
      </c>
    </row>
    <row r="502" spans="2:10">
      <c r="B502" s="1157" t="s">
        <v>910</v>
      </c>
      <c r="C502" s="1158">
        <v>2095</v>
      </c>
      <c r="D502" s="1157">
        <v>1249000</v>
      </c>
      <c r="E502" s="1159">
        <v>1242000</v>
      </c>
      <c r="F502" s="1160">
        <v>1078000</v>
      </c>
      <c r="G502" s="1157">
        <v>23.84</v>
      </c>
      <c r="H502" s="1159">
        <v>0.16985799999999998</v>
      </c>
      <c r="I502" s="1159">
        <v>3.7813000000000001E-4</v>
      </c>
      <c r="J502" s="1160">
        <v>29.157000000000004</v>
      </c>
    </row>
    <row r="503" spans="2:10">
      <c r="B503" s="1157" t="s">
        <v>1078</v>
      </c>
      <c r="C503" s="1158">
        <v>2095</v>
      </c>
      <c r="D503" s="1157">
        <v>1190000</v>
      </c>
      <c r="E503" s="1159">
        <v>51590</v>
      </c>
      <c r="F503" s="1160">
        <v>29220</v>
      </c>
      <c r="G503" s="1157">
        <v>3.7582</v>
      </c>
      <c r="H503" s="1159">
        <v>8.4366999999999984E-3</v>
      </c>
      <c r="I503" s="1159">
        <v>-3.8261190000000002E-3</v>
      </c>
      <c r="J503" s="1160">
        <v>3.0054000000000003</v>
      </c>
    </row>
    <row r="504" spans="2:10">
      <c r="B504" s="1157" t="s">
        <v>813</v>
      </c>
      <c r="C504" s="1158">
        <v>2095</v>
      </c>
      <c r="D504" s="1157">
        <v>1190000</v>
      </c>
      <c r="E504" s="1159">
        <v>51590</v>
      </c>
      <c r="F504" s="1160">
        <v>29220</v>
      </c>
      <c r="G504" s="1157">
        <v>3.7582</v>
      </c>
      <c r="H504" s="1159">
        <v>8.4366999999999984E-3</v>
      </c>
      <c r="I504" s="1159">
        <v>-3.8261190000000002E-3</v>
      </c>
      <c r="J504" s="1160">
        <v>3.0054000000000003</v>
      </c>
    </row>
    <row r="505" spans="2:10">
      <c r="B505" s="1157" t="s">
        <v>822</v>
      </c>
      <c r="C505" s="1158">
        <v>2095</v>
      </c>
      <c r="D505" s="1157">
        <v>1190000</v>
      </c>
      <c r="E505" s="1159">
        <v>51590</v>
      </c>
      <c r="F505" s="1160">
        <v>29220</v>
      </c>
      <c r="G505" s="1157">
        <v>3.7582</v>
      </c>
      <c r="H505" s="1159">
        <v>8.4366999999999984E-3</v>
      </c>
      <c r="I505" s="1159">
        <v>-3.8261190000000002E-3</v>
      </c>
      <c r="J505" s="1160">
        <v>3.0054000000000003</v>
      </c>
    </row>
    <row r="506" spans="2:10" ht="14" thickBot="1">
      <c r="B506" s="1161" t="s">
        <v>1085</v>
      </c>
      <c r="C506" s="1162">
        <v>2095</v>
      </c>
      <c r="D506" s="1161">
        <v>1384000</v>
      </c>
      <c r="E506" s="1163">
        <v>1383000</v>
      </c>
      <c r="F506" s="1164">
        <v>5034</v>
      </c>
      <c r="G506" s="1161">
        <v>78.571100000000001</v>
      </c>
      <c r="H506" s="1163">
        <v>0.27494000000000002</v>
      </c>
      <c r="I506" s="1163">
        <v>2.3304000000000003E-3</v>
      </c>
      <c r="J506" s="1164">
        <v>87.594300000000004</v>
      </c>
    </row>
    <row r="507" spans="2:10">
      <c r="B507" s="1153" t="s">
        <v>1082</v>
      </c>
      <c r="C507" s="1154">
        <v>2100</v>
      </c>
      <c r="D507" s="1153">
        <v>1092000</v>
      </c>
      <c r="E507" s="1155">
        <v>1092000</v>
      </c>
      <c r="F507" s="1156">
        <v>3971</v>
      </c>
      <c r="G507" s="1153">
        <v>5.7390999999999996</v>
      </c>
      <c r="H507" s="1155">
        <v>0.18462200000000001</v>
      </c>
      <c r="I507" s="1155">
        <v>8.61E-4</v>
      </c>
      <c r="J507" s="1156">
        <v>11.5648</v>
      </c>
    </row>
    <row r="508" spans="2:10">
      <c r="B508" s="1157" t="s">
        <v>283</v>
      </c>
      <c r="C508" s="1158">
        <v>2100</v>
      </c>
      <c r="D508" s="1157">
        <v>1092000</v>
      </c>
      <c r="E508" s="1159">
        <v>1092000</v>
      </c>
      <c r="F508" s="1160">
        <v>3971</v>
      </c>
      <c r="G508" s="1157">
        <v>5.7390999999999996</v>
      </c>
      <c r="H508" s="1159">
        <v>0.18462200000000001</v>
      </c>
      <c r="I508" s="1159">
        <v>8.61E-4</v>
      </c>
      <c r="J508" s="1160">
        <v>11.5648</v>
      </c>
    </row>
    <row r="509" spans="2:10">
      <c r="B509" s="1157" t="s">
        <v>1083</v>
      </c>
      <c r="C509" s="1158">
        <v>2100</v>
      </c>
      <c r="D509" s="1157">
        <v>1092000</v>
      </c>
      <c r="E509" s="1159">
        <v>1092000</v>
      </c>
      <c r="F509" s="1160">
        <v>3971</v>
      </c>
      <c r="G509" s="1157">
        <v>5.7390999999999996</v>
      </c>
      <c r="H509" s="1159">
        <v>0.18462200000000001</v>
      </c>
      <c r="I509" s="1159">
        <v>8.61E-4</v>
      </c>
      <c r="J509" s="1160">
        <v>11.5648</v>
      </c>
    </row>
    <row r="510" spans="2:10">
      <c r="B510" s="1157" t="s">
        <v>679</v>
      </c>
      <c r="C510" s="1158">
        <v>2100</v>
      </c>
      <c r="D510" s="1157">
        <v>1092000</v>
      </c>
      <c r="E510" s="1159">
        <v>1092000</v>
      </c>
      <c r="F510" s="1160">
        <v>3971</v>
      </c>
      <c r="G510" s="1157">
        <v>5.7390999999999996</v>
      </c>
      <c r="H510" s="1159">
        <v>0.18462200000000001</v>
      </c>
      <c r="I510" s="1159">
        <v>8.61E-4</v>
      </c>
      <c r="J510" s="1160">
        <v>11.5648</v>
      </c>
    </row>
    <row r="511" spans="2:10">
      <c r="B511" s="1157" t="s">
        <v>680</v>
      </c>
      <c r="C511" s="1158">
        <v>2100</v>
      </c>
      <c r="D511" s="1157">
        <v>-1185000</v>
      </c>
      <c r="E511" s="1159">
        <v>0</v>
      </c>
      <c r="F511" s="1160">
        <v>0</v>
      </c>
      <c r="G511" s="1157">
        <v>-85.800000000000011</v>
      </c>
      <c r="H511" s="1159">
        <v>0.54700000000000004</v>
      </c>
      <c r="I511" s="1159">
        <v>-1.8286999999999999E-3</v>
      </c>
      <c r="J511" s="1160">
        <v>-70.08</v>
      </c>
    </row>
    <row r="512" spans="2:10">
      <c r="B512" s="1157" t="s">
        <v>681</v>
      </c>
      <c r="C512" s="1158">
        <v>2100</v>
      </c>
      <c r="D512" s="1157">
        <v>1721000</v>
      </c>
      <c r="E512" s="1159">
        <v>1293000</v>
      </c>
      <c r="F512" s="1160">
        <v>15050</v>
      </c>
      <c r="G512" s="1157">
        <v>125.08</v>
      </c>
      <c r="H512" s="1159">
        <v>0.20477100000000001</v>
      </c>
      <c r="I512" s="1159">
        <v>1.7827000000000001E-3</v>
      </c>
      <c r="J512" s="1160">
        <v>129.82</v>
      </c>
    </row>
    <row r="513" spans="2:10">
      <c r="B513" s="1157" t="s">
        <v>696</v>
      </c>
      <c r="C513" s="1158">
        <v>2100</v>
      </c>
      <c r="D513" s="1157">
        <v>1721000</v>
      </c>
      <c r="E513" s="1159">
        <v>1293000</v>
      </c>
      <c r="F513" s="1160">
        <v>15050</v>
      </c>
      <c r="G513" s="1157">
        <v>125.08</v>
      </c>
      <c r="H513" s="1159">
        <v>0.20477100000000001</v>
      </c>
      <c r="I513" s="1159">
        <v>1.7827000000000001E-3</v>
      </c>
      <c r="J513" s="1160">
        <v>129.82</v>
      </c>
    </row>
    <row r="514" spans="2:10">
      <c r="B514" s="1157" t="s">
        <v>682</v>
      </c>
      <c r="C514" s="1158">
        <v>2100</v>
      </c>
      <c r="D514" s="1157">
        <v>1721000</v>
      </c>
      <c r="E514" s="1159">
        <v>1293000</v>
      </c>
      <c r="F514" s="1160">
        <v>15050</v>
      </c>
      <c r="G514" s="1157">
        <v>125.08</v>
      </c>
      <c r="H514" s="1159">
        <v>0.20477100000000001</v>
      </c>
      <c r="I514" s="1159">
        <v>1.7827000000000001E-3</v>
      </c>
      <c r="J514" s="1160">
        <v>129.82</v>
      </c>
    </row>
    <row r="515" spans="2:10">
      <c r="B515" s="1157" t="s">
        <v>1084</v>
      </c>
      <c r="C515" s="1158">
        <v>2100</v>
      </c>
      <c r="D515" s="1157">
        <v>1022000</v>
      </c>
      <c r="E515" s="1159">
        <v>1021000</v>
      </c>
      <c r="F515" s="1160">
        <v>15510</v>
      </c>
      <c r="G515" s="1157">
        <v>1.6964999999999999</v>
      </c>
      <c r="H515" s="1159">
        <v>0.14096238999999999</v>
      </c>
      <c r="I515" s="1159">
        <v>3.2765999999999998E-5</v>
      </c>
      <c r="J515" s="1160">
        <v>5.9536999999999995</v>
      </c>
    </row>
    <row r="516" spans="2:10">
      <c r="B516" s="1157" t="s">
        <v>714</v>
      </c>
      <c r="C516" s="1158">
        <v>2100</v>
      </c>
      <c r="D516" s="1157">
        <v>1022000</v>
      </c>
      <c r="E516" s="1159">
        <v>1021000</v>
      </c>
      <c r="F516" s="1160">
        <v>15510</v>
      </c>
      <c r="G516" s="1157">
        <v>1.6964999999999999</v>
      </c>
      <c r="H516" s="1159">
        <v>0.14096238999999999</v>
      </c>
      <c r="I516" s="1159">
        <v>3.2765999999999998E-5</v>
      </c>
      <c r="J516" s="1160">
        <v>5.9536999999999995</v>
      </c>
    </row>
    <row r="517" spans="2:10">
      <c r="B517" s="1157" t="s">
        <v>715</v>
      </c>
      <c r="C517" s="1158">
        <v>2100</v>
      </c>
      <c r="D517" s="1157">
        <v>1022000</v>
      </c>
      <c r="E517" s="1159">
        <v>1021000</v>
      </c>
      <c r="F517" s="1160">
        <v>15510</v>
      </c>
      <c r="G517" s="1157">
        <v>1.6964999999999999</v>
      </c>
      <c r="H517" s="1159">
        <v>0.14096238999999999</v>
      </c>
      <c r="I517" s="1159">
        <v>3.2765999999999998E-5</v>
      </c>
      <c r="J517" s="1160">
        <v>5.9536999999999995</v>
      </c>
    </row>
    <row r="518" spans="2:10">
      <c r="B518" s="1157" t="s">
        <v>909</v>
      </c>
      <c r="C518" s="1158">
        <v>2100</v>
      </c>
      <c r="D518" s="1157">
        <v>1209000</v>
      </c>
      <c r="E518" s="1159">
        <v>1202000</v>
      </c>
      <c r="F518" s="1160">
        <v>1052000</v>
      </c>
      <c r="G518" s="1157">
        <v>17.969000000000001</v>
      </c>
      <c r="H518" s="1159">
        <v>0.164128</v>
      </c>
      <c r="I518" s="1159">
        <v>2.9025999999999998E-4</v>
      </c>
      <c r="J518" s="1160">
        <v>22.988</v>
      </c>
    </row>
    <row r="519" spans="2:10">
      <c r="B519" s="1157" t="s">
        <v>907</v>
      </c>
      <c r="C519" s="1158">
        <v>2100</v>
      </c>
      <c r="D519" s="1157">
        <v>1585000</v>
      </c>
      <c r="E519" s="1159">
        <v>696300</v>
      </c>
      <c r="F519" s="1160">
        <v>286000</v>
      </c>
      <c r="G519" s="1157">
        <v>38.049999999999997</v>
      </c>
      <c r="H519" s="1159">
        <v>0.1118</v>
      </c>
      <c r="I519" s="1159">
        <v>2.5350000000000001E-2</v>
      </c>
      <c r="J519" s="1160">
        <v>45.19</v>
      </c>
    </row>
    <row r="520" spans="2:10">
      <c r="B520" s="1157" t="s">
        <v>910</v>
      </c>
      <c r="C520" s="1158">
        <v>2100</v>
      </c>
      <c r="D520" s="1157">
        <v>1249000</v>
      </c>
      <c r="E520" s="1159">
        <v>1242000</v>
      </c>
      <c r="F520" s="1160">
        <v>1078000</v>
      </c>
      <c r="G520" s="1157">
        <v>23.84</v>
      </c>
      <c r="H520" s="1159">
        <v>0.16985799999999998</v>
      </c>
      <c r="I520" s="1159">
        <v>3.7813000000000001E-4</v>
      </c>
      <c r="J520" s="1160">
        <v>29.157000000000004</v>
      </c>
    </row>
    <row r="521" spans="2:10">
      <c r="B521" s="1157" t="s">
        <v>1078</v>
      </c>
      <c r="C521" s="1158">
        <v>2100</v>
      </c>
      <c r="D521" s="1157">
        <v>1190000</v>
      </c>
      <c r="E521" s="1159">
        <v>51590</v>
      </c>
      <c r="F521" s="1160">
        <v>29220</v>
      </c>
      <c r="G521" s="1157">
        <v>3.7582</v>
      </c>
      <c r="H521" s="1159">
        <v>8.4366999999999984E-3</v>
      </c>
      <c r="I521" s="1159">
        <v>-3.8261190000000002E-3</v>
      </c>
      <c r="J521" s="1160">
        <v>3.0054000000000003</v>
      </c>
    </row>
    <row r="522" spans="2:10">
      <c r="B522" s="1157" t="s">
        <v>813</v>
      </c>
      <c r="C522" s="1158">
        <v>2100</v>
      </c>
      <c r="D522" s="1157">
        <v>1190000</v>
      </c>
      <c r="E522" s="1159">
        <v>51590</v>
      </c>
      <c r="F522" s="1160">
        <v>29220</v>
      </c>
      <c r="G522" s="1157">
        <v>3.7582</v>
      </c>
      <c r="H522" s="1159">
        <v>8.4366999999999984E-3</v>
      </c>
      <c r="I522" s="1159">
        <v>-3.8261190000000002E-3</v>
      </c>
      <c r="J522" s="1160">
        <v>3.0054000000000003</v>
      </c>
    </row>
    <row r="523" spans="2:10">
      <c r="B523" s="1157" t="s">
        <v>822</v>
      </c>
      <c r="C523" s="1158">
        <v>2100</v>
      </c>
      <c r="D523" s="1157">
        <v>1190000</v>
      </c>
      <c r="E523" s="1159">
        <v>51590</v>
      </c>
      <c r="F523" s="1160">
        <v>29220</v>
      </c>
      <c r="G523" s="1157">
        <v>3.7582</v>
      </c>
      <c r="H523" s="1159">
        <v>8.4366999999999984E-3</v>
      </c>
      <c r="I523" s="1159">
        <v>-3.8261190000000002E-3</v>
      </c>
      <c r="J523" s="1160">
        <v>3.0054000000000003</v>
      </c>
    </row>
    <row r="524" spans="2:10" ht="14" thickBot="1">
      <c r="B524" s="1161" t="s">
        <v>1085</v>
      </c>
      <c r="C524" s="1162">
        <v>2100</v>
      </c>
      <c r="D524" s="1161">
        <v>1384000</v>
      </c>
      <c r="E524" s="1163">
        <v>1383000</v>
      </c>
      <c r="F524" s="1164">
        <v>5034</v>
      </c>
      <c r="G524" s="1161">
        <v>78.571100000000001</v>
      </c>
      <c r="H524" s="1163">
        <v>0.27494000000000002</v>
      </c>
      <c r="I524" s="1163">
        <v>2.3304000000000003E-3</v>
      </c>
      <c r="J524" s="1164">
        <v>87.594300000000004</v>
      </c>
    </row>
  </sheetData>
  <mergeCells count="23">
    <mergeCell ref="K92:L92"/>
    <mergeCell ref="A91:B91"/>
    <mergeCell ref="A58:K58"/>
    <mergeCell ref="A53:K53"/>
    <mergeCell ref="C134:E134"/>
    <mergeCell ref="F134:H134"/>
    <mergeCell ref="A54:K54"/>
    <mergeCell ref="G91:H91"/>
    <mergeCell ref="D92:E92"/>
    <mergeCell ref="A55:K55"/>
    <mergeCell ref="A61:K61"/>
    <mergeCell ref="A62:K62"/>
    <mergeCell ref="K91:L91"/>
    <mergeCell ref="A52:K52"/>
    <mergeCell ref="A51:K51"/>
    <mergeCell ref="D91:E91"/>
    <mergeCell ref="A59:K59"/>
    <mergeCell ref="A2:K2"/>
    <mergeCell ref="A3:K3"/>
    <mergeCell ref="C4:E4"/>
    <mergeCell ref="G4:I4"/>
    <mergeCell ref="A56:K56"/>
    <mergeCell ref="A57:K57"/>
  </mergeCells>
  <phoneticPr fontId="2"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254000</xdr:colOff>
                    <xdr:row>1</xdr:row>
                    <xdr:rowOff>25400</xdr:rowOff>
                  </from>
                  <to>
                    <xdr:col>13</xdr:col>
                    <xdr:colOff>38100</xdr:colOff>
                    <xdr:row>4</xdr:row>
                    <xdr:rowOff>101600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101600</xdr:colOff>
                    <xdr:row>68</xdr:row>
                    <xdr:rowOff>63500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workbookViewId="0">
      <selection activeCell="E14" sqref="E14"/>
    </sheetView>
  </sheetViews>
  <sheetFormatPr baseColWidth="10" defaultColWidth="9.33203125" defaultRowHeight="13"/>
  <cols>
    <col min="1" max="1" width="19" customWidth="1"/>
    <col min="2" max="2" width="16" customWidth="1"/>
    <col min="3" max="3" width="17.33203125" customWidth="1"/>
    <col min="4" max="4" width="17.6640625" customWidth="1"/>
    <col min="5" max="5" width="14.33203125" customWidth="1"/>
    <col min="6" max="6" width="20.6640625" customWidth="1"/>
    <col min="7" max="7" width="22.5" customWidth="1"/>
  </cols>
  <sheetData>
    <row r="1" spans="1:12" ht="30.75" customHeight="1">
      <c r="A1" s="35" t="s">
        <v>32</v>
      </c>
    </row>
    <row r="2" spans="1:12" ht="15" customHeight="1">
      <c r="K2" s="36"/>
      <c r="L2" s="37"/>
    </row>
    <row r="3" spans="1:12" ht="15" customHeight="1">
      <c r="F3" s="40"/>
      <c r="G3" s="40"/>
      <c r="K3" s="36"/>
      <c r="L3" s="37"/>
    </row>
    <row r="4" spans="1:12" ht="15" customHeight="1">
      <c r="F4" s="40"/>
      <c r="G4" s="40"/>
      <c r="K4" s="36"/>
      <c r="L4" s="37"/>
    </row>
    <row r="5" spans="1:12" ht="15" customHeight="1">
      <c r="L5" s="37"/>
    </row>
    <row r="6" spans="1:12" ht="15" customHeight="1">
      <c r="L6" s="37"/>
    </row>
    <row r="7" spans="1:12" ht="15" customHeight="1">
      <c r="L7" s="37"/>
    </row>
    <row r="10" spans="1:12" ht="14" thickBot="1"/>
    <row r="11" spans="1:12" s="48" customFormat="1" ht="24.75" customHeight="1" thickTop="1" thickBot="1">
      <c r="A11" s="44" t="s">
        <v>39</v>
      </c>
      <c r="B11" s="45"/>
      <c r="C11" s="46"/>
      <c r="D11" s="46"/>
      <c r="E11" s="46"/>
      <c r="F11" s="46"/>
      <c r="G11" s="47"/>
    </row>
    <row r="12" spans="1:12" s="48" customFormat="1" ht="24.75" customHeight="1" thickTop="1" thickBot="1">
      <c r="A12" s="1210"/>
      <c r="B12" s="1624"/>
      <c r="C12" s="1625"/>
      <c r="D12" s="1625"/>
      <c r="E12" s="1625"/>
      <c r="F12" s="1625"/>
      <c r="G12" s="1625"/>
    </row>
    <row r="13" spans="1:12" s="48" customFormat="1" ht="21" customHeight="1" thickTop="1">
      <c r="A13" s="49" t="s">
        <v>40</v>
      </c>
      <c r="B13" s="50" t="s">
        <v>41</v>
      </c>
      <c r="C13" s="51" t="s">
        <v>42</v>
      </c>
      <c r="D13" s="51" t="s">
        <v>43</v>
      </c>
      <c r="E13" s="51" t="s">
        <v>44</v>
      </c>
      <c r="F13" s="51" t="s">
        <v>45</v>
      </c>
      <c r="G13" s="52" t="s">
        <v>46</v>
      </c>
    </row>
    <row r="14" spans="1:12" s="48" customFormat="1" ht="15" customHeight="1">
      <c r="A14" s="870">
        <f>'Cash Flow Analysis'!B65</f>
        <v>1</v>
      </c>
      <c r="B14" s="1211">
        <f>IF(B13="","",IF('Cash Flow Analysis'!$B$31=0,"N/A",IF(A14=1,1,IF(A13=debt_period,"",B13+1))))</f>
        <v>1</v>
      </c>
      <c r="C14" s="873">
        <f ca="1">IF(OR(A14="",B14="",B14="N/A"),"",IF(B14=1,-'Cash Flow Analysis'!G65,IF(B14="N/A",0,G13)))</f>
        <v>155187194.49100253</v>
      </c>
      <c r="D14" s="873">
        <f ca="1">IF(debt_period=0,
E14+F14,
IF(OR(A14="",B14="",B14="N/A"),"",IF(B14=1,((debt_interest*(1+debt_interest)^debt_period)/((1+debt_interest)^debt_period-1))*(-'Cash Flow Analysis'!G65),IF(G13=0,"",D13))))</f>
        <v>5741926.1961670937</v>
      </c>
      <c r="E14" s="873">
        <f t="shared" ref="E14:E57" ca="1" si="0">IF(OR(A14="",B14="",B14="N/A"),"",C14*debt_interest)</f>
        <v>5741926.1961670937</v>
      </c>
      <c r="F14" s="873">
        <f>IF(debt_period=0,
IF(B14=(anal_period+construct),0,0),
IF(OR(A14="",B14="",B14="N/A"),"",D14-E14))</f>
        <v>0</v>
      </c>
      <c r="G14" s="1212">
        <f t="shared" ref="G14:G57" ca="1" si="1">IF(OR(A14="",B14="",B14="N/A"),"",C14-F14)</f>
        <v>155187194.49100253</v>
      </c>
    </row>
    <row r="15" spans="1:12" s="48" customFormat="1" ht="15" customHeight="1">
      <c r="A15" s="870">
        <f>'Cash Flow Analysis'!B66</f>
        <v>2</v>
      </c>
      <c r="B15" s="1211">
        <f>IF(B14="","",IF('Cash Flow Analysis'!$B$31=0,"N/A",IF(A15=1,1,IF(A14=debt_period,"",B14+1))))</f>
        <v>2</v>
      </c>
      <c r="C15" s="873">
        <f ca="1">IF(OR(A15="",B15="",B15="N/A"),"",IF(B15=1,-'Cash Flow Analysis'!G66,IF(B15="N/A",0,G14)))</f>
        <v>155187194.49100253</v>
      </c>
      <c r="D15" s="873">
        <f ca="1">IF(debt_period=0,
E15+F15,
IF(OR(A15="",B15="",B15="N/A"),"",IF(B15=1,((debt_interest*(1+debt_interest)^debt_period)/((1+debt_interest)^debt_period-1))*(-'Cash Flow Analysis'!G66),IF(G14=0,"",D14))))</f>
        <v>5741926.1961670937</v>
      </c>
      <c r="E15" s="873">
        <f t="shared" ca="1" si="0"/>
        <v>5741926.1961670937</v>
      </c>
      <c r="F15" s="873">
        <f>IF(debt_period=0,
IF(B15=(anal_period+construct),C14,0),
IF(OR(A15="",B15="",B15="N/A"),"",D15-E15))</f>
        <v>0</v>
      </c>
      <c r="G15" s="1212">
        <f t="shared" ca="1" si="1"/>
        <v>155187194.49100253</v>
      </c>
    </row>
    <row r="16" spans="1:12" s="48" customFormat="1" ht="15" customHeight="1">
      <c r="A16" s="870">
        <f>'Cash Flow Analysis'!B67</f>
        <v>3</v>
      </c>
      <c r="B16" s="1211">
        <f>IF(B15="","",IF('Cash Flow Analysis'!$B$31=0,"N/A",IF(A16=1,1,IF(A15=debt_period,"",B15+1))))</f>
        <v>3</v>
      </c>
      <c r="C16" s="873">
        <f ca="1">IF(OR(A16="",B16="",B16="N/A"),"",IF(B16=1,-'Cash Flow Analysis'!G67,IF(B16="N/A",0,G15)))</f>
        <v>155187194.49100253</v>
      </c>
      <c r="D16" s="873">
        <f ca="1">IF(debt_period=0,
E16+F16,
IF(OR(A16="",B16="",B16="N/A"),"",IF(B16=1,((debt_interest*(1+debt_interest)^debt_period)/((1+debt_interest)^debt_period-1))*(-'Cash Flow Analysis'!G67),IF(G15=0,"",D15))))</f>
        <v>5741926.1961670937</v>
      </c>
      <c r="E16" s="873">
        <f t="shared" ca="1" si="0"/>
        <v>5741926.1961670937</v>
      </c>
      <c r="F16" s="873">
        <f t="shared" ref="F16:F57" si="2">IF(debt_period=0,
IF(B16=(anal_period+construct),C16,0),
IF(OR(A16="",B16="",B16="N/A"),"",D16-E16))</f>
        <v>0</v>
      </c>
      <c r="G16" s="1212">
        <f t="shared" ca="1" si="1"/>
        <v>155187194.49100253</v>
      </c>
    </row>
    <row r="17" spans="1:7" s="48" customFormat="1" ht="15" customHeight="1">
      <c r="A17" s="870">
        <f>'Cash Flow Analysis'!B68</f>
        <v>4</v>
      </c>
      <c r="B17" s="1211">
        <f>IF(B16="","",IF('Cash Flow Analysis'!$B$31=0,"N/A",IF(A17=1,1,IF(A16=debt_period,"",B16+1))))</f>
        <v>4</v>
      </c>
      <c r="C17" s="873">
        <f ca="1">IF(OR(A17="",B17="",B17="N/A"),"",IF(B17=1,-'Cash Flow Analysis'!G68,IF(B17="N/A",0,G16)))</f>
        <v>155187194.49100253</v>
      </c>
      <c r="D17" s="873">
        <f ca="1">IF(debt_period=0,
E17+F17,
IF(OR(A17="",B17="",B17="N/A"),"",IF(B17=1,((debt_interest*(1+debt_interest)^debt_period)/((1+debt_interest)^debt_period-1))*(-'Cash Flow Analysis'!G68),IF(G16=0,"",D16))))</f>
        <v>5741926.1961670937</v>
      </c>
      <c r="E17" s="873">
        <f t="shared" ca="1" si="0"/>
        <v>5741926.1961670937</v>
      </c>
      <c r="F17" s="873">
        <f t="shared" si="2"/>
        <v>0</v>
      </c>
      <c r="G17" s="1212">
        <f t="shared" ca="1" si="1"/>
        <v>155187194.49100253</v>
      </c>
    </row>
    <row r="18" spans="1:7" s="48" customFormat="1" ht="15" customHeight="1">
      <c r="A18" s="870">
        <f>'Cash Flow Analysis'!B69</f>
        <v>5</v>
      </c>
      <c r="B18" s="1211">
        <f>IF(B17="","",IF('Cash Flow Analysis'!$B$31=0,"N/A",IF(A18=1,1,IF(A17=debt_period,"",B17+1))))</f>
        <v>5</v>
      </c>
      <c r="C18" s="873">
        <f ca="1">IF(OR(A18="",B18="",B18="N/A"),"",IF(B18=1,-'Cash Flow Analysis'!G69,IF(B18="N/A",0,G17)))</f>
        <v>155187194.49100253</v>
      </c>
      <c r="D18" s="873">
        <f ca="1">IF(debt_period=0,
E18+F18,
IF(OR(A18="",B18="",B18="N/A"),"",IF(B18=1,((debt_interest*(1+debt_interest)^debt_period)/((1+debt_interest)^debt_period-1))*(-'Cash Flow Analysis'!G69),IF(G17=0,"",D17))))</f>
        <v>5741926.1961670937</v>
      </c>
      <c r="E18" s="873">
        <f t="shared" ca="1" si="0"/>
        <v>5741926.1961670937</v>
      </c>
      <c r="F18" s="873">
        <f t="shared" si="2"/>
        <v>0</v>
      </c>
      <c r="G18" s="1212">
        <f t="shared" ca="1" si="1"/>
        <v>155187194.49100253</v>
      </c>
    </row>
    <row r="19" spans="1:7" s="48" customFormat="1" ht="15" customHeight="1">
      <c r="A19" s="870">
        <f>'Cash Flow Analysis'!B70</f>
        <v>6</v>
      </c>
      <c r="B19" s="1211">
        <f>IF(B18="","",IF('Cash Flow Analysis'!$B$31=0,"N/A",IF(A19=1,1,IF(A18=debt_period,"",B18+1))))</f>
        <v>6</v>
      </c>
      <c r="C19" s="873">
        <f ca="1">IF(OR(A19="",B19="",B19="N/A"),"",IF(B19=1,-'Cash Flow Analysis'!G70,IF(B19="N/A",0,G18)))</f>
        <v>155187194.49100253</v>
      </c>
      <c r="D19" s="873">
        <f ca="1">IF(debt_period=0,
E19+F19,
IF(OR(A19="",B19="",B19="N/A"),"",IF(B19=1,((debt_interest*(1+debt_interest)^debt_period)/((1+debt_interest)^debt_period-1))*(-'Cash Flow Analysis'!G70),IF(G18=0,"",D18))))</f>
        <v>5741926.1961670937</v>
      </c>
      <c r="E19" s="873">
        <f t="shared" ca="1" si="0"/>
        <v>5741926.1961670937</v>
      </c>
      <c r="F19" s="873">
        <f t="shared" si="2"/>
        <v>0</v>
      </c>
      <c r="G19" s="1212">
        <f t="shared" ca="1" si="1"/>
        <v>155187194.49100253</v>
      </c>
    </row>
    <row r="20" spans="1:7" s="48" customFormat="1" ht="15" customHeight="1">
      <c r="A20" s="870">
        <f>'Cash Flow Analysis'!B71</f>
        <v>7</v>
      </c>
      <c r="B20" s="1211">
        <f>IF(B19="","",IF('Cash Flow Analysis'!$B$31=0,"N/A",IF(A20=1,1,IF(A19=debt_period,"",B19+1))))</f>
        <v>7</v>
      </c>
      <c r="C20" s="873">
        <f ca="1">IF(OR(A20="",B20="",B20="N/A"),"",IF(B20=1,-'Cash Flow Analysis'!G71,IF(B20="N/A",0,G19)))</f>
        <v>155187194.49100253</v>
      </c>
      <c r="D20" s="873">
        <f ca="1">IF(debt_period=0,
E20+F20,
IF(OR(A20="",B20="",B20="N/A"),"",IF(B20=1,((debt_interest*(1+debt_interest)^debt_period)/((1+debt_interest)^debt_period-1))*(-'Cash Flow Analysis'!G71),IF(G19=0,"",D19))))</f>
        <v>5741926.1961670937</v>
      </c>
      <c r="E20" s="873">
        <f t="shared" ca="1" si="0"/>
        <v>5741926.1961670937</v>
      </c>
      <c r="F20" s="873">
        <f t="shared" si="2"/>
        <v>0</v>
      </c>
      <c r="G20" s="1212">
        <f t="shared" ca="1" si="1"/>
        <v>155187194.49100253</v>
      </c>
    </row>
    <row r="21" spans="1:7" s="48" customFormat="1" ht="15" customHeight="1">
      <c r="A21" s="870">
        <f>'Cash Flow Analysis'!B72</f>
        <v>8</v>
      </c>
      <c r="B21" s="1211">
        <f>IF(B20="","",IF('Cash Flow Analysis'!$B$31=0,"N/A",IF(A21=1,1,IF(A20=debt_period,"",B20+1))))</f>
        <v>8</v>
      </c>
      <c r="C21" s="873">
        <f ca="1">IF(OR(A21="",B21="",B21="N/A"),"",IF(B21=1,-'Cash Flow Analysis'!G72,IF(B21="N/A",0,G20)))</f>
        <v>155187194.49100253</v>
      </c>
      <c r="D21" s="873">
        <f ca="1">IF(debt_period=0,
E21+F21,
IF(OR(A21="",B21="",B21="N/A"),"",IF(B21=1,((debt_interest*(1+debt_interest)^debt_period)/((1+debt_interest)^debt_period-1))*(-'Cash Flow Analysis'!G72),IF(G20=0,"",D20))))</f>
        <v>5741926.1961670937</v>
      </c>
      <c r="E21" s="873">
        <f t="shared" ca="1" si="0"/>
        <v>5741926.1961670937</v>
      </c>
      <c r="F21" s="873">
        <f t="shared" si="2"/>
        <v>0</v>
      </c>
      <c r="G21" s="1212">
        <f t="shared" ca="1" si="1"/>
        <v>155187194.49100253</v>
      </c>
    </row>
    <row r="22" spans="1:7" s="48" customFormat="1" ht="15" customHeight="1">
      <c r="A22" s="870">
        <f>'Cash Flow Analysis'!B73</f>
        <v>9</v>
      </c>
      <c r="B22" s="1211">
        <f>IF(B21="","",IF('Cash Flow Analysis'!$B$31=0,"N/A",IF(A22=1,1,IF(A21=debt_period,"",B21+1))))</f>
        <v>9</v>
      </c>
      <c r="C22" s="873">
        <f ca="1">IF(OR(A22="",B22="",B22="N/A"),"",IF(B22=1,-'Cash Flow Analysis'!G73,IF(B22="N/A",0,G21)))</f>
        <v>155187194.49100253</v>
      </c>
      <c r="D22" s="873">
        <f ca="1">IF(debt_period=0,
E22+F22,
IF(OR(A22="",B22="",B22="N/A"),"",IF(B22=1,((debt_interest*(1+debt_interest)^debt_period)/((1+debt_interest)^debt_period-1))*(-'Cash Flow Analysis'!G73),IF(G21=0,"",D21))))</f>
        <v>5741926.1961670937</v>
      </c>
      <c r="E22" s="873">
        <f t="shared" ca="1" si="0"/>
        <v>5741926.1961670937</v>
      </c>
      <c r="F22" s="873">
        <f t="shared" si="2"/>
        <v>0</v>
      </c>
      <c r="G22" s="1212">
        <f t="shared" ca="1" si="1"/>
        <v>155187194.49100253</v>
      </c>
    </row>
    <row r="23" spans="1:7" s="48" customFormat="1" ht="15" customHeight="1">
      <c r="A23" s="870">
        <f>'Cash Flow Analysis'!B74</f>
        <v>10</v>
      </c>
      <c r="B23" s="1211">
        <f>IF(B22="","",IF('Cash Flow Analysis'!$B$31=0,"N/A",IF(A23=1,1,IF(A22=debt_period,"",B22+1))))</f>
        <v>10</v>
      </c>
      <c r="C23" s="873">
        <f ca="1">IF(OR(A23="",B23="",B23="N/A"),"",IF(B23=1,-'Cash Flow Analysis'!G74,IF(B23="N/A",0,G22)))</f>
        <v>155187194.49100253</v>
      </c>
      <c r="D23" s="873">
        <f ca="1">IF(debt_period=0,
E23+F23,
IF(OR(A23="",B23="",B23="N/A"),"",IF(B23=1,((debt_interest*(1+debt_interest)^debt_period)/((1+debt_interest)^debt_period-1))*(-'Cash Flow Analysis'!G74),IF(G22=0,"",D22))))</f>
        <v>5741926.1961670937</v>
      </c>
      <c r="E23" s="873">
        <f t="shared" ca="1" si="0"/>
        <v>5741926.1961670937</v>
      </c>
      <c r="F23" s="873">
        <f t="shared" si="2"/>
        <v>0</v>
      </c>
      <c r="G23" s="1212">
        <f t="shared" ca="1" si="1"/>
        <v>155187194.49100253</v>
      </c>
    </row>
    <row r="24" spans="1:7" s="48" customFormat="1" ht="15" customHeight="1">
      <c r="A24" s="870">
        <f>'Cash Flow Analysis'!B75</f>
        <v>11</v>
      </c>
      <c r="B24" s="1211">
        <f>IF(B23="","",IF('Cash Flow Analysis'!$B$31=0,"N/A",IF(A24=1,1,IF(A23=debt_period,"",B23+1))))</f>
        <v>11</v>
      </c>
      <c r="C24" s="873">
        <f ca="1">IF(OR(A24="",B24="",B24="N/A"),"",IF(B24=1,-'Cash Flow Analysis'!G75,IF(B24="N/A",0,G23)))</f>
        <v>155187194.49100253</v>
      </c>
      <c r="D24" s="873">
        <f ca="1">IF(debt_period=0,
E24+F24,
IF(OR(A24="",B24="",B24="N/A"),"",IF(B24=1,((debt_interest*(1+debt_interest)^debt_period)/((1+debt_interest)^debt_period-1))*(-'Cash Flow Analysis'!G75),IF(G23=0,"",D23))))</f>
        <v>5741926.1961670937</v>
      </c>
      <c r="E24" s="873">
        <f t="shared" ca="1" si="0"/>
        <v>5741926.1961670937</v>
      </c>
      <c r="F24" s="873">
        <f t="shared" si="2"/>
        <v>0</v>
      </c>
      <c r="G24" s="1212">
        <f t="shared" ca="1" si="1"/>
        <v>155187194.49100253</v>
      </c>
    </row>
    <row r="25" spans="1:7" s="48" customFormat="1" ht="15" customHeight="1">
      <c r="A25" s="870">
        <f>'Cash Flow Analysis'!B76</f>
        <v>12</v>
      </c>
      <c r="B25" s="1211">
        <f>IF(B24="","",IF('Cash Flow Analysis'!$B$31=0,"N/A",IF(A25=1,1,IF(A24=debt_period,"",B24+1))))</f>
        <v>12</v>
      </c>
      <c r="C25" s="873">
        <f ca="1">IF(OR(A25="",B25="",B25="N/A"),"",IF(B25=1,-'Cash Flow Analysis'!G76,IF(B25="N/A",0,G24)))</f>
        <v>155187194.49100253</v>
      </c>
      <c r="D25" s="873">
        <f ca="1">IF(debt_period=0,
E25+F25,
IF(OR(A25="",B25="",B25="N/A"),"",IF(B25=1,((debt_interest*(1+debt_interest)^debt_period)/((1+debt_interest)^debt_period-1))*(-'Cash Flow Analysis'!G76),IF(G24=0,"",D24))))</f>
        <v>5741926.1961670937</v>
      </c>
      <c r="E25" s="873">
        <f t="shared" ca="1" si="0"/>
        <v>5741926.1961670937</v>
      </c>
      <c r="F25" s="873">
        <f t="shared" si="2"/>
        <v>0</v>
      </c>
      <c r="G25" s="1212">
        <f t="shared" ca="1" si="1"/>
        <v>155187194.49100253</v>
      </c>
    </row>
    <row r="26" spans="1:7" s="48" customFormat="1" ht="15" customHeight="1">
      <c r="A26" s="870">
        <f>'Cash Flow Analysis'!B77</f>
        <v>13</v>
      </c>
      <c r="B26" s="1211">
        <f>IF(B25="","",IF('Cash Flow Analysis'!$B$31=0,"N/A",IF(A26=1,1,IF(A25=debt_period,"",B25+1))))</f>
        <v>13</v>
      </c>
      <c r="C26" s="873">
        <f ca="1">IF(OR(A26="",B26="",B26="N/A"),"",IF(B26=1,-'Cash Flow Analysis'!G77,IF(B26="N/A",0,G25)))</f>
        <v>155187194.49100253</v>
      </c>
      <c r="D26" s="873">
        <f ca="1">IF(debt_period=0,
E26+F26,
IF(OR(A26="",B26="",B26="N/A"),"",IF(B26=1,((debt_interest*(1+debt_interest)^debt_period)/((1+debt_interest)^debt_period-1))*(-'Cash Flow Analysis'!G77),IF(G25=0,"",D25))))</f>
        <v>5741926.1961670937</v>
      </c>
      <c r="E26" s="873">
        <f t="shared" ca="1" si="0"/>
        <v>5741926.1961670937</v>
      </c>
      <c r="F26" s="873">
        <f t="shared" si="2"/>
        <v>0</v>
      </c>
      <c r="G26" s="1212">
        <f t="shared" ca="1" si="1"/>
        <v>155187194.49100253</v>
      </c>
    </row>
    <row r="27" spans="1:7" s="48" customFormat="1" ht="15" customHeight="1">
      <c r="A27" s="870">
        <f>'Cash Flow Analysis'!B78</f>
        <v>14</v>
      </c>
      <c r="B27" s="1211">
        <f>IF(B26="","",IF('Cash Flow Analysis'!$B$31=0,"N/A",IF(A27=1,1,IF(A26=debt_period,"",B26+1))))</f>
        <v>14</v>
      </c>
      <c r="C27" s="873">
        <f ca="1">IF(OR(A27="",B27="",B27="N/A"),"",IF(B27=1,-'Cash Flow Analysis'!G78,IF(B27="N/A",0,G26)))</f>
        <v>155187194.49100253</v>
      </c>
      <c r="D27" s="873">
        <f ca="1">IF(debt_period=0,
E27+F27,
IF(OR(A27="",B27="",B27="N/A"),"",IF(B27=1,((debt_interest*(1+debt_interest)^debt_period)/((1+debt_interest)^debt_period-1))*(-'Cash Flow Analysis'!G78),IF(G26=0,"",D26))))</f>
        <v>5741926.1961670937</v>
      </c>
      <c r="E27" s="873">
        <f t="shared" ca="1" si="0"/>
        <v>5741926.1961670937</v>
      </c>
      <c r="F27" s="873">
        <f t="shared" si="2"/>
        <v>0</v>
      </c>
      <c r="G27" s="1212">
        <f t="shared" ca="1" si="1"/>
        <v>155187194.49100253</v>
      </c>
    </row>
    <row r="28" spans="1:7" s="48" customFormat="1" ht="15" customHeight="1">
      <c r="A28" s="870">
        <f>'Cash Flow Analysis'!B79</f>
        <v>15</v>
      </c>
      <c r="B28" s="1211">
        <f>IF(B27="","",IF('Cash Flow Analysis'!$B$31=0,"N/A",IF(A28=1,1,IF(A27=debt_period,"",B27+1))))</f>
        <v>15</v>
      </c>
      <c r="C28" s="873">
        <f ca="1">IF(OR(A28="",B28="",B28="N/A"),"",IF(B28=1,-'Cash Flow Analysis'!G79,IF(B28="N/A",0,G27)))</f>
        <v>155187194.49100253</v>
      </c>
      <c r="D28" s="873">
        <f ca="1">IF(debt_period=0,
E28+F28,
IF(OR(A28="",B28="",B28="N/A"),"",IF(B28=1,((debt_interest*(1+debt_interest)^debt_period)/((1+debt_interest)^debt_period-1))*(-'Cash Flow Analysis'!G79),IF(G27=0,"",D27))))</f>
        <v>5741926.1961670937</v>
      </c>
      <c r="E28" s="873">
        <f t="shared" ca="1" si="0"/>
        <v>5741926.1961670937</v>
      </c>
      <c r="F28" s="873">
        <f t="shared" si="2"/>
        <v>0</v>
      </c>
      <c r="G28" s="1212">
        <f t="shared" ca="1" si="1"/>
        <v>155187194.49100253</v>
      </c>
    </row>
    <row r="29" spans="1:7" s="48" customFormat="1" ht="15" customHeight="1">
      <c r="A29" s="870">
        <f>'Cash Flow Analysis'!B80</f>
        <v>16</v>
      </c>
      <c r="B29" s="1211">
        <f>IF(B28="","",IF('Cash Flow Analysis'!$B$31=0,"N/A",IF(A29=1,1,IF(A28=debt_period,"",B28+1))))</f>
        <v>16</v>
      </c>
      <c r="C29" s="873">
        <f ca="1">IF(OR(A29="",B29="",B29="N/A"),"",IF(B29=1,-'Cash Flow Analysis'!G80,IF(B29="N/A",0,G28)))</f>
        <v>155187194.49100253</v>
      </c>
      <c r="D29" s="873">
        <f ca="1">IF(debt_period=0,
E29+F29,
IF(OR(A29="",B29="",B29="N/A"),"",IF(B29=1,((debt_interest*(1+debt_interest)^debt_period)/((1+debt_interest)^debt_period-1))*(-'Cash Flow Analysis'!G80),IF(G28=0,"",D28))))</f>
        <v>5741926.1961670937</v>
      </c>
      <c r="E29" s="873">
        <f t="shared" ca="1" si="0"/>
        <v>5741926.1961670937</v>
      </c>
      <c r="F29" s="873">
        <f t="shared" si="2"/>
        <v>0</v>
      </c>
      <c r="G29" s="1212">
        <f t="shared" ca="1" si="1"/>
        <v>155187194.49100253</v>
      </c>
    </row>
    <row r="30" spans="1:7" s="48" customFormat="1" ht="15" customHeight="1">
      <c r="A30" s="870">
        <f>'Cash Flow Analysis'!B81</f>
        <v>17</v>
      </c>
      <c r="B30" s="1211">
        <f>IF(B29="","",IF('Cash Flow Analysis'!$B$31=0,"N/A",IF(A30=1,1,IF(A29=debt_period,"",B29+1))))</f>
        <v>17</v>
      </c>
      <c r="C30" s="873">
        <f ca="1">IF(OR(A30="",B30="",B30="N/A"),"",IF(B30=1,-'Cash Flow Analysis'!G81,IF(B30="N/A",0,G29)))</f>
        <v>155187194.49100253</v>
      </c>
      <c r="D30" s="873">
        <f ca="1">IF(debt_period=0,
E30+F30,
IF(OR(A30="",B30="",B30="N/A"),"",IF(B30=1,((debt_interest*(1+debt_interest)^debt_period)/((1+debt_interest)^debt_period-1))*(-'Cash Flow Analysis'!G81),IF(G29=0,"",D29))))</f>
        <v>5741926.1961670937</v>
      </c>
      <c r="E30" s="873">
        <f t="shared" ca="1" si="0"/>
        <v>5741926.1961670937</v>
      </c>
      <c r="F30" s="873">
        <f t="shared" si="2"/>
        <v>0</v>
      </c>
      <c r="G30" s="1212">
        <f t="shared" ca="1" si="1"/>
        <v>155187194.49100253</v>
      </c>
    </row>
    <row r="31" spans="1:7" s="48" customFormat="1" ht="15" customHeight="1">
      <c r="A31" s="870">
        <f>'Cash Flow Analysis'!B82</f>
        <v>18</v>
      </c>
      <c r="B31" s="1211">
        <f>IF(B30="","",IF('Cash Flow Analysis'!$B$31=0,"N/A",IF(A31=1,1,IF(A30=debt_period,"",B30+1))))</f>
        <v>18</v>
      </c>
      <c r="C31" s="873">
        <f ca="1">IF(OR(A31="",B31="",B31="N/A"),"",IF(B31=1,-'Cash Flow Analysis'!G82,IF(B31="N/A",0,G30)))</f>
        <v>155187194.49100253</v>
      </c>
      <c r="D31" s="873">
        <f ca="1">IF(debt_period=0,
E31+F31,
IF(OR(A31="",B31="",B31="N/A"),"",IF(B31=1,((debt_interest*(1+debt_interest)^debt_period)/((1+debt_interest)^debt_period-1))*(-'Cash Flow Analysis'!G82),IF(G30=0,"",D30))))</f>
        <v>5741926.1961670937</v>
      </c>
      <c r="E31" s="873">
        <f t="shared" ca="1" si="0"/>
        <v>5741926.1961670937</v>
      </c>
      <c r="F31" s="873">
        <f t="shared" si="2"/>
        <v>0</v>
      </c>
      <c r="G31" s="1212">
        <f t="shared" ca="1" si="1"/>
        <v>155187194.49100253</v>
      </c>
    </row>
    <row r="32" spans="1:7" s="48" customFormat="1" ht="15" customHeight="1">
      <c r="A32" s="870">
        <f>'Cash Flow Analysis'!B83</f>
        <v>19</v>
      </c>
      <c r="B32" s="1211">
        <f>IF(B31="","",IF('Cash Flow Analysis'!$B$31=0,"N/A",IF(A32=1,1,IF(A31=debt_period,"",B31+1))))</f>
        <v>19</v>
      </c>
      <c r="C32" s="873">
        <f ca="1">IF(OR(A32="",B32="",B32="N/A"),"",IF(B32=1,-'Cash Flow Analysis'!G83,IF(B32="N/A",0,G31)))</f>
        <v>155187194.49100253</v>
      </c>
      <c r="D32" s="873">
        <f ca="1">IF(debt_period=0,
E32+F32,
IF(OR(A32="",B32="",B32="N/A"),"",IF(B32=1,((debt_interest*(1+debt_interest)^debt_period)/((1+debt_interest)^debt_period-1))*(-'Cash Flow Analysis'!G83),IF(G31=0,"",D31))))</f>
        <v>5741926.1961670937</v>
      </c>
      <c r="E32" s="873">
        <f t="shared" ca="1" si="0"/>
        <v>5741926.1961670937</v>
      </c>
      <c r="F32" s="873">
        <f t="shared" si="2"/>
        <v>0</v>
      </c>
      <c r="G32" s="1212">
        <f t="shared" ca="1" si="1"/>
        <v>155187194.49100253</v>
      </c>
    </row>
    <row r="33" spans="1:7" s="48" customFormat="1" ht="15" customHeight="1">
      <c r="A33" s="870">
        <f>'Cash Flow Analysis'!B84</f>
        <v>20</v>
      </c>
      <c r="B33" s="1211">
        <f>IF(B32="","",IF('Cash Flow Analysis'!$B$31=0,"N/A",IF(A33=1,1,IF(A32=debt_period,"",B32+1))))</f>
        <v>20</v>
      </c>
      <c r="C33" s="873">
        <f ca="1">IF(OR(A33="",B33="",B33="N/A"),"",IF(B33=1,-'Cash Flow Analysis'!G84,IF(B33="N/A",0,G32)))</f>
        <v>155187194.49100253</v>
      </c>
      <c r="D33" s="873">
        <f ca="1">IF(debt_period=0,
E33+F33,
IF(OR(A33="",B33="",B33="N/A"),"",IF(B33=1,((debt_interest*(1+debt_interest)^debt_period)/((1+debt_interest)^debt_period-1))*(-'Cash Flow Analysis'!G84),IF(G32=0,"",D32))))</f>
        <v>5741926.1961670937</v>
      </c>
      <c r="E33" s="873">
        <f t="shared" ca="1" si="0"/>
        <v>5741926.1961670937</v>
      </c>
      <c r="F33" s="873">
        <f t="shared" si="2"/>
        <v>0</v>
      </c>
      <c r="G33" s="1212">
        <f t="shared" ca="1" si="1"/>
        <v>155187194.49100253</v>
      </c>
    </row>
    <row r="34" spans="1:7" s="48" customFormat="1" ht="15" customHeight="1">
      <c r="A34" s="870">
        <f>'Cash Flow Analysis'!B85</f>
        <v>21</v>
      </c>
      <c r="B34" s="1211">
        <f>IF(B33="","",IF('Cash Flow Analysis'!$B$31=0,"N/A",IF(A34=1,1,IF(A33=debt_period,"",B33+1))))</f>
        <v>21</v>
      </c>
      <c r="C34" s="873">
        <f ca="1">IF(OR(A34="",B34="",B34="N/A"),"",IF(B34=1,-'Cash Flow Analysis'!G85,IF(B34="N/A",0,G33)))</f>
        <v>155187194.49100253</v>
      </c>
      <c r="D34" s="873">
        <f ca="1">IF(debt_period=0,
E34+F34,
IF(OR(A34="",B34="",B34="N/A"),"",IF(B34=1,((debt_interest*(1+debt_interest)^debt_period)/((1+debt_interest)^debt_period-1))*(-'Cash Flow Analysis'!G85),IF(G33=0,"",D33))))</f>
        <v>5741926.1961670937</v>
      </c>
      <c r="E34" s="873">
        <f t="shared" ca="1" si="0"/>
        <v>5741926.1961670937</v>
      </c>
      <c r="F34" s="873">
        <f t="shared" si="2"/>
        <v>0</v>
      </c>
      <c r="G34" s="1212">
        <f t="shared" ca="1" si="1"/>
        <v>155187194.49100253</v>
      </c>
    </row>
    <row r="35" spans="1:7" s="48" customFormat="1" ht="15" customHeight="1">
      <c r="A35" s="870">
        <f>'Cash Flow Analysis'!B86</f>
        <v>22</v>
      </c>
      <c r="B35" s="1211">
        <f>IF(B34="","",IF('Cash Flow Analysis'!$B$31=0,"N/A",IF(A35=1,1,IF(A34=debt_period,"",B34+1))))</f>
        <v>22</v>
      </c>
      <c r="C35" s="873">
        <f ca="1">IF(OR(A35="",B35="",B35="N/A"),"",IF(B35=1,-'Cash Flow Analysis'!G86,IF(B35="N/A",0,G34)))</f>
        <v>155187194.49100253</v>
      </c>
      <c r="D35" s="873">
        <f ca="1">IF(debt_period=0,
E35+F35,
IF(OR(A35="",B35="",B35="N/A"),"",IF(B35=1,((debt_interest*(1+debt_interest)^debt_period)/((1+debt_interest)^debt_period-1))*(-'Cash Flow Analysis'!G86),IF(G34=0,"",D34))))</f>
        <v>5741926.1961670937</v>
      </c>
      <c r="E35" s="873">
        <f t="shared" ca="1" si="0"/>
        <v>5741926.1961670937</v>
      </c>
      <c r="F35" s="873">
        <f t="shared" si="2"/>
        <v>0</v>
      </c>
      <c r="G35" s="1212">
        <f t="shared" ca="1" si="1"/>
        <v>155187194.49100253</v>
      </c>
    </row>
    <row r="36" spans="1:7" s="48" customFormat="1" ht="15" customHeight="1">
      <c r="A36" s="870">
        <f>'Cash Flow Analysis'!B87</f>
        <v>23</v>
      </c>
      <c r="B36" s="1211">
        <f>IF(B35="","",IF('Cash Flow Analysis'!$B$31=0,"N/A",IF(A36=1,1,IF(A35=debt_period,"",B35+1))))</f>
        <v>23</v>
      </c>
      <c r="C36" s="873">
        <f ca="1">IF(OR(A36="",B36="",B36="N/A"),"",IF(B36=1,-'Cash Flow Analysis'!G87,IF(B36="N/A",0,G35)))</f>
        <v>155187194.49100253</v>
      </c>
      <c r="D36" s="873">
        <f ca="1">IF(debt_period=0,
E36+F36,
IF(OR(A36="",B36="",B36="N/A"),"",IF(B36=1,((debt_interest*(1+debt_interest)^debt_period)/((1+debt_interest)^debt_period-1))*(-'Cash Flow Analysis'!G87),IF(G35=0,"",D35))))</f>
        <v>5741926.1961670937</v>
      </c>
      <c r="E36" s="873">
        <f t="shared" ca="1" si="0"/>
        <v>5741926.1961670937</v>
      </c>
      <c r="F36" s="873">
        <f t="shared" si="2"/>
        <v>0</v>
      </c>
      <c r="G36" s="1212">
        <f t="shared" ca="1" si="1"/>
        <v>155187194.49100253</v>
      </c>
    </row>
    <row r="37" spans="1:7" s="48" customFormat="1" ht="15" customHeight="1">
      <c r="A37" s="870">
        <f>'Cash Flow Analysis'!B88</f>
        <v>24</v>
      </c>
      <c r="B37" s="1211">
        <f>IF(B36="","",IF('Cash Flow Analysis'!$B$31=0,"N/A",IF(A37=1,1,IF(A36=debt_period,"",B36+1))))</f>
        <v>24</v>
      </c>
      <c r="C37" s="873">
        <f ca="1">IF(OR(A37="",B37="",B37="N/A"),"",IF(B37=1,-'Cash Flow Analysis'!G88,IF(B37="N/A",0,G36)))</f>
        <v>155187194.49100253</v>
      </c>
      <c r="D37" s="873">
        <f ca="1">IF(debt_period=0,
E37+F37,
IF(OR(A37="",B37="",B37="N/A"),"",IF(B37=1,((debt_interest*(1+debt_interest)^debt_period)/((1+debt_interest)^debt_period-1))*(-'Cash Flow Analysis'!G88),IF(G36=0,"",D36))))</f>
        <v>5741926.1961670937</v>
      </c>
      <c r="E37" s="873">
        <f t="shared" ca="1" si="0"/>
        <v>5741926.1961670937</v>
      </c>
      <c r="F37" s="873">
        <f t="shared" si="2"/>
        <v>0</v>
      </c>
      <c r="G37" s="1212">
        <f t="shared" ca="1" si="1"/>
        <v>155187194.49100253</v>
      </c>
    </row>
    <row r="38" spans="1:7" s="48" customFormat="1" ht="15" customHeight="1">
      <c r="A38" s="870">
        <f>'Cash Flow Analysis'!B89</f>
        <v>25</v>
      </c>
      <c r="B38" s="1211">
        <f>IF(B37="","",IF('Cash Flow Analysis'!$B$31=0,"N/A",IF(A38=1,1,IF(A37=debt_period,"",B37+1))))</f>
        <v>25</v>
      </c>
      <c r="C38" s="873">
        <f ca="1">IF(OR(A38="",B38="",B38="N/A"),"",IF(B38=1,-'Cash Flow Analysis'!G89,IF(B38="N/A",0,G37)))</f>
        <v>155187194.49100253</v>
      </c>
      <c r="D38" s="873">
        <f ca="1">IF(debt_period=0,
E38+F38,
IF(OR(A38="",B38="",B38="N/A"),"",IF(B38=1,((debt_interest*(1+debt_interest)^debt_period)/((1+debt_interest)^debt_period-1))*(-'Cash Flow Analysis'!G89),IF(G37=0,"",D37))))</f>
        <v>5741926.1961670937</v>
      </c>
      <c r="E38" s="873">
        <f t="shared" ca="1" si="0"/>
        <v>5741926.1961670937</v>
      </c>
      <c r="F38" s="873">
        <f t="shared" si="2"/>
        <v>0</v>
      </c>
      <c r="G38" s="1212">
        <f t="shared" ca="1" si="1"/>
        <v>155187194.49100253</v>
      </c>
    </row>
    <row r="39" spans="1:7" s="48" customFormat="1" ht="15" customHeight="1">
      <c r="A39" s="870">
        <f>'Cash Flow Analysis'!B90</f>
        <v>26</v>
      </c>
      <c r="B39" s="1211">
        <f>IF(B38="","",IF('Cash Flow Analysis'!$B$31=0,"N/A",IF(A39=1,1,IF(A38=debt_period,"",B38+1))))</f>
        <v>26</v>
      </c>
      <c r="C39" s="873">
        <f ca="1">IF(OR(A39="",B39="",B39="N/A"),"",IF(B39=1,-'Cash Flow Analysis'!G90,IF(B39="N/A",0,G38)))</f>
        <v>155187194.49100253</v>
      </c>
      <c r="D39" s="873">
        <f ca="1">IF(debt_period=0,
E39+F39,
IF(OR(A39="",B39="",B39="N/A"),"",IF(B39=1,((debt_interest*(1+debt_interest)^debt_period)/((1+debt_interest)^debt_period-1))*(-'Cash Flow Analysis'!G90),IF(G38=0,"",D38))))</f>
        <v>5741926.1961670937</v>
      </c>
      <c r="E39" s="873">
        <f t="shared" ca="1" si="0"/>
        <v>5741926.1961670937</v>
      </c>
      <c r="F39" s="873">
        <f t="shared" si="2"/>
        <v>0</v>
      </c>
      <c r="G39" s="1212">
        <f t="shared" ca="1" si="1"/>
        <v>155187194.49100253</v>
      </c>
    </row>
    <row r="40" spans="1:7" s="48" customFormat="1" ht="15" customHeight="1">
      <c r="A40" s="870">
        <f>'Cash Flow Analysis'!B91</f>
        <v>27</v>
      </c>
      <c r="B40" s="1211">
        <f>IF(B39="","",IF('Cash Flow Analysis'!$B$31=0,"N/A",IF(A40=1,1,IF(A39=debt_period,"",B39+1))))</f>
        <v>27</v>
      </c>
      <c r="C40" s="873">
        <f ca="1">IF(OR(A40="",B40="",B40="N/A"),"",IF(B40=1,-'Cash Flow Analysis'!G91,IF(B40="N/A",0,G39)))</f>
        <v>155187194.49100253</v>
      </c>
      <c r="D40" s="873">
        <f ca="1">IF(debt_period=0,
E40+F40,
IF(OR(A40="",B40="",B40="N/A"),"",IF(B40=1,((debt_interest*(1+debt_interest)^debt_period)/((1+debt_interest)^debt_period-1))*(-'Cash Flow Analysis'!G91),IF(G39=0,"",D39))))</f>
        <v>5741926.1961670937</v>
      </c>
      <c r="E40" s="873">
        <f t="shared" ca="1" si="0"/>
        <v>5741926.1961670937</v>
      </c>
      <c r="F40" s="873">
        <f t="shared" si="2"/>
        <v>0</v>
      </c>
      <c r="G40" s="1212">
        <f t="shared" ca="1" si="1"/>
        <v>155187194.49100253</v>
      </c>
    </row>
    <row r="41" spans="1:7" s="48" customFormat="1" ht="15" customHeight="1">
      <c r="A41" s="870">
        <f>'Cash Flow Analysis'!B92</f>
        <v>28</v>
      </c>
      <c r="B41" s="1211">
        <f>IF(B40="","",IF('Cash Flow Analysis'!$B$31=0,"N/A",IF(A41=1,1,IF(A40=debt_period,"",B40+1))))</f>
        <v>28</v>
      </c>
      <c r="C41" s="873">
        <f ca="1">IF(OR(A41="",B41="",B41="N/A"),"",IF(B41=1,-'Cash Flow Analysis'!G92,IF(B41="N/A",0,G40)))</f>
        <v>155187194.49100253</v>
      </c>
      <c r="D41" s="873">
        <f ca="1">IF(debt_period=0,
E41+F41,
IF(OR(A41="",B41="",B41="N/A"),"",IF(B41=1,((debt_interest*(1+debt_interest)^debt_period)/((1+debt_interest)^debt_period-1))*(-'Cash Flow Analysis'!G92),IF(G40=0,"",D40))))</f>
        <v>5741926.1961670937</v>
      </c>
      <c r="E41" s="873">
        <f t="shared" ca="1" si="0"/>
        <v>5741926.1961670937</v>
      </c>
      <c r="F41" s="873">
        <f t="shared" si="2"/>
        <v>0</v>
      </c>
      <c r="G41" s="1212">
        <f t="shared" ca="1" si="1"/>
        <v>155187194.49100253</v>
      </c>
    </row>
    <row r="42" spans="1:7" s="48" customFormat="1" ht="15" customHeight="1">
      <c r="A42" s="870">
        <f>'Cash Flow Analysis'!B93</f>
        <v>29</v>
      </c>
      <c r="B42" s="1211">
        <f>IF(B41="","",IF('Cash Flow Analysis'!$B$31=0,"N/A",IF(A42=1,1,IF(A41=debt_period,"",B41+1))))</f>
        <v>29</v>
      </c>
      <c r="C42" s="873">
        <f ca="1">IF(OR(A42="",B42="",B42="N/A"),"",IF(B42=1,-'Cash Flow Analysis'!G93,IF(B42="N/A",0,G41)))</f>
        <v>155187194.49100253</v>
      </c>
      <c r="D42" s="873">
        <f ca="1">IF(debt_period=0,
E42+F42,
IF(OR(A42="",B42="",B42="N/A"),"",IF(B42=1,((debt_interest*(1+debt_interest)^debt_period)/((1+debt_interest)^debt_period-1))*(-'Cash Flow Analysis'!G93),IF(G41=0,"",D41))))</f>
        <v>5741926.1961670937</v>
      </c>
      <c r="E42" s="873">
        <f t="shared" ca="1" si="0"/>
        <v>5741926.1961670937</v>
      </c>
      <c r="F42" s="873">
        <f t="shared" si="2"/>
        <v>0</v>
      </c>
      <c r="G42" s="1212">
        <f t="shared" ca="1" si="1"/>
        <v>155187194.49100253</v>
      </c>
    </row>
    <row r="43" spans="1:7" s="48" customFormat="1" ht="15" customHeight="1">
      <c r="A43" s="870">
        <f>'Cash Flow Analysis'!B94</f>
        <v>30</v>
      </c>
      <c r="B43" s="1211">
        <f>IF(B42="","",IF('Cash Flow Analysis'!$B$31=0,"N/A",IF(A43=1,1,IF(A42=debt_period,"",B42+1))))</f>
        <v>30</v>
      </c>
      <c r="C43" s="873">
        <f ca="1">IF(OR(A43="",B43="",B43="N/A"),"",IF(B43=1,-'Cash Flow Analysis'!G94,IF(B43="N/A",0,G42)))</f>
        <v>155187194.49100253</v>
      </c>
      <c r="D43" s="873">
        <f ca="1">IF(debt_period=0,
E43+F43,
IF(OR(A43="",B43="",B43="N/A"),"",IF(B43=1,((debt_interest*(1+debt_interest)^debt_period)/((1+debt_interest)^debt_period-1))*(-'Cash Flow Analysis'!G94),IF(G42=0,"",D42))))</f>
        <v>5741926.1961670937</v>
      </c>
      <c r="E43" s="873">
        <f t="shared" ca="1" si="0"/>
        <v>5741926.1961670937</v>
      </c>
      <c r="F43" s="873">
        <f t="shared" si="2"/>
        <v>0</v>
      </c>
      <c r="G43" s="1212">
        <f t="shared" ca="1" si="1"/>
        <v>155187194.49100253</v>
      </c>
    </row>
    <row r="44" spans="1:7" s="48" customFormat="1" ht="15" customHeight="1">
      <c r="A44" s="870">
        <f>'Cash Flow Analysis'!B95</f>
        <v>31</v>
      </c>
      <c r="B44" s="1211">
        <f>IF(B43="","",IF('Cash Flow Analysis'!$B$31=0,"N/A",IF(A44=1,1,IF(A43=debt_period,"",B43+1))))</f>
        <v>31</v>
      </c>
      <c r="C44" s="873">
        <f ca="1">IF(OR(A44="",B44="",B44="N/A"),"",IF(B44=1,-'Cash Flow Analysis'!G95,IF(B44="N/A",0,G43)))</f>
        <v>155187194.49100253</v>
      </c>
      <c r="D44" s="873">
        <f ca="1">IF(debt_period=0,
E44+F44,
IF(OR(A44="",B44="",B44="N/A"),"",IF(B44=1,((debt_interest*(1+debt_interest)^debt_period)/((1+debt_interest)^debt_period-1))*(-'Cash Flow Analysis'!G95),IF(G43=0,"",D43))))</f>
        <v>5741926.1961670937</v>
      </c>
      <c r="E44" s="873">
        <f t="shared" ca="1" si="0"/>
        <v>5741926.1961670937</v>
      </c>
      <c r="F44" s="873">
        <f t="shared" si="2"/>
        <v>0</v>
      </c>
      <c r="G44" s="1212">
        <f t="shared" ca="1" si="1"/>
        <v>155187194.49100253</v>
      </c>
    </row>
    <row r="45" spans="1:7" s="48" customFormat="1" ht="15" customHeight="1">
      <c r="A45" s="870">
        <f>'Cash Flow Analysis'!B96</f>
        <v>32</v>
      </c>
      <c r="B45" s="1211">
        <f>IF(B44="","",IF('Cash Flow Analysis'!$B$31=0,"N/A",IF(A45=1,1,IF(A44=debt_period,"",B44+1))))</f>
        <v>32</v>
      </c>
      <c r="C45" s="873">
        <f ca="1">IF(OR(A45="",B45="",B45="N/A"),"",IF(B45=1,-'Cash Flow Analysis'!G96,IF(B45="N/A",0,G44)))</f>
        <v>155187194.49100253</v>
      </c>
      <c r="D45" s="873">
        <f ca="1">IF(debt_period=0,
E45+F45,
IF(OR(A45="",B45="",B45="N/A"),"",IF(B45=1,((debt_interest*(1+debt_interest)^debt_period)/((1+debt_interest)^debt_period-1))*(-'Cash Flow Analysis'!G96),IF(G44=0,"",D44))))</f>
        <v>5741926.1961670937</v>
      </c>
      <c r="E45" s="873">
        <f t="shared" ca="1" si="0"/>
        <v>5741926.1961670937</v>
      </c>
      <c r="F45" s="873">
        <f t="shared" si="2"/>
        <v>0</v>
      </c>
      <c r="G45" s="1212">
        <f t="shared" ca="1" si="1"/>
        <v>155187194.49100253</v>
      </c>
    </row>
    <row r="46" spans="1:7" s="48" customFormat="1" ht="15" customHeight="1">
      <c r="A46" s="870">
        <f>'Cash Flow Analysis'!B97</f>
        <v>33</v>
      </c>
      <c r="B46" s="1211">
        <f>IF(B45="","",IF('Cash Flow Analysis'!$B$31=0,"N/A",IF(A46=1,1,IF(A45=debt_period,"",B45+1))))</f>
        <v>33</v>
      </c>
      <c r="C46" s="873">
        <f ca="1">IF(OR(A46="",B46="",B46="N/A"),"",IF(B46=1,-'Cash Flow Analysis'!G97,IF(B46="N/A",0,G45)))</f>
        <v>155187194.49100253</v>
      </c>
      <c r="D46" s="873">
        <f ca="1">IF(debt_period=0,
E46+F46,
IF(OR(A46="",B46="",B46="N/A"),"",IF(B46=1,((debt_interest*(1+debt_interest)^debt_period)/((1+debt_interest)^debt_period-1))*(-'Cash Flow Analysis'!G97),IF(G45=0,"",D45))))</f>
        <v>5741926.1961670937</v>
      </c>
      <c r="E46" s="873">
        <f t="shared" ca="1" si="0"/>
        <v>5741926.1961670937</v>
      </c>
      <c r="F46" s="873">
        <f t="shared" si="2"/>
        <v>0</v>
      </c>
      <c r="G46" s="1212">
        <f t="shared" ca="1" si="1"/>
        <v>155187194.49100253</v>
      </c>
    </row>
    <row r="47" spans="1:7" s="48" customFormat="1" ht="15" customHeight="1">
      <c r="A47" s="870">
        <f>'Cash Flow Analysis'!B98</f>
        <v>34</v>
      </c>
      <c r="B47" s="1211">
        <f>IF(B46="","",IF('Cash Flow Analysis'!$B$31=0,"N/A",IF(A47=1,1,IF(A46=debt_period,"",B46+1))))</f>
        <v>34</v>
      </c>
      <c r="C47" s="873">
        <f ca="1">IF(OR(A47="",B47="",B47="N/A"),"",IF(B47=1,-'Cash Flow Analysis'!G98,IF(B47="N/A",0,G46)))</f>
        <v>155187194.49100253</v>
      </c>
      <c r="D47" s="873">
        <f ca="1">IF(debt_period=0,
E47+F47,
IF(OR(A47="",B47="",B47="N/A"),"",IF(B47=1,((debt_interest*(1+debt_interest)^debt_period)/((1+debt_interest)^debt_period-1))*(-'Cash Flow Analysis'!G98),IF(G46=0,"",D46))))</f>
        <v>5741926.1961670937</v>
      </c>
      <c r="E47" s="873">
        <f t="shared" ca="1" si="0"/>
        <v>5741926.1961670937</v>
      </c>
      <c r="F47" s="873">
        <f t="shared" si="2"/>
        <v>0</v>
      </c>
      <c r="G47" s="1212">
        <f t="shared" ca="1" si="1"/>
        <v>155187194.49100253</v>
      </c>
    </row>
    <row r="48" spans="1:7" s="48" customFormat="1" ht="15" customHeight="1">
      <c r="A48" s="870">
        <f>'Cash Flow Analysis'!B99</f>
        <v>35</v>
      </c>
      <c r="B48" s="1211">
        <f>IF(B47="","",IF('Cash Flow Analysis'!$B$31=0,"N/A",IF(A48=1,1,IF(A47=debt_period,"",B47+1))))</f>
        <v>35</v>
      </c>
      <c r="C48" s="873">
        <f ca="1">IF(OR(A48="",B48="",B48="N/A"),"",IF(B48=1,-'Cash Flow Analysis'!G99,IF(B48="N/A",0,G47)))</f>
        <v>155187194.49100253</v>
      </c>
      <c r="D48" s="873">
        <f ca="1">IF(debt_period=0,
E48+F48,
IF(OR(A48="",B48="",B48="N/A"),"",IF(B48=1,((debt_interest*(1+debt_interest)^debt_period)/((1+debt_interest)^debt_period-1))*(-'Cash Flow Analysis'!G99),IF(G47=0,"",D47))))</f>
        <v>5741926.1961670937</v>
      </c>
      <c r="E48" s="873">
        <f t="shared" ca="1" si="0"/>
        <v>5741926.1961670937</v>
      </c>
      <c r="F48" s="873">
        <f t="shared" si="2"/>
        <v>0</v>
      </c>
      <c r="G48" s="1212">
        <f t="shared" ca="1" si="1"/>
        <v>155187194.49100253</v>
      </c>
    </row>
    <row r="49" spans="1:7" s="48" customFormat="1" ht="15" customHeight="1">
      <c r="A49" s="870">
        <f>'Cash Flow Analysis'!B100</f>
        <v>36</v>
      </c>
      <c r="B49" s="1211">
        <f>IF(B48="","",IF('Cash Flow Analysis'!$B$31=0,"N/A",IF(A49=1,1,IF(A48=debt_period,"",B48+1))))</f>
        <v>36</v>
      </c>
      <c r="C49" s="873">
        <f ca="1">IF(OR(A49="",B49="",B49="N/A"),"",IF(B49=1,-'Cash Flow Analysis'!G100,IF(B49="N/A",0,G48)))</f>
        <v>155187194.49100253</v>
      </c>
      <c r="D49" s="873">
        <f ca="1">IF(debt_period=0,
E49+F49,
IF(OR(A49="",B49="",B49="N/A"),"",IF(B49=1,((debt_interest*(1+debt_interest)^debt_period)/((1+debt_interest)^debt_period-1))*(-'Cash Flow Analysis'!G100),IF(G48=0,"",D48))))</f>
        <v>5741926.1961670937</v>
      </c>
      <c r="E49" s="873">
        <f t="shared" ca="1" si="0"/>
        <v>5741926.1961670937</v>
      </c>
      <c r="F49" s="873">
        <f t="shared" si="2"/>
        <v>0</v>
      </c>
      <c r="G49" s="1212">
        <f t="shared" ca="1" si="1"/>
        <v>155187194.49100253</v>
      </c>
    </row>
    <row r="50" spans="1:7" s="48" customFormat="1" ht="15" customHeight="1">
      <c r="A50" s="870">
        <f>'Cash Flow Analysis'!B101</f>
        <v>37</v>
      </c>
      <c r="B50" s="1211">
        <f>IF(B49="","",IF('Cash Flow Analysis'!$B$31=0,"N/A",IF(A50=1,1,IF(A49=debt_period,"",B49+1))))</f>
        <v>37</v>
      </c>
      <c r="C50" s="873">
        <f ca="1">IF(OR(A50="",B50="",B50="N/A"),"",IF(B50=1,-'Cash Flow Analysis'!G101,IF(B50="N/A",0,G49)))</f>
        <v>155187194.49100253</v>
      </c>
      <c r="D50" s="873">
        <f ca="1">IF(debt_period=0,
E50+F50,
IF(OR(A50="",B50="",B50="N/A"),"",IF(B50=1,((debt_interest*(1+debt_interest)^debt_period)/((1+debt_interest)^debt_period-1))*(-'Cash Flow Analysis'!G101),IF(G49=0,"",D49))))</f>
        <v>5741926.1961670937</v>
      </c>
      <c r="E50" s="873">
        <f t="shared" ca="1" si="0"/>
        <v>5741926.1961670937</v>
      </c>
      <c r="F50" s="873">
        <f t="shared" si="2"/>
        <v>0</v>
      </c>
      <c r="G50" s="1212">
        <f t="shared" ca="1" si="1"/>
        <v>155187194.49100253</v>
      </c>
    </row>
    <row r="51" spans="1:7" s="48" customFormat="1" ht="15" customHeight="1">
      <c r="A51" s="870">
        <f>'Cash Flow Analysis'!B102</f>
        <v>38</v>
      </c>
      <c r="B51" s="1211">
        <f>IF(B50="","",IF('Cash Flow Analysis'!$B$31=0,"N/A",IF(A51=1,1,IF(A50=debt_period,"",B50+1))))</f>
        <v>38</v>
      </c>
      <c r="C51" s="873">
        <f ca="1">IF(OR(A51="",B51="",B51="N/A"),"",IF(B51=1,-'Cash Flow Analysis'!G102,IF(B51="N/A",0,G50)))</f>
        <v>155187194.49100253</v>
      </c>
      <c r="D51" s="873">
        <f ca="1">IF(debt_period=0,
E51+F51,
IF(OR(A51="",B51="",B51="N/A"),"",IF(B51=1,((debt_interest*(1+debt_interest)^debt_period)/((1+debt_interest)^debt_period-1))*(-'Cash Flow Analysis'!G102),IF(G50=0,"",D50))))</f>
        <v>5741926.1961670937</v>
      </c>
      <c r="E51" s="873">
        <f t="shared" ca="1" si="0"/>
        <v>5741926.1961670937</v>
      </c>
      <c r="F51" s="873">
        <f t="shared" si="2"/>
        <v>0</v>
      </c>
      <c r="G51" s="1212">
        <f t="shared" ca="1" si="1"/>
        <v>155187194.49100253</v>
      </c>
    </row>
    <row r="52" spans="1:7" s="48" customFormat="1" ht="15" customHeight="1">
      <c r="A52" s="870">
        <f>'Cash Flow Analysis'!B103</f>
        <v>39</v>
      </c>
      <c r="B52" s="1211">
        <f>IF(B51="","",IF('Cash Flow Analysis'!$B$31=0,"N/A",IF(A52=1,1,IF(A51=debt_period,"",B51+1))))</f>
        <v>39</v>
      </c>
      <c r="C52" s="873">
        <f ca="1">IF(OR(A52="",B52="",B52="N/A"),"",IF(B52=1,-'Cash Flow Analysis'!G103,IF(B52="N/A",0,G51)))</f>
        <v>155187194.49100253</v>
      </c>
      <c r="D52" s="873">
        <f ca="1">IF(debt_period=0,
E52+F52,
IF(OR(A52="",B52="",B52="N/A"),"",IF(B52=1,((debt_interest*(1+debt_interest)^debt_period)/((1+debt_interest)^debt_period-1))*(-'Cash Flow Analysis'!G103),IF(G51=0,"",D51))))</f>
        <v>5741926.1961670937</v>
      </c>
      <c r="E52" s="873">
        <f t="shared" ca="1" si="0"/>
        <v>5741926.1961670937</v>
      </c>
      <c r="F52" s="873">
        <f t="shared" si="2"/>
        <v>0</v>
      </c>
      <c r="G52" s="1212">
        <f t="shared" ca="1" si="1"/>
        <v>155187194.49100253</v>
      </c>
    </row>
    <row r="53" spans="1:7" s="48" customFormat="1" ht="15" customHeight="1">
      <c r="A53" s="870">
        <f>'Cash Flow Analysis'!B104</f>
        <v>40</v>
      </c>
      <c r="B53" s="1211">
        <f>IF(B52="","",IF('Cash Flow Analysis'!$B$31=0,"N/A",IF(A53=1,1,IF(A52=debt_period,"",B52+1))))</f>
        <v>40</v>
      </c>
      <c r="C53" s="873">
        <f ca="1">IF(OR(A53="",B53="",B53="N/A"),"",IF(B53=1,-'Cash Flow Analysis'!G104,IF(B53="N/A",0,G52)))</f>
        <v>155187194.49100253</v>
      </c>
      <c r="D53" s="873">
        <f ca="1">IF(debt_period=0,
E53+F53,
IF(OR(A53="",B53="",B53="N/A"),"",IF(B53=1,((debt_interest*(1+debt_interest)^debt_period)/((1+debt_interest)^debt_period-1))*(-'Cash Flow Analysis'!G104),IF(G52=0,"",D52))))</f>
        <v>5741926.1961670937</v>
      </c>
      <c r="E53" s="873">
        <f t="shared" ca="1" si="0"/>
        <v>5741926.1961670937</v>
      </c>
      <c r="F53" s="873">
        <f t="shared" si="2"/>
        <v>0</v>
      </c>
      <c r="G53" s="1212">
        <f t="shared" ca="1" si="1"/>
        <v>155187194.49100253</v>
      </c>
    </row>
    <row r="54" spans="1:7" s="48" customFormat="1" ht="15" customHeight="1">
      <c r="A54" s="870">
        <f>'Cash Flow Analysis'!B105</f>
        <v>41</v>
      </c>
      <c r="B54" s="1211">
        <f>IF(B53="","",IF('Cash Flow Analysis'!$B$31=0,"N/A",IF(A54=1,1,IF(A53=debt_period,"",B53+1))))</f>
        <v>41</v>
      </c>
      <c r="C54" s="873">
        <f ca="1">IF(OR(A54="",B54="",B54="N/A"),"",IF(B54=1,-'Cash Flow Analysis'!G105,IF(B54="N/A",0,G53)))</f>
        <v>155187194.49100253</v>
      </c>
      <c r="D54" s="873">
        <f ca="1">IF(debt_period=0,
E54+F54,
IF(OR(A54="",B54="",B54="N/A"),"",IF(B54=1,((debt_interest*(1+debt_interest)^debt_period)/((1+debt_interest)^debt_period-1))*(-'Cash Flow Analysis'!G105),IF(G53=0,"",D53))))</f>
        <v>5741926.1961670937</v>
      </c>
      <c r="E54" s="873">
        <f t="shared" ca="1" si="0"/>
        <v>5741926.1961670937</v>
      </c>
      <c r="F54" s="873">
        <f t="shared" si="2"/>
        <v>0</v>
      </c>
      <c r="G54" s="1212">
        <f t="shared" ca="1" si="1"/>
        <v>155187194.49100253</v>
      </c>
    </row>
    <row r="55" spans="1:7" s="48" customFormat="1" ht="15" customHeight="1">
      <c r="A55" s="870">
        <f>'Cash Flow Analysis'!B106</f>
        <v>42</v>
      </c>
      <c r="B55" s="1211">
        <f>IF(B54="","",IF('Cash Flow Analysis'!$B$31=0,"N/A",IF(A55=1,1,IF(A54=debt_period,"",B54+1))))</f>
        <v>42</v>
      </c>
      <c r="C55" s="873">
        <f ca="1">IF(OR(A55="",B55="",B55="N/A"),"",IF(B55=1,-'Cash Flow Analysis'!G106,IF(B55="N/A",0,G54)))</f>
        <v>155187194.49100253</v>
      </c>
      <c r="D55" s="873">
        <f ca="1">IF(debt_period=0,
E55+F55,
IF(OR(A55="",B55="",B55="N/A"),"",IF(B55=1,((debt_interest*(1+debt_interest)^debt_period)/((1+debt_interest)^debt_period-1))*(-'Cash Flow Analysis'!G106),IF(G54=0,"",D54))))</f>
        <v>5741926.1961670937</v>
      </c>
      <c r="E55" s="873">
        <f t="shared" ca="1" si="0"/>
        <v>5741926.1961670937</v>
      </c>
      <c r="F55" s="873">
        <f t="shared" si="2"/>
        <v>0</v>
      </c>
      <c r="G55" s="1212">
        <f t="shared" ca="1" si="1"/>
        <v>155187194.49100253</v>
      </c>
    </row>
    <row r="56" spans="1:7" s="48" customFormat="1" ht="15" customHeight="1">
      <c r="A56" s="870">
        <f>'Cash Flow Analysis'!B107</f>
        <v>43</v>
      </c>
      <c r="B56" s="1211">
        <f>IF(B55="","",IF('Cash Flow Analysis'!$B$31=0,"N/A",IF(A56=1,1,IF(A55=debt_period,"",B55+1))))</f>
        <v>43</v>
      </c>
      <c r="C56" s="873">
        <f ca="1">IF(OR(A56="",B56="",B56="N/A"),"",IF(B56=1,-'Cash Flow Analysis'!G107,IF(B56="N/A",0,G55)))</f>
        <v>155187194.49100253</v>
      </c>
      <c r="D56" s="873">
        <f ca="1">IF(debt_period=0,
E56+F56,
IF(OR(A56="",B56="",B56="N/A"),"",IF(B56=1,((debt_interest*(1+debt_interest)^debt_period)/((1+debt_interest)^debt_period-1))*(-'Cash Flow Analysis'!G107),IF(G55=0,"",D55))))</f>
        <v>160929120.68716961</v>
      </c>
      <c r="E56" s="873">
        <f t="shared" ca="1" si="0"/>
        <v>5741926.1961670937</v>
      </c>
      <c r="F56" s="873">
        <f t="shared" ca="1" si="2"/>
        <v>155187194.49100253</v>
      </c>
      <c r="G56" s="1212">
        <f t="shared" ca="1" si="1"/>
        <v>0</v>
      </c>
    </row>
    <row r="57" spans="1:7" s="48" customFormat="1" ht="15" customHeight="1" thickBot="1">
      <c r="A57" s="1213" t="str">
        <f>'Cash Flow Analysis'!B108</f>
        <v/>
      </c>
      <c r="B57" s="1214">
        <f>IF(B56="","",IF('Cash Flow Analysis'!$B$31=0,"N/A",IF(A57=1,1,IF(A56=debt_period,"",B56+1))))</f>
        <v>44</v>
      </c>
      <c r="C57" s="1215" t="str">
        <f>IF(OR(A57="",B57="",B57="N/A"),"",IF(B57=1,-'Cash Flow Analysis'!G108,IF(B57="N/A",0,G56)))</f>
        <v/>
      </c>
      <c r="D57" s="1215" t="str">
        <f>IF(F57=0,E57,
IF(OR(A57="",B57="",B57="N/A"),"",IF(B57=1,((debt_interest*(1+debt_interest)^debt_period)/((1+debt_interest)^debt_period-1))*(-'Cash Flow Analysis'!G108),IF(G56=0,"",D56))))</f>
        <v/>
      </c>
      <c r="E57" s="1215" t="str">
        <f t="shared" si="0"/>
        <v/>
      </c>
      <c r="F57" s="1215">
        <f t="shared" si="2"/>
        <v>0</v>
      </c>
      <c r="G57" s="1216" t="str">
        <f t="shared" si="1"/>
        <v/>
      </c>
    </row>
    <row r="58" spans="1:7" ht="14" thickTop="1"/>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topLeftCell="A48" workbookViewId="0"/>
  </sheetViews>
  <sheetFormatPr baseColWidth="10" defaultColWidth="9.33203125" defaultRowHeight="13"/>
  <cols>
    <col min="1" max="1" width="31.33203125" customWidth="1"/>
    <col min="2" max="2" width="23.5" customWidth="1"/>
    <col min="3" max="3" width="19" customWidth="1"/>
    <col min="4" max="4" width="11.33203125" customWidth="1"/>
    <col min="5" max="5" width="12.6640625" customWidth="1"/>
    <col min="6" max="6" width="10.6640625" customWidth="1"/>
    <col min="7" max="7" width="13.33203125" customWidth="1"/>
    <col min="8" max="8" width="13.6640625" customWidth="1"/>
    <col min="9" max="9" width="11" customWidth="1"/>
    <col min="10" max="25" width="17.33203125" customWidth="1"/>
  </cols>
  <sheetData>
    <row r="1" spans="1:8" ht="30.75" customHeight="1">
      <c r="A1" s="35" t="s">
        <v>47</v>
      </c>
    </row>
    <row r="2" spans="1:8" ht="15" customHeight="1"/>
    <row r="3" spans="1:8" ht="15" customHeight="1">
      <c r="A3" s="38" t="s">
        <v>33</v>
      </c>
      <c r="B3" s="39"/>
      <c r="C3" s="39"/>
      <c r="D3" s="39"/>
      <c r="E3" s="40"/>
      <c r="F3" s="40"/>
      <c r="G3" s="40"/>
    </row>
    <row r="4" spans="1:8" ht="15" customHeight="1">
      <c r="A4" s="38" t="s">
        <v>34</v>
      </c>
      <c r="B4" s="39"/>
      <c r="C4" s="39"/>
      <c r="D4" s="39"/>
      <c r="E4" s="40"/>
      <c r="F4" s="40"/>
      <c r="G4" s="40"/>
    </row>
    <row r="5" spans="1:8" ht="15" customHeight="1"/>
    <row r="6" spans="1:8" ht="15" customHeight="1">
      <c r="A6" s="34"/>
      <c r="B6" s="37" t="s">
        <v>35</v>
      </c>
    </row>
    <row r="7" spans="1:8" ht="15" customHeight="1">
      <c r="A7" s="41"/>
      <c r="B7" s="37" t="s">
        <v>36</v>
      </c>
    </row>
    <row r="8" spans="1:8" ht="15" customHeight="1">
      <c r="A8" s="42"/>
      <c r="B8" s="37" t="s">
        <v>37</v>
      </c>
    </row>
    <row r="9" spans="1:8" ht="15" customHeight="1">
      <c r="A9" s="43"/>
      <c r="B9" s="37" t="s">
        <v>38</v>
      </c>
    </row>
    <row r="10" spans="1:8" ht="15" customHeight="1"/>
    <row r="11" spans="1:8" ht="15" customHeight="1" thickBot="1"/>
    <row r="12" spans="1:8" ht="29.25" customHeight="1" thickTop="1" thickBot="1">
      <c r="B12" s="58" t="s">
        <v>48</v>
      </c>
      <c r="C12" s="59"/>
      <c r="D12" s="59"/>
      <c r="E12" s="59"/>
      <c r="F12" s="59"/>
      <c r="G12" s="59"/>
      <c r="H12" s="60"/>
    </row>
    <row r="13" spans="1:8" ht="15" customHeight="1" thickTop="1" thickBot="1">
      <c r="B13" s="61"/>
      <c r="C13" s="1626" t="s">
        <v>49</v>
      </c>
      <c r="D13" s="1626"/>
      <c r="E13" s="1626"/>
      <c r="F13" s="1626"/>
      <c r="G13" s="1626"/>
      <c r="H13" s="1627"/>
    </row>
    <row r="14" spans="1:8" ht="15" customHeight="1" thickTop="1" thickBot="1">
      <c r="B14" s="64" t="s">
        <v>49</v>
      </c>
      <c r="C14" s="65">
        <v>3</v>
      </c>
      <c r="D14" s="62">
        <v>5</v>
      </c>
      <c r="E14" s="62">
        <v>7</v>
      </c>
      <c r="F14" s="62">
        <v>10</v>
      </c>
      <c r="G14" s="62">
        <v>15</v>
      </c>
      <c r="H14" s="63">
        <v>20</v>
      </c>
    </row>
    <row r="15" spans="1:8" ht="15" customHeight="1" thickTop="1">
      <c r="B15" s="66">
        <v>1</v>
      </c>
      <c r="C15" s="67">
        <v>0.33329999999999999</v>
      </c>
      <c r="D15" s="68">
        <v>0.2</v>
      </c>
      <c r="E15" s="68">
        <v>0.1429</v>
      </c>
      <c r="F15" s="68">
        <v>0.1</v>
      </c>
      <c r="G15" s="68">
        <v>0.05</v>
      </c>
      <c r="H15" s="69">
        <v>3.7499999999999999E-2</v>
      </c>
    </row>
    <row r="16" spans="1:8" ht="15" customHeight="1">
      <c r="B16" s="70">
        <v>2</v>
      </c>
      <c r="C16" s="71">
        <v>0.44450000000000001</v>
      </c>
      <c r="D16" s="72">
        <v>0.32</v>
      </c>
      <c r="E16" s="72">
        <v>0.24490000000000001</v>
      </c>
      <c r="F16" s="72">
        <v>0.18</v>
      </c>
      <c r="G16" s="72">
        <v>9.5000000000000001E-2</v>
      </c>
      <c r="H16" s="73">
        <v>7.2190000000000004E-2</v>
      </c>
    </row>
    <row r="17" spans="2:8" ht="15" customHeight="1">
      <c r="B17" s="70">
        <v>3</v>
      </c>
      <c r="C17" s="71">
        <v>0.14810000000000001</v>
      </c>
      <c r="D17" s="72">
        <v>0.192</v>
      </c>
      <c r="E17" s="72">
        <v>0.1749</v>
      </c>
      <c r="F17" s="72">
        <v>0.14399999999999999</v>
      </c>
      <c r="G17" s="72">
        <v>8.5500000000000007E-2</v>
      </c>
      <c r="H17" s="73">
        <v>6.6769999999999996E-2</v>
      </c>
    </row>
    <row r="18" spans="2:8" ht="15" customHeight="1">
      <c r="B18" s="70">
        <v>4</v>
      </c>
      <c r="C18" s="71">
        <v>7.4099999999999999E-2</v>
      </c>
      <c r="D18" s="72">
        <v>0.1152</v>
      </c>
      <c r="E18" s="72">
        <v>0.1249</v>
      </c>
      <c r="F18" s="72">
        <v>0.1152</v>
      </c>
      <c r="G18" s="72">
        <v>7.6999999999999999E-2</v>
      </c>
      <c r="H18" s="73">
        <v>6.1769999999999999E-2</v>
      </c>
    </row>
    <row r="19" spans="2:8" ht="15" customHeight="1">
      <c r="B19" s="70">
        <v>5</v>
      </c>
      <c r="C19" s="71"/>
      <c r="D19" s="72">
        <v>0.1152</v>
      </c>
      <c r="E19" s="72">
        <v>8.9300000000000004E-2</v>
      </c>
      <c r="F19" s="72">
        <v>9.2200000000000004E-2</v>
      </c>
      <c r="G19" s="72">
        <v>6.93E-2</v>
      </c>
      <c r="H19" s="73">
        <v>5.713E-2</v>
      </c>
    </row>
    <row r="20" spans="2:8" ht="15" customHeight="1">
      <c r="B20" s="70">
        <v>6</v>
      </c>
      <c r="C20" s="71"/>
      <c r="D20" s="72">
        <v>5.7599999999999998E-2</v>
      </c>
      <c r="E20" s="72">
        <v>8.9200000000000002E-2</v>
      </c>
      <c r="F20" s="72">
        <v>7.3700000000000002E-2</v>
      </c>
      <c r="G20" s="72">
        <v>6.2300000000000001E-2</v>
      </c>
      <c r="H20" s="73">
        <v>5.2850000000000001E-2</v>
      </c>
    </row>
    <row r="21" spans="2:8" ht="15" customHeight="1">
      <c r="B21" s="70">
        <v>7</v>
      </c>
      <c r="C21" s="71"/>
      <c r="D21" s="72"/>
      <c r="E21" s="72">
        <v>8.9300000000000004E-2</v>
      </c>
      <c r="F21" s="72">
        <v>6.5500000000000003E-2</v>
      </c>
      <c r="G21" s="72">
        <v>5.8999999999999997E-2</v>
      </c>
      <c r="H21" s="73">
        <v>4.888E-2</v>
      </c>
    </row>
    <row r="22" spans="2:8" ht="15" customHeight="1">
      <c r="B22" s="70">
        <v>8</v>
      </c>
      <c r="C22" s="71"/>
      <c r="D22" s="72"/>
      <c r="E22" s="72">
        <v>4.4600000000000001E-2</v>
      </c>
      <c r="F22" s="72">
        <v>6.5500000000000003E-2</v>
      </c>
      <c r="G22" s="72">
        <v>5.8999999999999997E-2</v>
      </c>
      <c r="H22" s="73">
        <v>4.5220000000000003E-2</v>
      </c>
    </row>
    <row r="23" spans="2:8" ht="15" customHeight="1">
      <c r="B23" s="70">
        <v>9</v>
      </c>
      <c r="C23" s="71"/>
      <c r="D23" s="72"/>
      <c r="E23" s="72"/>
      <c r="F23" s="72">
        <v>6.5600000000000006E-2</v>
      </c>
      <c r="G23" s="72">
        <v>5.91E-2</v>
      </c>
      <c r="H23" s="73">
        <v>4.462E-2</v>
      </c>
    </row>
    <row r="24" spans="2:8" ht="15" customHeight="1">
      <c r="B24" s="70">
        <v>10</v>
      </c>
      <c r="C24" s="71"/>
      <c r="D24" s="72"/>
      <c r="E24" s="72"/>
      <c r="F24" s="72">
        <v>6.5500000000000003E-2</v>
      </c>
      <c r="G24" s="72">
        <v>5.8999999999999997E-2</v>
      </c>
      <c r="H24" s="73">
        <v>4.4609999999999997E-2</v>
      </c>
    </row>
    <row r="25" spans="2:8" ht="15" customHeight="1">
      <c r="B25" s="70">
        <v>11</v>
      </c>
      <c r="C25" s="71"/>
      <c r="D25" s="72"/>
      <c r="E25" s="72"/>
      <c r="F25" s="72">
        <v>3.2800000000000003E-2</v>
      </c>
      <c r="G25" s="72">
        <v>5.91E-2</v>
      </c>
      <c r="H25" s="73">
        <v>4.462E-2</v>
      </c>
    </row>
    <row r="26" spans="2:8" ht="15" customHeight="1">
      <c r="B26" s="70">
        <v>12</v>
      </c>
      <c r="C26" s="71"/>
      <c r="D26" s="72"/>
      <c r="E26" s="72"/>
      <c r="F26" s="72"/>
      <c r="G26" s="72">
        <v>5.8999999999999997E-2</v>
      </c>
      <c r="H26" s="73">
        <v>4.4609999999999997E-2</v>
      </c>
    </row>
    <row r="27" spans="2:8" ht="15" customHeight="1">
      <c r="B27" s="70">
        <v>13</v>
      </c>
      <c r="C27" s="71"/>
      <c r="D27" s="72"/>
      <c r="E27" s="72"/>
      <c r="F27" s="72"/>
      <c r="G27" s="72">
        <v>5.91E-2</v>
      </c>
      <c r="H27" s="73">
        <v>4.462E-2</v>
      </c>
    </row>
    <row r="28" spans="2:8" ht="15" customHeight="1">
      <c r="B28" s="70">
        <v>14</v>
      </c>
      <c r="C28" s="71"/>
      <c r="D28" s="72"/>
      <c r="E28" s="72"/>
      <c r="F28" s="72"/>
      <c r="G28" s="72">
        <v>5.8999999999999997E-2</v>
      </c>
      <c r="H28" s="73">
        <v>4.4609999999999997E-2</v>
      </c>
    </row>
    <row r="29" spans="2:8" ht="15" customHeight="1">
      <c r="B29" s="70">
        <v>15</v>
      </c>
      <c r="C29" s="71"/>
      <c r="D29" s="72"/>
      <c r="E29" s="72"/>
      <c r="F29" s="72"/>
      <c r="G29" s="72">
        <v>5.91E-2</v>
      </c>
      <c r="H29" s="73">
        <v>4.462E-2</v>
      </c>
    </row>
    <row r="30" spans="2:8" ht="15" customHeight="1">
      <c r="B30" s="70">
        <v>16</v>
      </c>
      <c r="C30" s="71"/>
      <c r="D30" s="72"/>
      <c r="E30" s="72"/>
      <c r="F30" s="72"/>
      <c r="G30" s="72">
        <v>2.9499999999999998E-2</v>
      </c>
      <c r="H30" s="73">
        <v>4.4609999999999997E-2</v>
      </c>
    </row>
    <row r="31" spans="2:8" ht="15" customHeight="1">
      <c r="B31" s="70">
        <v>17</v>
      </c>
      <c r="C31" s="71"/>
      <c r="D31" s="72"/>
      <c r="E31" s="72"/>
      <c r="F31" s="72"/>
      <c r="G31" s="72"/>
      <c r="H31" s="73">
        <v>4.462E-2</v>
      </c>
    </row>
    <row r="32" spans="2:8" ht="15" customHeight="1">
      <c r="B32" s="70">
        <v>18</v>
      </c>
      <c r="C32" s="71"/>
      <c r="D32" s="72"/>
      <c r="E32" s="72"/>
      <c r="F32" s="72"/>
      <c r="G32" s="72"/>
      <c r="H32" s="73">
        <v>4.4609999999999997E-2</v>
      </c>
    </row>
    <row r="33" spans="1:24" ht="15" customHeight="1">
      <c r="B33" s="70">
        <v>19</v>
      </c>
      <c r="C33" s="71"/>
      <c r="D33" s="72"/>
      <c r="E33" s="72"/>
      <c r="F33" s="72"/>
      <c r="G33" s="72"/>
      <c r="H33" s="73">
        <v>4.462E-2</v>
      </c>
    </row>
    <row r="34" spans="1:24" ht="15" customHeight="1">
      <c r="B34" s="70">
        <v>20</v>
      </c>
      <c r="C34" s="71"/>
      <c r="D34" s="72"/>
      <c r="E34" s="72"/>
      <c r="F34" s="72"/>
      <c r="G34" s="72"/>
      <c r="H34" s="73">
        <v>4.4609999999999997E-2</v>
      </c>
    </row>
    <row r="35" spans="1:24" ht="15" customHeight="1" thickBot="1">
      <c r="B35" s="74">
        <v>21</v>
      </c>
      <c r="C35" s="75"/>
      <c r="D35" s="76"/>
      <c r="E35" s="76"/>
      <c r="F35" s="76"/>
      <c r="G35" s="76"/>
      <c r="H35" s="77">
        <v>2.231E-2</v>
      </c>
    </row>
    <row r="36" spans="1:24" ht="15" customHeight="1" thickTop="1">
      <c r="B36" s="78" t="s">
        <v>50</v>
      </c>
      <c r="C36" s="79">
        <f t="shared" ref="C36:H36" ca="1" si="0">NPV(real_irr,C15:C35)</f>
        <v>0.861730483722558</v>
      </c>
      <c r="D36" s="80">
        <f t="shared" ca="1" si="0"/>
        <v>0.81132579180653486</v>
      </c>
      <c r="E36" s="80">
        <f t="shared" ca="1" si="0"/>
        <v>0.76611247423420981</v>
      </c>
      <c r="F36" s="80">
        <f t="shared" ca="1" si="0"/>
        <v>0.70592323058796147</v>
      </c>
      <c r="G36" s="80">
        <f t="shared" ca="1" si="0"/>
        <v>0.57966874115937961</v>
      </c>
      <c r="H36" s="81">
        <f t="shared" ca="1" si="0"/>
        <v>0.50624177952518146</v>
      </c>
    </row>
    <row r="37" spans="1:24" ht="15" customHeight="1" thickBot="1">
      <c r="B37" s="74" t="s">
        <v>51</v>
      </c>
      <c r="C37" s="82">
        <f t="shared" ref="C37:H37" ca="1" si="1">NPV(nominal_irr,C15:C35)</f>
        <v>0.83149291060393982</v>
      </c>
      <c r="D37" s="83">
        <f t="shared" ca="1" si="1"/>
        <v>0.77231075823151107</v>
      </c>
      <c r="E37" s="83">
        <f t="shared" ca="1" si="1"/>
        <v>0.72034649543580254</v>
      </c>
      <c r="F37" s="83">
        <f t="shared" ca="1" si="1"/>
        <v>0.65286934217044934</v>
      </c>
      <c r="G37" s="83">
        <f t="shared" ca="1" si="1"/>
        <v>0.51586770297474116</v>
      </c>
      <c r="H37" s="84">
        <f t="shared" ca="1" si="1"/>
        <v>0.44094384285873256</v>
      </c>
    </row>
    <row r="38" spans="1:24" ht="15" customHeight="1" thickTop="1"/>
    <row r="39" spans="1:24" ht="15" customHeight="1"/>
    <row r="40" spans="1:24" ht="15" customHeight="1" thickBot="1"/>
    <row r="41" spans="1:24" ht="29.25" customHeight="1" thickTop="1" thickBot="1">
      <c r="A41" s="85" t="s">
        <v>52</v>
      </c>
      <c r="B41" s="86"/>
    </row>
    <row r="42" spans="1:24" ht="15" customHeight="1" thickTop="1">
      <c r="A42" s="87" t="s">
        <v>387</v>
      </c>
      <c r="B42" s="88" t="str">
        <f>depr_type</f>
        <v>MACRS</v>
      </c>
    </row>
    <row r="43" spans="1:24" ht="15" customHeight="1">
      <c r="A43" s="89" t="s">
        <v>53</v>
      </c>
      <c r="B43" s="90">
        <f>depr_length</f>
        <v>20</v>
      </c>
    </row>
    <row r="44" spans="1:24" ht="15" customHeight="1" thickBot="1">
      <c r="A44" s="91" t="s">
        <v>54</v>
      </c>
      <c r="B44" s="92">
        <f ca="1">-('Cash Flow Analysis'!G65+SUM('Cash Flow Analysis'!H65:H113))</f>
        <v>258645324.15167087</v>
      </c>
    </row>
    <row r="45" spans="1:24" ht="15" customHeight="1" thickTop="1"/>
    <row r="46" spans="1:24" ht="15" customHeight="1" thickBot="1"/>
    <row r="47" spans="1:24" ht="27" customHeight="1" thickTop="1" thickBot="1">
      <c r="A47" s="93" t="s">
        <v>55</v>
      </c>
      <c r="B47" s="59"/>
      <c r="C47" s="59"/>
      <c r="D47" s="59"/>
      <c r="E47" s="59"/>
      <c r="F47" s="59"/>
      <c r="G47" s="59"/>
      <c r="H47" s="59"/>
      <c r="I47" s="59"/>
      <c r="J47" s="59"/>
      <c r="K47" s="59"/>
      <c r="L47" s="59"/>
      <c r="M47" s="59"/>
      <c r="N47" s="59"/>
      <c r="O47" s="59"/>
      <c r="P47" s="59"/>
      <c r="Q47" s="59"/>
      <c r="R47" s="59"/>
      <c r="S47" s="59"/>
      <c r="T47" s="59"/>
      <c r="U47" s="59"/>
      <c r="V47" s="59"/>
      <c r="W47" s="59"/>
      <c r="X47" s="60"/>
    </row>
    <row r="48" spans="1:24" ht="30.75" customHeight="1" thickTop="1" thickBot="1">
      <c r="A48" s="94" t="s">
        <v>56</v>
      </c>
      <c r="B48" s="95" t="s">
        <v>57</v>
      </c>
      <c r="C48" s="96">
        <v>1</v>
      </c>
      <c r="D48" s="97">
        <v>2</v>
      </c>
      <c r="E48" s="97">
        <v>3</v>
      </c>
      <c r="F48" s="97">
        <v>4</v>
      </c>
      <c r="G48" s="97">
        <v>5</v>
      </c>
      <c r="H48" s="97">
        <v>6</v>
      </c>
      <c r="I48" s="97">
        <v>7</v>
      </c>
      <c r="J48" s="97">
        <v>8</v>
      </c>
      <c r="K48" s="97">
        <v>9</v>
      </c>
      <c r="L48" s="97">
        <v>10</v>
      </c>
      <c r="M48" s="97">
        <v>11</v>
      </c>
      <c r="N48" s="97">
        <v>12</v>
      </c>
      <c r="O48" s="97">
        <v>13</v>
      </c>
      <c r="P48" s="97">
        <v>14</v>
      </c>
      <c r="Q48" s="97">
        <v>15</v>
      </c>
      <c r="R48" s="97">
        <v>16</v>
      </c>
      <c r="S48" s="97">
        <v>17</v>
      </c>
      <c r="T48" s="97">
        <v>18</v>
      </c>
      <c r="U48" s="97">
        <v>19</v>
      </c>
      <c r="V48" s="97">
        <v>20</v>
      </c>
      <c r="W48" s="86">
        <v>21</v>
      </c>
      <c r="X48" s="64" t="s">
        <v>58</v>
      </c>
    </row>
    <row r="49" spans="1:24" ht="15" customHeight="1" thickTop="1">
      <c r="A49" s="78">
        <f>IF('Cash Flow Analysis'!C65="","",'Cash Flow Analysis'!C65)</f>
        <v>-3</v>
      </c>
      <c r="B49" s="867">
        <f>IF(A49="","",IF(A49&lt;1,0,IF(A49=1,$B$44-'Cash Flow Analysis'!I65,-'Cash Flow Analysis'!I65)))</f>
        <v>0</v>
      </c>
      <c r="C49" s="98">
        <f>IF(B49="","",IF(AND($B$42="Straight Line",$C$48&lt;=depr_length),B49/depr_length,IF(AND($B$42="MACRS",$C$48&lt;=depr_length+1),B49*INDEX(MACRS_Table,MATCH($C$48,recovery_year,0),MATCH($B$43,recovery_period,0)),"")))</f>
        <v>0</v>
      </c>
      <c r="D49" s="99">
        <f t="shared" ref="D49:W49" si="2">IF($B$49="","",IF(AND($B$42="Straight Line",D48&lt;=depr_length),$B$49/depr_length,IF(AND($B$42="MACRS",D48&lt;=depr_length+1),$B$49*INDEX(MACRS_Table,MATCH(D48,recovery_year,0),MATCH($B$43,recovery_period,0)),"")))</f>
        <v>0</v>
      </c>
      <c r="E49" s="99">
        <f t="shared" si="2"/>
        <v>0</v>
      </c>
      <c r="F49" s="99">
        <f t="shared" si="2"/>
        <v>0</v>
      </c>
      <c r="G49" s="99">
        <f t="shared" si="2"/>
        <v>0</v>
      </c>
      <c r="H49" s="99">
        <f t="shared" si="2"/>
        <v>0</v>
      </c>
      <c r="I49" s="99">
        <f t="shared" si="2"/>
        <v>0</v>
      </c>
      <c r="J49" s="99">
        <f t="shared" si="2"/>
        <v>0</v>
      </c>
      <c r="K49" s="99">
        <f t="shared" si="2"/>
        <v>0</v>
      </c>
      <c r="L49" s="99">
        <f t="shared" si="2"/>
        <v>0</v>
      </c>
      <c r="M49" s="99">
        <f t="shared" si="2"/>
        <v>0</v>
      </c>
      <c r="N49" s="99">
        <f t="shared" si="2"/>
        <v>0</v>
      </c>
      <c r="O49" s="99">
        <f t="shared" si="2"/>
        <v>0</v>
      </c>
      <c r="P49" s="99">
        <f t="shared" si="2"/>
        <v>0</v>
      </c>
      <c r="Q49" s="99">
        <f t="shared" si="2"/>
        <v>0</v>
      </c>
      <c r="R49" s="99">
        <f t="shared" si="2"/>
        <v>0</v>
      </c>
      <c r="S49" s="99">
        <f t="shared" si="2"/>
        <v>0</v>
      </c>
      <c r="T49" s="99">
        <f t="shared" si="2"/>
        <v>0</v>
      </c>
      <c r="U49" s="99">
        <f t="shared" si="2"/>
        <v>0</v>
      </c>
      <c r="V49" s="99">
        <f t="shared" si="2"/>
        <v>0</v>
      </c>
      <c r="W49" s="100">
        <f t="shared" si="2"/>
        <v>0</v>
      </c>
      <c r="X49" s="101">
        <f t="shared" ref="X49:X92" si="3">SUM(C49:W49)</f>
        <v>0</v>
      </c>
    </row>
    <row r="50" spans="1:24" ht="15" customHeight="1">
      <c r="A50" s="70">
        <f>IF('Cash Flow Analysis'!C66="","",'Cash Flow Analysis'!C66)</f>
        <v>-2</v>
      </c>
      <c r="B50" s="868">
        <f>IF(A50="","",IF(A50&lt;1,0,IF(A50=1,$B$44-'Cash Flow Analysis'!I66,-'Cash Flow Analysis'!I66)))</f>
        <v>0</v>
      </c>
      <c r="C50" s="103">
        <f t="shared" ref="C50:W50" si="4">IF($B$50="","",IF(AND($B$42="Straight Line",C48&lt;=depr_length),$B$50/depr_length,IF(AND($B$42="MACRS",C48&lt;=depr_length+1),$B$50*INDEX(MACRS_Table,MATCH(C48,recovery_year,0),MATCH($B$43,recovery_period,0)),"")))</f>
        <v>0</v>
      </c>
      <c r="D50" s="104">
        <f t="shared" si="4"/>
        <v>0</v>
      </c>
      <c r="E50" s="104">
        <f t="shared" si="4"/>
        <v>0</v>
      </c>
      <c r="F50" s="104">
        <f t="shared" si="4"/>
        <v>0</v>
      </c>
      <c r="G50" s="104">
        <f t="shared" si="4"/>
        <v>0</v>
      </c>
      <c r="H50" s="104">
        <f t="shared" si="4"/>
        <v>0</v>
      </c>
      <c r="I50" s="104">
        <f t="shared" si="4"/>
        <v>0</v>
      </c>
      <c r="J50" s="104">
        <f t="shared" si="4"/>
        <v>0</v>
      </c>
      <c r="K50" s="104">
        <f t="shared" si="4"/>
        <v>0</v>
      </c>
      <c r="L50" s="104">
        <f t="shared" si="4"/>
        <v>0</v>
      </c>
      <c r="M50" s="104">
        <f t="shared" si="4"/>
        <v>0</v>
      </c>
      <c r="N50" s="104">
        <f t="shared" si="4"/>
        <v>0</v>
      </c>
      <c r="O50" s="104">
        <f t="shared" si="4"/>
        <v>0</v>
      </c>
      <c r="P50" s="104">
        <f t="shared" si="4"/>
        <v>0</v>
      </c>
      <c r="Q50" s="104">
        <f t="shared" si="4"/>
        <v>0</v>
      </c>
      <c r="R50" s="104">
        <f t="shared" si="4"/>
        <v>0</v>
      </c>
      <c r="S50" s="104">
        <f t="shared" si="4"/>
        <v>0</v>
      </c>
      <c r="T50" s="104">
        <f t="shared" si="4"/>
        <v>0</v>
      </c>
      <c r="U50" s="104">
        <f t="shared" si="4"/>
        <v>0</v>
      </c>
      <c r="V50" s="104">
        <f t="shared" si="4"/>
        <v>0</v>
      </c>
      <c r="W50" s="105">
        <f t="shared" si="4"/>
        <v>0</v>
      </c>
      <c r="X50" s="102">
        <f t="shared" si="3"/>
        <v>0</v>
      </c>
    </row>
    <row r="51" spans="1:24" ht="15" customHeight="1">
      <c r="A51" s="70">
        <f>IF('Cash Flow Analysis'!C67="","",'Cash Flow Analysis'!C67)</f>
        <v>-1</v>
      </c>
      <c r="B51" s="868">
        <f>IF(A51="","",IF(A51&lt;1,0,IF(A51=1,$B$44-'Cash Flow Analysis'!I67,-'Cash Flow Analysis'!I67)))</f>
        <v>0</v>
      </c>
      <c r="C51" s="103">
        <f t="shared" ref="C51:W51" si="5">IF($B$51="","",IF(AND($B$42="Straight Line",C48&lt;=depr_length),$B$51/depr_length,IF(AND($B$42="MACRS",C48&lt;=depr_length+1),$B$51*INDEX(MACRS_Table,MATCH(C48,recovery_year,0),MATCH($B$43,recovery_period,0)),"")))</f>
        <v>0</v>
      </c>
      <c r="D51" s="104">
        <f t="shared" si="5"/>
        <v>0</v>
      </c>
      <c r="E51" s="104">
        <f t="shared" si="5"/>
        <v>0</v>
      </c>
      <c r="F51" s="104">
        <f t="shared" si="5"/>
        <v>0</v>
      </c>
      <c r="G51" s="104">
        <f t="shared" si="5"/>
        <v>0</v>
      </c>
      <c r="H51" s="104">
        <f t="shared" si="5"/>
        <v>0</v>
      </c>
      <c r="I51" s="104">
        <f t="shared" si="5"/>
        <v>0</v>
      </c>
      <c r="J51" s="104">
        <f t="shared" si="5"/>
        <v>0</v>
      </c>
      <c r="K51" s="104">
        <f t="shared" si="5"/>
        <v>0</v>
      </c>
      <c r="L51" s="104">
        <f t="shared" si="5"/>
        <v>0</v>
      </c>
      <c r="M51" s="104">
        <f t="shared" si="5"/>
        <v>0</v>
      </c>
      <c r="N51" s="104">
        <f t="shared" si="5"/>
        <v>0</v>
      </c>
      <c r="O51" s="104">
        <f t="shared" si="5"/>
        <v>0</v>
      </c>
      <c r="P51" s="104">
        <f t="shared" si="5"/>
        <v>0</v>
      </c>
      <c r="Q51" s="104">
        <f t="shared" si="5"/>
        <v>0</v>
      </c>
      <c r="R51" s="104">
        <f t="shared" si="5"/>
        <v>0</v>
      </c>
      <c r="S51" s="104">
        <f t="shared" si="5"/>
        <v>0</v>
      </c>
      <c r="T51" s="104">
        <f t="shared" si="5"/>
        <v>0</v>
      </c>
      <c r="U51" s="104">
        <f t="shared" si="5"/>
        <v>0</v>
      </c>
      <c r="V51" s="104">
        <f t="shared" si="5"/>
        <v>0</v>
      </c>
      <c r="W51" s="105">
        <f t="shared" si="5"/>
        <v>0</v>
      </c>
      <c r="X51" s="102">
        <f t="shared" si="3"/>
        <v>0</v>
      </c>
    </row>
    <row r="52" spans="1:24" ht="15" customHeight="1">
      <c r="A52" s="70">
        <f>IF('Cash Flow Analysis'!C68="","",'Cash Flow Analysis'!C68)</f>
        <v>1</v>
      </c>
      <c r="B52" s="868">
        <f ca="1">IF(A52="","",IF(A52&lt;1,0,IF(A52=1,$B$44-'Cash Flow Analysis'!I68,-'Cash Flow Analysis'!I68)))</f>
        <v>260013674.12448412</v>
      </c>
      <c r="C52" s="103">
        <f t="shared" ref="C52:W52" ca="1" si="6">IF($B$52="","",IF(AND($B$42="Straight Line",C48&lt;=depr_length),$B$52/depr_length,IF(AND($B$42="MACRS",C48&lt;=depr_length+1),$B$52*INDEX(MACRS_Table,MATCH(C48,recovery_year,0),MATCH($B$43,recovery_period,0)),"")))</f>
        <v>9750512.7796681542</v>
      </c>
      <c r="D52" s="104">
        <f t="shared" ca="1" si="6"/>
        <v>18770387.135046508</v>
      </c>
      <c r="E52" s="104">
        <f t="shared" ca="1" si="6"/>
        <v>17361113.021291804</v>
      </c>
      <c r="F52" s="104">
        <f t="shared" ca="1" si="6"/>
        <v>16061044.650669385</v>
      </c>
      <c r="G52" s="104">
        <f t="shared" ca="1" si="6"/>
        <v>14854581.202731779</v>
      </c>
      <c r="H52" s="104">
        <f t="shared" ca="1" si="6"/>
        <v>13741722.677478986</v>
      </c>
      <c r="I52" s="104">
        <f t="shared" ca="1" si="6"/>
        <v>12709468.391204784</v>
      </c>
      <c r="J52" s="104">
        <f t="shared" ca="1" si="6"/>
        <v>11757818.343909172</v>
      </c>
      <c r="K52" s="104">
        <f t="shared" ca="1" si="6"/>
        <v>11601810.139434481</v>
      </c>
      <c r="L52" s="104">
        <f t="shared" ca="1" si="6"/>
        <v>11599210.002693236</v>
      </c>
      <c r="M52" s="104">
        <f t="shared" ca="1" si="6"/>
        <v>11601810.139434481</v>
      </c>
      <c r="N52" s="104">
        <f t="shared" ca="1" si="6"/>
        <v>11599210.002693236</v>
      </c>
      <c r="O52" s="104">
        <f t="shared" ca="1" si="6"/>
        <v>11601810.139434481</v>
      </c>
      <c r="P52" s="104">
        <f t="shared" ca="1" si="6"/>
        <v>11599210.002693236</v>
      </c>
      <c r="Q52" s="104">
        <f t="shared" ca="1" si="6"/>
        <v>11601810.139434481</v>
      </c>
      <c r="R52" s="104">
        <f t="shared" ca="1" si="6"/>
        <v>11599210.002693236</v>
      </c>
      <c r="S52" s="104">
        <f t="shared" ca="1" si="6"/>
        <v>11601810.139434481</v>
      </c>
      <c r="T52" s="104">
        <f t="shared" ca="1" si="6"/>
        <v>11599210.002693236</v>
      </c>
      <c r="U52" s="104">
        <f t="shared" ca="1" si="6"/>
        <v>11601810.139434481</v>
      </c>
      <c r="V52" s="104">
        <f t="shared" ca="1" si="6"/>
        <v>11599210.002693236</v>
      </c>
      <c r="W52" s="105">
        <f t="shared" ca="1" si="6"/>
        <v>5800905.0697172405</v>
      </c>
      <c r="X52" s="102">
        <f t="shared" ca="1" si="3"/>
        <v>260013674.12448415</v>
      </c>
    </row>
    <row r="53" spans="1:24" ht="15" customHeight="1">
      <c r="A53" s="70">
        <f>IF('Cash Flow Analysis'!C69="","",'Cash Flow Analysis'!C69)</f>
        <v>2</v>
      </c>
      <c r="B53" s="868">
        <f ca="1">IF(A53="","",IF(A53&lt;1,0,IF(A53=1,$B$44-'Cash Flow Analysis'!I69,-'Cash Flow Analysis'!I69)))</f>
        <v>1394348.6222967049</v>
      </c>
      <c r="C53" s="103">
        <f t="shared" ref="C53:W53" ca="1" si="7">IF($B$53="","",IF(AND($B$42="Straight Line",C48&lt;=depr_length),$B$53/depr_length,IF(AND($B$42="MACRS",C48&lt;=depr_length+1),$B$53*INDEX(MACRS_Table,MATCH(C48,recovery_year,0),MATCH($B$43,recovery_period,0)),"")))</f>
        <v>52288.073336126436</v>
      </c>
      <c r="D53" s="104">
        <f t="shared" ca="1" si="7"/>
        <v>100658.02704359913</v>
      </c>
      <c r="E53" s="104">
        <f t="shared" ca="1" si="7"/>
        <v>93100.657510750985</v>
      </c>
      <c r="F53" s="104">
        <f t="shared" ca="1" si="7"/>
        <v>86128.914399267465</v>
      </c>
      <c r="G53" s="104">
        <f t="shared" ca="1" si="7"/>
        <v>79659.136791810757</v>
      </c>
      <c r="H53" s="104">
        <f t="shared" ca="1" si="7"/>
        <v>73691.324688380861</v>
      </c>
      <c r="I53" s="104">
        <f t="shared" ca="1" si="7"/>
        <v>68155.760657862935</v>
      </c>
      <c r="J53" s="104">
        <f t="shared" ca="1" si="7"/>
        <v>63052.444700257001</v>
      </c>
      <c r="K53" s="104">
        <f t="shared" ca="1" si="7"/>
        <v>62215.835526878975</v>
      </c>
      <c r="L53" s="104">
        <f t="shared" ca="1" si="7"/>
        <v>62201.892040655999</v>
      </c>
      <c r="M53" s="104">
        <f t="shared" ca="1" si="7"/>
        <v>62215.835526878975</v>
      </c>
      <c r="N53" s="104">
        <f t="shared" ca="1" si="7"/>
        <v>62201.892040655999</v>
      </c>
      <c r="O53" s="104">
        <f t="shared" ca="1" si="7"/>
        <v>62215.835526878975</v>
      </c>
      <c r="P53" s="104">
        <f t="shared" ca="1" si="7"/>
        <v>62201.892040655999</v>
      </c>
      <c r="Q53" s="104">
        <f t="shared" ca="1" si="7"/>
        <v>62215.835526878975</v>
      </c>
      <c r="R53" s="104">
        <f t="shared" ca="1" si="7"/>
        <v>62201.892040655999</v>
      </c>
      <c r="S53" s="104">
        <f t="shared" ca="1" si="7"/>
        <v>62215.835526878975</v>
      </c>
      <c r="T53" s="104">
        <f t="shared" ca="1" si="7"/>
        <v>62201.892040655999</v>
      </c>
      <c r="U53" s="104">
        <f t="shared" ca="1" si="7"/>
        <v>62215.835526878975</v>
      </c>
      <c r="V53" s="104">
        <f t="shared" ca="1" si="7"/>
        <v>62201.892040655999</v>
      </c>
      <c r="W53" s="105">
        <f t="shared" ca="1" si="7"/>
        <v>31107.917763439487</v>
      </c>
      <c r="X53" s="102">
        <f t="shared" ca="1" si="3"/>
        <v>1394348.6222967044</v>
      </c>
    </row>
    <row r="54" spans="1:24" ht="15" customHeight="1">
      <c r="A54" s="70">
        <f>IF('Cash Flow Analysis'!C70="","",'Cash Flow Analysis'!C70)</f>
        <v>3</v>
      </c>
      <c r="B54" s="868">
        <f ca="1">IF(A54="","",IF(A54&lt;1,0,IF(A54=1,$B$44-'Cash Flow Analysis'!I70,-'Cash Flow Analysis'!I70)))</f>
        <v>1420841.2461203423</v>
      </c>
      <c r="C54" s="103">
        <f t="shared" ref="C54:W54" ca="1" si="8">IF($B$54="","",IF(AND($B$42="Straight Line",C48&lt;=depr_length),$B$54/depr_length,IF(AND($B$42="MACRS",C48&lt;=depr_length+1),$B$54*INDEX(MACRS_Table,MATCH(C48,recovery_year,0),MATCH($B$43,recovery_period,0)),"")))</f>
        <v>53281.546729512833</v>
      </c>
      <c r="D54" s="104">
        <f t="shared" ca="1" si="8"/>
        <v>102570.52955742752</v>
      </c>
      <c r="E54" s="104">
        <f t="shared" ca="1" si="8"/>
        <v>94869.570003455243</v>
      </c>
      <c r="F54" s="104">
        <f t="shared" ca="1" si="8"/>
        <v>87765.36377285354</v>
      </c>
      <c r="G54" s="104">
        <f t="shared" ca="1" si="8"/>
        <v>81172.660390855162</v>
      </c>
      <c r="H54" s="104">
        <f t="shared" ca="1" si="8"/>
        <v>75091.459857460097</v>
      </c>
      <c r="I54" s="104">
        <f t="shared" ca="1" si="8"/>
        <v>69450.720110362337</v>
      </c>
      <c r="J54" s="104">
        <f t="shared" ca="1" si="8"/>
        <v>64250.441149561884</v>
      </c>
      <c r="K54" s="104">
        <f t="shared" ca="1" si="8"/>
        <v>63397.936401889674</v>
      </c>
      <c r="L54" s="104">
        <f t="shared" ca="1" si="8"/>
        <v>63383.727989428466</v>
      </c>
      <c r="M54" s="104">
        <f t="shared" ca="1" si="8"/>
        <v>63397.936401889674</v>
      </c>
      <c r="N54" s="104">
        <f t="shared" ca="1" si="8"/>
        <v>63383.727989428466</v>
      </c>
      <c r="O54" s="104">
        <f t="shared" ca="1" si="8"/>
        <v>63397.936401889674</v>
      </c>
      <c r="P54" s="104">
        <f t="shared" ca="1" si="8"/>
        <v>63383.727989428466</v>
      </c>
      <c r="Q54" s="104">
        <f t="shared" ca="1" si="8"/>
        <v>63397.936401889674</v>
      </c>
      <c r="R54" s="104">
        <f t="shared" ca="1" si="8"/>
        <v>63383.727989428466</v>
      </c>
      <c r="S54" s="104">
        <f t="shared" ca="1" si="8"/>
        <v>63397.936401889674</v>
      </c>
      <c r="T54" s="104">
        <f t="shared" ca="1" si="8"/>
        <v>63383.727989428466</v>
      </c>
      <c r="U54" s="104">
        <f t="shared" ca="1" si="8"/>
        <v>63397.936401889674</v>
      </c>
      <c r="V54" s="104">
        <f t="shared" ca="1" si="8"/>
        <v>63383.727989428466</v>
      </c>
      <c r="W54" s="105">
        <f t="shared" ca="1" si="8"/>
        <v>31698.968200944837</v>
      </c>
      <c r="X54" s="102">
        <f t="shared" ca="1" si="3"/>
        <v>1420841.2461203421</v>
      </c>
    </row>
    <row r="55" spans="1:24" ht="15" customHeight="1">
      <c r="A55" s="70">
        <f>IF('Cash Flow Analysis'!C71="","",'Cash Flow Analysis'!C71)</f>
        <v>4</v>
      </c>
      <c r="B55" s="868">
        <f ca="1">IF(A55="","",IF(A55&lt;1,0,IF(A55=1,$B$44-'Cash Flow Analysis'!I71,-'Cash Flow Analysis'!I71)))</f>
        <v>1447837.2297966287</v>
      </c>
      <c r="C55" s="103">
        <f t="shared" ref="C55:W55" ca="1" si="9">IF($B$55="","",IF(AND($B$42="Straight Line",C48&lt;=depr_length),$B$55/depr_length,IF(AND($B$42="MACRS",C48&lt;=depr_length+1),$B$55*INDEX(MACRS_Table,MATCH(C48,recovery_year,0),MATCH($B$43,recovery_period,0)),"")))</f>
        <v>54293.896117373573</v>
      </c>
      <c r="D55" s="104">
        <f t="shared" ca="1" si="9"/>
        <v>104519.36961901863</v>
      </c>
      <c r="E55" s="104">
        <f t="shared" ca="1" si="9"/>
        <v>96672.091833520899</v>
      </c>
      <c r="F55" s="104">
        <f t="shared" ca="1" si="9"/>
        <v>89432.905684537749</v>
      </c>
      <c r="G55" s="104">
        <f t="shared" ca="1" si="9"/>
        <v>82714.940938281405</v>
      </c>
      <c r="H55" s="104">
        <f t="shared" ca="1" si="9"/>
        <v>76518.197594751822</v>
      </c>
      <c r="I55" s="104">
        <f t="shared" ca="1" si="9"/>
        <v>70770.283792459217</v>
      </c>
      <c r="J55" s="104">
        <f t="shared" ca="1" si="9"/>
        <v>65471.199531403552</v>
      </c>
      <c r="K55" s="104">
        <f t="shared" ca="1" si="9"/>
        <v>64602.497193525574</v>
      </c>
      <c r="L55" s="104">
        <f t="shared" ca="1" si="9"/>
        <v>64588.018821227604</v>
      </c>
      <c r="M55" s="104">
        <f t="shared" ca="1" si="9"/>
        <v>64602.497193525574</v>
      </c>
      <c r="N55" s="104">
        <f t="shared" ca="1" si="9"/>
        <v>64588.018821227604</v>
      </c>
      <c r="O55" s="104">
        <f t="shared" ca="1" si="9"/>
        <v>64602.497193525574</v>
      </c>
      <c r="P55" s="104">
        <f t="shared" ca="1" si="9"/>
        <v>64588.018821227604</v>
      </c>
      <c r="Q55" s="104">
        <f t="shared" ca="1" si="9"/>
        <v>64602.497193525574</v>
      </c>
      <c r="R55" s="104">
        <f t="shared" ca="1" si="9"/>
        <v>64588.018821227604</v>
      </c>
      <c r="S55" s="104">
        <f t="shared" ca="1" si="9"/>
        <v>64602.497193525574</v>
      </c>
      <c r="T55" s="104">
        <f t="shared" ca="1" si="9"/>
        <v>64588.018821227604</v>
      </c>
      <c r="U55" s="104">
        <f t="shared" ca="1" si="9"/>
        <v>64602.497193525574</v>
      </c>
      <c r="V55" s="104">
        <f t="shared" ca="1" si="9"/>
        <v>64588.018821227604</v>
      </c>
      <c r="W55" s="105">
        <f t="shared" ca="1" si="9"/>
        <v>32301.248596762787</v>
      </c>
      <c r="X55" s="102">
        <f t="shared" ca="1" si="3"/>
        <v>1447837.2297966287</v>
      </c>
    </row>
    <row r="56" spans="1:24" ht="15" customHeight="1">
      <c r="A56" s="70">
        <f>IF('Cash Flow Analysis'!C72="","",'Cash Flow Analysis'!C72)</f>
        <v>5</v>
      </c>
      <c r="B56" s="868">
        <f ca="1">IF(A56="","",IF(A56&lt;1,0,IF(A56=1,$B$44-'Cash Flow Analysis'!I72,-'Cash Flow Analysis'!I72)))</f>
        <v>1475346.1371627648</v>
      </c>
      <c r="C56" s="103">
        <f t="shared" ref="C56:W56" ca="1" si="10">IF($B$56="","",IF(AND($B$42="Straight Line",C48&lt;=depr_length),$B$56/depr_length,IF(AND($B$42="MACRS",C48&lt;=depr_length+1),$B$56*INDEX(MACRS_Table,MATCH(C48,recovery_year,0),MATCH($B$43,recovery_period,0)),"")))</f>
        <v>55325.48014360368</v>
      </c>
      <c r="D56" s="104">
        <f t="shared" ca="1" si="10"/>
        <v>106505.23764178</v>
      </c>
      <c r="E56" s="104">
        <f t="shared" ca="1" si="10"/>
        <v>98508.861578357799</v>
      </c>
      <c r="F56" s="104">
        <f t="shared" ca="1" si="10"/>
        <v>91132.130892543981</v>
      </c>
      <c r="G56" s="104">
        <f t="shared" ca="1" si="10"/>
        <v>84286.524816108751</v>
      </c>
      <c r="H56" s="104">
        <f t="shared" ca="1" si="10"/>
        <v>77972.043349052125</v>
      </c>
      <c r="I56" s="104">
        <f t="shared" ca="1" si="10"/>
        <v>72114.919184515937</v>
      </c>
      <c r="J56" s="104">
        <f t="shared" ca="1" si="10"/>
        <v>66715.152322500231</v>
      </c>
      <c r="K56" s="104">
        <f t="shared" ca="1" si="10"/>
        <v>65829.944640202564</v>
      </c>
      <c r="L56" s="104">
        <f t="shared" ca="1" si="10"/>
        <v>65815.191178830937</v>
      </c>
      <c r="M56" s="104">
        <f t="shared" ca="1" si="10"/>
        <v>65829.944640202564</v>
      </c>
      <c r="N56" s="104">
        <f t="shared" ca="1" si="10"/>
        <v>65815.191178830937</v>
      </c>
      <c r="O56" s="104">
        <f t="shared" ca="1" si="10"/>
        <v>65829.944640202564</v>
      </c>
      <c r="P56" s="104">
        <f t="shared" ca="1" si="10"/>
        <v>65815.191178830937</v>
      </c>
      <c r="Q56" s="104">
        <f t="shared" ca="1" si="10"/>
        <v>65829.944640202564</v>
      </c>
      <c r="R56" s="104">
        <f t="shared" ca="1" si="10"/>
        <v>65815.191178830937</v>
      </c>
      <c r="S56" s="104">
        <f t="shared" ca="1" si="10"/>
        <v>65829.944640202564</v>
      </c>
      <c r="T56" s="104">
        <f t="shared" ca="1" si="10"/>
        <v>65815.191178830937</v>
      </c>
      <c r="U56" s="104">
        <f t="shared" ca="1" si="10"/>
        <v>65829.944640202564</v>
      </c>
      <c r="V56" s="104">
        <f t="shared" ca="1" si="10"/>
        <v>65815.191178830937</v>
      </c>
      <c r="W56" s="105">
        <f t="shared" ca="1" si="10"/>
        <v>32914.972320101282</v>
      </c>
      <c r="X56" s="102">
        <f t="shared" ca="1" si="3"/>
        <v>1475346.1371627653</v>
      </c>
    </row>
    <row r="57" spans="1:24" ht="15" customHeight="1">
      <c r="A57" s="70">
        <f>IF('Cash Flow Analysis'!C73="","",'Cash Flow Analysis'!C73)</f>
        <v>6</v>
      </c>
      <c r="B57" s="868">
        <f ca="1">IF(A57="","",IF(A57&lt;1,0,IF(A57=1,$B$44-'Cash Flow Analysis'!I73,-'Cash Flow Analysis'!I73)))</f>
        <v>1503377.7137688571</v>
      </c>
      <c r="C57" s="103">
        <f t="shared" ref="C57:W57" ca="1" si="11">IF($B$57="","",IF(AND($B$42="Straight Line",C48&lt;=depr_length),$B$57/depr_length,IF(AND($B$42="MACRS",C48&lt;=depr_length+1),$B$57*INDEX(MACRS_Table,MATCH(C48,recovery_year,0),MATCH($B$43,recovery_period,0)),"")))</f>
        <v>56376.66426633214</v>
      </c>
      <c r="D57" s="104">
        <f t="shared" ca="1" si="11"/>
        <v>108528.83715697379</v>
      </c>
      <c r="E57" s="104">
        <f t="shared" ca="1" si="11"/>
        <v>100380.52994834658</v>
      </c>
      <c r="F57" s="104">
        <f t="shared" ca="1" si="11"/>
        <v>92863.641379502296</v>
      </c>
      <c r="G57" s="104">
        <f t="shared" ca="1" si="11"/>
        <v>85887.968787614809</v>
      </c>
      <c r="H57" s="104">
        <f t="shared" ca="1" si="11"/>
        <v>79453.512172684103</v>
      </c>
      <c r="I57" s="104">
        <f t="shared" ca="1" si="11"/>
        <v>73485.102649021734</v>
      </c>
      <c r="J57" s="104">
        <f t="shared" ca="1" si="11"/>
        <v>67982.740216627717</v>
      </c>
      <c r="K57" s="104">
        <f t="shared" ca="1" si="11"/>
        <v>67080.713588366401</v>
      </c>
      <c r="L57" s="104">
        <f t="shared" ca="1" si="11"/>
        <v>67065.679811228707</v>
      </c>
      <c r="M57" s="104">
        <f t="shared" ca="1" si="11"/>
        <v>67080.713588366401</v>
      </c>
      <c r="N57" s="104">
        <f t="shared" ca="1" si="11"/>
        <v>67065.679811228707</v>
      </c>
      <c r="O57" s="104">
        <f t="shared" ca="1" si="11"/>
        <v>67080.713588366401</v>
      </c>
      <c r="P57" s="104">
        <f t="shared" ca="1" si="11"/>
        <v>67065.679811228707</v>
      </c>
      <c r="Q57" s="104">
        <f t="shared" ca="1" si="11"/>
        <v>67080.713588366401</v>
      </c>
      <c r="R57" s="104">
        <f t="shared" ca="1" si="11"/>
        <v>67065.679811228707</v>
      </c>
      <c r="S57" s="104">
        <f t="shared" ca="1" si="11"/>
        <v>67080.713588366401</v>
      </c>
      <c r="T57" s="104">
        <f t="shared" ca="1" si="11"/>
        <v>67065.679811228707</v>
      </c>
      <c r="U57" s="104">
        <f t="shared" ca="1" si="11"/>
        <v>67080.713588366401</v>
      </c>
      <c r="V57" s="104">
        <f t="shared" ca="1" si="11"/>
        <v>67065.679811228707</v>
      </c>
      <c r="W57" s="105">
        <f t="shared" ca="1" si="11"/>
        <v>33540.356794183201</v>
      </c>
      <c r="X57" s="102">
        <f t="shared" ca="1" si="3"/>
        <v>1503377.7137688573</v>
      </c>
    </row>
    <row r="58" spans="1:24" ht="15" customHeight="1">
      <c r="A58" s="70">
        <f>IF('Cash Flow Analysis'!C74="","",'Cash Flow Analysis'!C74)</f>
        <v>7</v>
      </c>
      <c r="B58" s="868">
        <f ca="1">IF(A58="","",IF(A58&lt;1,0,IF(A58=1,$B$44-'Cash Flow Analysis'!I74,-'Cash Flow Analysis'!I74)))</f>
        <v>1531941.8903304655</v>
      </c>
      <c r="C58" s="103">
        <f t="shared" ref="C58:W58" ca="1" si="12">IF($B$58="","",IF(AND($B$42="Straight Line",C48&lt;=depr_length),$B$58/depr_length,IF(AND($B$42="MACRS",C48&lt;=depr_length+1),$B$58*INDEX(MACRS_Table,MATCH(C48,recovery_year,0),MATCH($B$43,recovery_period,0)),"")))</f>
        <v>57447.820887392452</v>
      </c>
      <c r="D58" s="104">
        <f t="shared" ca="1" si="12"/>
        <v>110590.88506295631</v>
      </c>
      <c r="E58" s="104">
        <f t="shared" ca="1" si="12"/>
        <v>102287.76001736517</v>
      </c>
      <c r="F58" s="104">
        <f t="shared" ca="1" si="12"/>
        <v>94628.050565712852</v>
      </c>
      <c r="G58" s="104">
        <f t="shared" ca="1" si="12"/>
        <v>87519.84019457949</v>
      </c>
      <c r="H58" s="104">
        <f t="shared" ca="1" si="12"/>
        <v>80963.128903965102</v>
      </c>
      <c r="I58" s="104">
        <f t="shared" ca="1" si="12"/>
        <v>74881.319599353155</v>
      </c>
      <c r="J58" s="104">
        <f t="shared" ca="1" si="12"/>
        <v>69274.412280743651</v>
      </c>
      <c r="K58" s="104">
        <f t="shared" ca="1" si="12"/>
        <v>68355.247146545371</v>
      </c>
      <c r="L58" s="104">
        <f t="shared" ca="1" si="12"/>
        <v>68339.927727642062</v>
      </c>
      <c r="M58" s="104">
        <f t="shared" ca="1" si="12"/>
        <v>68355.247146545371</v>
      </c>
      <c r="N58" s="104">
        <f t="shared" ca="1" si="12"/>
        <v>68339.927727642062</v>
      </c>
      <c r="O58" s="104">
        <f t="shared" ca="1" si="12"/>
        <v>68355.247146545371</v>
      </c>
      <c r="P58" s="104">
        <f t="shared" ca="1" si="12"/>
        <v>68339.927727642062</v>
      </c>
      <c r="Q58" s="104">
        <f t="shared" ca="1" si="12"/>
        <v>68355.247146545371</v>
      </c>
      <c r="R58" s="104">
        <f t="shared" ca="1" si="12"/>
        <v>68339.927727642062</v>
      </c>
      <c r="S58" s="104">
        <f t="shared" ca="1" si="12"/>
        <v>68355.247146545371</v>
      </c>
      <c r="T58" s="104">
        <f t="shared" ca="1" si="12"/>
        <v>68339.927727642062</v>
      </c>
      <c r="U58" s="104">
        <f t="shared" ca="1" si="12"/>
        <v>68355.247146545371</v>
      </c>
      <c r="V58" s="104">
        <f t="shared" ca="1" si="12"/>
        <v>68339.927727642062</v>
      </c>
      <c r="W58" s="105">
        <f t="shared" ca="1" si="12"/>
        <v>34177.623573272685</v>
      </c>
      <c r="X58" s="102">
        <f t="shared" ca="1" si="3"/>
        <v>1531941.8903304655</v>
      </c>
    </row>
    <row r="59" spans="1:24" ht="15" customHeight="1">
      <c r="A59" s="70">
        <f>IF('Cash Flow Analysis'!C75="","",'Cash Flow Analysis'!C75)</f>
        <v>8</v>
      </c>
      <c r="B59" s="868">
        <f ca="1">IF(A59="","",IF(A59&lt;1,0,IF(A59=1,$B$44-'Cash Flow Analysis'!I75,-'Cash Flow Analysis'!I75)))</f>
        <v>1561048.7862467442</v>
      </c>
      <c r="C59" s="103">
        <f t="shared" ref="C59:W59" ca="1" si="13">IF($B$59="","",IF(AND($B$42="Straight Line",C48&lt;=depr_length),$B$59/depr_length,IF(AND($B$42="MACRS",C48&lt;=depr_length+1),$B$59*INDEX(MACRS_Table,MATCH(C48,recovery_year,0),MATCH($B$43,recovery_period,0)),"")))</f>
        <v>58539.329484252907</v>
      </c>
      <c r="D59" s="104">
        <f t="shared" ca="1" si="13"/>
        <v>112692.11187915248</v>
      </c>
      <c r="E59" s="104">
        <f t="shared" ca="1" si="13"/>
        <v>104231.2274576951</v>
      </c>
      <c r="F59" s="104">
        <f t="shared" ca="1" si="13"/>
        <v>96425.983526461394</v>
      </c>
      <c r="G59" s="104">
        <f t="shared" ca="1" si="13"/>
        <v>89182.7171582765</v>
      </c>
      <c r="H59" s="104">
        <f t="shared" ca="1" si="13"/>
        <v>82501.428353140436</v>
      </c>
      <c r="I59" s="104">
        <f t="shared" ca="1" si="13"/>
        <v>76304.064671740853</v>
      </c>
      <c r="J59" s="104">
        <f t="shared" ca="1" si="13"/>
        <v>70590.626114077779</v>
      </c>
      <c r="K59" s="104">
        <f t="shared" ca="1" si="13"/>
        <v>69653.996842329725</v>
      </c>
      <c r="L59" s="104">
        <f t="shared" ca="1" si="13"/>
        <v>69638.386354467249</v>
      </c>
      <c r="M59" s="104">
        <f t="shared" ca="1" si="13"/>
        <v>69653.996842329725</v>
      </c>
      <c r="N59" s="104">
        <f t="shared" ca="1" si="13"/>
        <v>69638.386354467249</v>
      </c>
      <c r="O59" s="104">
        <f t="shared" ca="1" si="13"/>
        <v>69653.996842329725</v>
      </c>
      <c r="P59" s="104">
        <f t="shared" ca="1" si="13"/>
        <v>69638.386354467249</v>
      </c>
      <c r="Q59" s="104">
        <f t="shared" ca="1" si="13"/>
        <v>69653.996842329725</v>
      </c>
      <c r="R59" s="104">
        <f t="shared" ca="1" si="13"/>
        <v>69638.386354467249</v>
      </c>
      <c r="S59" s="104">
        <f t="shared" ca="1" si="13"/>
        <v>69653.996842329725</v>
      </c>
      <c r="T59" s="104">
        <f t="shared" ca="1" si="13"/>
        <v>69638.386354467249</v>
      </c>
      <c r="U59" s="104">
        <f t="shared" ca="1" si="13"/>
        <v>69653.996842329725</v>
      </c>
      <c r="V59" s="104">
        <f t="shared" ca="1" si="13"/>
        <v>69638.386354467249</v>
      </c>
      <c r="W59" s="105">
        <f t="shared" ca="1" si="13"/>
        <v>34826.998421164863</v>
      </c>
      <c r="X59" s="102">
        <f t="shared" ca="1" si="3"/>
        <v>1561048.7862467438</v>
      </c>
    </row>
    <row r="60" spans="1:24" ht="15" customHeight="1">
      <c r="A60" s="70">
        <f>IF('Cash Flow Analysis'!C76="","",'Cash Flow Analysis'!C76)</f>
        <v>9</v>
      </c>
      <c r="B60" s="868">
        <f ca="1">IF(A60="","",IF(A60&lt;1,0,IF(A60=1,$B$44-'Cash Flow Analysis'!I76,-'Cash Flow Analysis'!I76)))</f>
        <v>1590708.7131854321</v>
      </c>
      <c r="C60" s="103">
        <f t="shared" ref="C60:W60" ca="1" si="14">IF($B$60="","",IF(AND($B$42="Straight Line",C48&lt;=depr_length),$B$60/depr_length,IF(AND($B$42="MACRS",C48&lt;=depr_length+1),$B$60*INDEX(MACRS_Table,MATCH(C48,recovery_year,0),MATCH($B$43,recovery_period,0)),"")))</f>
        <v>59651.576744453705</v>
      </c>
      <c r="D60" s="104">
        <f t="shared" ca="1" si="14"/>
        <v>114833.26200485635</v>
      </c>
      <c r="E60" s="104">
        <f t="shared" ca="1" si="14"/>
        <v>106211.62077939129</v>
      </c>
      <c r="F60" s="104">
        <f t="shared" ca="1" si="14"/>
        <v>98258.077213464145</v>
      </c>
      <c r="G60" s="104">
        <f t="shared" ca="1" si="14"/>
        <v>90877.188784283731</v>
      </c>
      <c r="H60" s="104">
        <f t="shared" ca="1" si="14"/>
        <v>84068.955491850094</v>
      </c>
      <c r="I60" s="104">
        <f t="shared" ca="1" si="14"/>
        <v>77753.841900503918</v>
      </c>
      <c r="J60" s="104">
        <f t="shared" ca="1" si="14"/>
        <v>71931.848010245245</v>
      </c>
      <c r="K60" s="104">
        <f t="shared" ca="1" si="14"/>
        <v>70977.422782333975</v>
      </c>
      <c r="L60" s="104">
        <f t="shared" ca="1" si="14"/>
        <v>70961.515695202121</v>
      </c>
      <c r="M60" s="104">
        <f t="shared" ca="1" si="14"/>
        <v>70977.422782333975</v>
      </c>
      <c r="N60" s="104">
        <f t="shared" ca="1" si="14"/>
        <v>70961.515695202121</v>
      </c>
      <c r="O60" s="104">
        <f t="shared" ca="1" si="14"/>
        <v>70977.422782333975</v>
      </c>
      <c r="P60" s="104">
        <f t="shared" ca="1" si="14"/>
        <v>70961.515695202121</v>
      </c>
      <c r="Q60" s="104">
        <f t="shared" ca="1" si="14"/>
        <v>70977.422782333975</v>
      </c>
      <c r="R60" s="104">
        <f t="shared" ca="1" si="14"/>
        <v>70961.515695202121</v>
      </c>
      <c r="S60" s="104">
        <f t="shared" ca="1" si="14"/>
        <v>70977.422782333975</v>
      </c>
      <c r="T60" s="104">
        <f t="shared" ca="1" si="14"/>
        <v>70961.515695202121</v>
      </c>
      <c r="U60" s="104">
        <f t="shared" ca="1" si="14"/>
        <v>70977.422782333975</v>
      </c>
      <c r="V60" s="104">
        <f t="shared" ca="1" si="14"/>
        <v>70961.515695202121</v>
      </c>
      <c r="W60" s="105">
        <f t="shared" ca="1" si="14"/>
        <v>35488.711391166988</v>
      </c>
      <c r="X60" s="102">
        <f t="shared" ca="1" si="3"/>
        <v>1590708.7131854328</v>
      </c>
    </row>
    <row r="61" spans="1:24" ht="15" customHeight="1">
      <c r="A61" s="70">
        <f>IF('Cash Flow Analysis'!C77="","",'Cash Flow Analysis'!C77)</f>
        <v>10</v>
      </c>
      <c r="B61" s="868">
        <f ca="1">IF(A61="","",IF(A61&lt;1,0,IF(A61=1,$B$44-'Cash Flow Analysis'!I77,-'Cash Flow Analysis'!I77)))</f>
        <v>1620932.1787359554</v>
      </c>
      <c r="C61" s="103">
        <f t="shared" ref="C61:W61" ca="1" si="15">IF($B$61="","",IF(AND($B$42="Straight Line",C48&lt;=depr_length),$B$61/depr_length,IF(AND($B$42="MACRS",C48&lt;=depr_length+1),$B$61*INDEX(MACRS_Table,MATCH(C48,recovery_year,0),MATCH($B$43,recovery_period,0)),"")))</f>
        <v>60784.956702598327</v>
      </c>
      <c r="D61" s="104">
        <f t="shared" ca="1" si="15"/>
        <v>117015.09398294863</v>
      </c>
      <c r="E61" s="104">
        <f t="shared" ca="1" si="15"/>
        <v>108229.64157419973</v>
      </c>
      <c r="F61" s="104">
        <f t="shared" ca="1" si="15"/>
        <v>100124.98068051996</v>
      </c>
      <c r="G61" s="104">
        <f t="shared" ca="1" si="15"/>
        <v>92603.855371185127</v>
      </c>
      <c r="H61" s="104">
        <f t="shared" ca="1" si="15"/>
        <v>85666.265646195243</v>
      </c>
      <c r="I61" s="104">
        <f t="shared" ca="1" si="15"/>
        <v>79231.164896613496</v>
      </c>
      <c r="J61" s="104">
        <f t="shared" ca="1" si="15"/>
        <v>73298.553122439902</v>
      </c>
      <c r="K61" s="104">
        <f t="shared" ca="1" si="15"/>
        <v>72325.993815198322</v>
      </c>
      <c r="L61" s="104">
        <f t="shared" ca="1" si="15"/>
        <v>72309.78449341096</v>
      </c>
      <c r="M61" s="104">
        <f t="shared" ca="1" si="15"/>
        <v>72325.993815198322</v>
      </c>
      <c r="N61" s="104">
        <f t="shared" ca="1" si="15"/>
        <v>72309.78449341096</v>
      </c>
      <c r="O61" s="104">
        <f t="shared" ca="1" si="15"/>
        <v>72325.993815198322</v>
      </c>
      <c r="P61" s="104">
        <f t="shared" ca="1" si="15"/>
        <v>72309.78449341096</v>
      </c>
      <c r="Q61" s="104">
        <f t="shared" ca="1" si="15"/>
        <v>72325.993815198322</v>
      </c>
      <c r="R61" s="104">
        <f t="shared" ca="1" si="15"/>
        <v>72309.78449341096</v>
      </c>
      <c r="S61" s="104">
        <f t="shared" ca="1" si="15"/>
        <v>72325.993815198322</v>
      </c>
      <c r="T61" s="104">
        <f t="shared" ca="1" si="15"/>
        <v>72309.78449341096</v>
      </c>
      <c r="U61" s="104">
        <f t="shared" ca="1" si="15"/>
        <v>72325.993815198322</v>
      </c>
      <c r="V61" s="104">
        <f t="shared" ca="1" si="15"/>
        <v>72309.78449341096</v>
      </c>
      <c r="W61" s="105">
        <f t="shared" ca="1" si="15"/>
        <v>36162.996907599161</v>
      </c>
      <c r="X61" s="102">
        <f t="shared" ca="1" si="3"/>
        <v>1620932.1787359552</v>
      </c>
    </row>
    <row r="62" spans="1:24" ht="15" customHeight="1">
      <c r="A62" s="70">
        <f>IF('Cash Flow Analysis'!C78="","",'Cash Flow Analysis'!C78)</f>
        <v>11</v>
      </c>
      <c r="B62" s="868">
        <f ca="1">IF(A62="","",IF(A62&lt;1,0,IF(A62=1,$B$44-'Cash Flow Analysis'!I78,-'Cash Flow Analysis'!I78)))</f>
        <v>1651729.8901319385</v>
      </c>
      <c r="C62" s="103">
        <f t="shared" ref="C62:W62" ca="1" si="16">IF($B$62="","",IF(AND($B$42="Straight Line",C48&lt;=depr_length),$B$62/depr_length,IF(AND($B$42="MACRS",C48&lt;=depr_length+1),$B$62*INDEX(MACRS_Table,MATCH(C48,recovery_year,0),MATCH($B$43,recovery_period,0)),"")))</f>
        <v>61939.870879947688</v>
      </c>
      <c r="D62" s="104">
        <f t="shared" ca="1" si="16"/>
        <v>119238.38076862464</v>
      </c>
      <c r="E62" s="104">
        <f t="shared" ca="1" si="16"/>
        <v>110286.00476410953</v>
      </c>
      <c r="F62" s="104">
        <f t="shared" ca="1" si="16"/>
        <v>102027.35531344984</v>
      </c>
      <c r="G62" s="104">
        <f t="shared" ca="1" si="16"/>
        <v>94363.328623237641</v>
      </c>
      <c r="H62" s="104">
        <f t="shared" ca="1" si="16"/>
        <v>87293.924693472945</v>
      </c>
      <c r="I62" s="104">
        <f t="shared" ca="1" si="16"/>
        <v>80736.55702964915</v>
      </c>
      <c r="J62" s="104">
        <f t="shared" ca="1" si="16"/>
        <v>74691.225631766269</v>
      </c>
      <c r="K62" s="104">
        <f t="shared" ca="1" si="16"/>
        <v>73700.187697687099</v>
      </c>
      <c r="L62" s="104">
        <f t="shared" ca="1" si="16"/>
        <v>73683.670398785776</v>
      </c>
      <c r="M62" s="104">
        <f t="shared" ca="1" si="16"/>
        <v>73700.187697687099</v>
      </c>
      <c r="N62" s="104">
        <f t="shared" ca="1" si="16"/>
        <v>73683.670398785776</v>
      </c>
      <c r="O62" s="104">
        <f t="shared" ca="1" si="16"/>
        <v>73700.187697687099</v>
      </c>
      <c r="P62" s="104">
        <f t="shared" ca="1" si="16"/>
        <v>73683.670398785776</v>
      </c>
      <c r="Q62" s="104">
        <f t="shared" ca="1" si="16"/>
        <v>73700.187697687099</v>
      </c>
      <c r="R62" s="104">
        <f t="shared" ca="1" si="16"/>
        <v>73683.670398785776</v>
      </c>
      <c r="S62" s="104">
        <f t="shared" ca="1" si="16"/>
        <v>73700.187697687099</v>
      </c>
      <c r="T62" s="104">
        <f t="shared" ca="1" si="16"/>
        <v>73683.670398785776</v>
      </c>
      <c r="U62" s="104">
        <f t="shared" ca="1" si="16"/>
        <v>73700.187697687099</v>
      </c>
      <c r="V62" s="104">
        <f t="shared" ca="1" si="16"/>
        <v>73683.670398785776</v>
      </c>
      <c r="W62" s="105">
        <f t="shared" ca="1" si="16"/>
        <v>36850.093848843549</v>
      </c>
      <c r="X62" s="102">
        <f t="shared" ca="1" si="3"/>
        <v>1651729.8901319385</v>
      </c>
    </row>
    <row r="63" spans="1:24" ht="15" customHeight="1">
      <c r="A63" s="70">
        <f>IF('Cash Flow Analysis'!C79="","",'Cash Flow Analysis'!C79)</f>
        <v>12</v>
      </c>
      <c r="B63" s="868">
        <f ca="1">IF(A63="","",IF(A63&lt;1,0,IF(A63=1,$B$44-'Cash Flow Analysis'!I79,-'Cash Flow Analysis'!I79)))</f>
        <v>1683112.7580444452</v>
      </c>
      <c r="C63" s="103">
        <f t="shared" ref="C63:W63" ca="1" si="17">IF($B$63="","",IF(AND($B$42="Straight Line",C48&lt;=depr_length),$B$63/depr_length,IF(AND($B$42="MACRS",C48&lt;=depr_length+1),$B$63*INDEX(MACRS_Table,MATCH(C48,recovery_year,0),MATCH($B$43,recovery_period,0)),"")))</f>
        <v>63116.72842666669</v>
      </c>
      <c r="D63" s="104">
        <f t="shared" ca="1" si="17"/>
        <v>121503.91000322851</v>
      </c>
      <c r="E63" s="104">
        <f t="shared" ca="1" si="17"/>
        <v>112381.4388546276</v>
      </c>
      <c r="F63" s="104">
        <f t="shared" ca="1" si="17"/>
        <v>103965.87506440538</v>
      </c>
      <c r="G63" s="104">
        <f t="shared" ca="1" si="17"/>
        <v>96156.231867079157</v>
      </c>
      <c r="H63" s="104">
        <f t="shared" ca="1" si="17"/>
        <v>88952.509262648935</v>
      </c>
      <c r="I63" s="104">
        <f t="shared" ca="1" si="17"/>
        <v>82270.551613212476</v>
      </c>
      <c r="J63" s="104">
        <f t="shared" ca="1" si="17"/>
        <v>76110.358918769824</v>
      </c>
      <c r="K63" s="104">
        <f t="shared" ca="1" si="17"/>
        <v>75100.491263943142</v>
      </c>
      <c r="L63" s="104">
        <f t="shared" ca="1" si="17"/>
        <v>75083.660136362698</v>
      </c>
      <c r="M63" s="104">
        <f t="shared" ca="1" si="17"/>
        <v>75100.491263943142</v>
      </c>
      <c r="N63" s="104">
        <f t="shared" ca="1" si="17"/>
        <v>75083.660136362698</v>
      </c>
      <c r="O63" s="104">
        <f t="shared" ca="1" si="17"/>
        <v>75100.491263943142</v>
      </c>
      <c r="P63" s="104">
        <f t="shared" ca="1" si="17"/>
        <v>75083.660136362698</v>
      </c>
      <c r="Q63" s="104">
        <f t="shared" ca="1" si="17"/>
        <v>75100.491263943142</v>
      </c>
      <c r="R63" s="104">
        <f t="shared" ca="1" si="17"/>
        <v>75083.660136362698</v>
      </c>
      <c r="S63" s="104">
        <f t="shared" ca="1" si="17"/>
        <v>75100.491263943142</v>
      </c>
      <c r="T63" s="104">
        <f t="shared" ca="1" si="17"/>
        <v>75083.660136362698</v>
      </c>
      <c r="U63" s="104">
        <f t="shared" ca="1" si="17"/>
        <v>75100.491263943142</v>
      </c>
      <c r="V63" s="104">
        <f t="shared" ca="1" si="17"/>
        <v>75083.660136362698</v>
      </c>
      <c r="W63" s="105">
        <f t="shared" ca="1" si="17"/>
        <v>37550.245631971571</v>
      </c>
      <c r="X63" s="102">
        <f t="shared" ca="1" si="3"/>
        <v>1683112.758044445</v>
      </c>
    </row>
    <row r="64" spans="1:24" ht="15" customHeight="1">
      <c r="A64" s="70">
        <f>IF('Cash Flow Analysis'!C80="","",'Cash Flow Analysis'!C80)</f>
        <v>13</v>
      </c>
      <c r="B64" s="868">
        <f ca="1">IF(A64="","",IF(A64&lt;1,0,IF(A64=1,$B$44-'Cash Flow Analysis'!I80,-'Cash Flow Analysis'!I80)))</f>
        <v>1715091.9004472895</v>
      </c>
      <c r="C64" s="103">
        <f t="shared" ref="C64:W64" ca="1" si="18">IF($B$64="","",IF(AND($B$42="Straight Line",C48&lt;=depr_length),$B$64/depr_length,IF(AND($B$42="MACRS",C48&lt;=depr_length+1),$B$64*INDEX(MACRS_Table,MATCH(C48,recovery_year,0),MATCH($B$43,recovery_period,0)),"")))</f>
        <v>64315.946266773353</v>
      </c>
      <c r="D64" s="104">
        <f t="shared" ca="1" si="18"/>
        <v>123812.48429328983</v>
      </c>
      <c r="E64" s="104">
        <f t="shared" ca="1" si="18"/>
        <v>114516.68619286551</v>
      </c>
      <c r="F64" s="104">
        <f t="shared" ca="1" si="18"/>
        <v>105941.22669062906</v>
      </c>
      <c r="G64" s="104">
        <f t="shared" ca="1" si="18"/>
        <v>97983.200272553644</v>
      </c>
      <c r="H64" s="104">
        <f t="shared" ca="1" si="18"/>
        <v>90642.606938639248</v>
      </c>
      <c r="I64" s="104">
        <f t="shared" ca="1" si="18"/>
        <v>83833.692093863516</v>
      </c>
      <c r="J64" s="104">
        <f t="shared" ca="1" si="18"/>
        <v>77556.455738226432</v>
      </c>
      <c r="K64" s="104">
        <f t="shared" ca="1" si="18"/>
        <v>76527.400597958054</v>
      </c>
      <c r="L64" s="104">
        <f t="shared" ca="1" si="18"/>
        <v>76510.24967895358</v>
      </c>
      <c r="M64" s="104">
        <f t="shared" ca="1" si="18"/>
        <v>76527.400597958054</v>
      </c>
      <c r="N64" s="104">
        <f t="shared" ca="1" si="18"/>
        <v>76510.24967895358</v>
      </c>
      <c r="O64" s="104">
        <f t="shared" ca="1" si="18"/>
        <v>76527.400597958054</v>
      </c>
      <c r="P64" s="104">
        <f t="shared" ca="1" si="18"/>
        <v>76510.24967895358</v>
      </c>
      <c r="Q64" s="104">
        <f t="shared" ca="1" si="18"/>
        <v>76527.400597958054</v>
      </c>
      <c r="R64" s="104">
        <f t="shared" ca="1" si="18"/>
        <v>76510.24967895358</v>
      </c>
      <c r="S64" s="104">
        <f t="shared" ca="1" si="18"/>
        <v>76527.400597958054</v>
      </c>
      <c r="T64" s="104">
        <f t="shared" ca="1" si="18"/>
        <v>76510.24967895358</v>
      </c>
      <c r="U64" s="104">
        <f t="shared" ca="1" si="18"/>
        <v>76527.400597958054</v>
      </c>
      <c r="V64" s="104">
        <f t="shared" ca="1" si="18"/>
        <v>76510.24967895358</v>
      </c>
      <c r="W64" s="105">
        <f t="shared" ca="1" si="18"/>
        <v>38263.700298979027</v>
      </c>
      <c r="X64" s="102">
        <f t="shared" ca="1" si="3"/>
        <v>1715091.9004472895</v>
      </c>
    </row>
    <row r="65" spans="1:24" ht="15" customHeight="1">
      <c r="A65" s="70">
        <f>IF('Cash Flow Analysis'!C81="","",'Cash Flow Analysis'!C81)</f>
        <v>14</v>
      </c>
      <c r="B65" s="868">
        <f ca="1">IF(A65="","",IF(A65&lt;1,0,IF(A65=1,$B$44-'Cash Flow Analysis'!I81,-'Cash Flow Analysis'!I81)))</f>
        <v>1747678.6465557877</v>
      </c>
      <c r="C65" s="103">
        <f t="shared" ref="C65:W65" ca="1" si="19">IF($B$65="","",IF(AND($B$42="Straight Line",C48&lt;=depr_length),$B$65/depr_length,IF(AND($B$42="MACRS",C48&lt;=depr_length+1),$B$65*INDEX(MACRS_Table,MATCH(C48,recovery_year,0),MATCH($B$43,recovery_period,0)),"")))</f>
        <v>65537.949245842028</v>
      </c>
      <c r="D65" s="104">
        <f t="shared" ca="1" si="19"/>
        <v>126164.92149486231</v>
      </c>
      <c r="E65" s="104">
        <f t="shared" ca="1" si="19"/>
        <v>116692.50323052994</v>
      </c>
      <c r="F65" s="104">
        <f t="shared" ca="1" si="19"/>
        <v>107954.109997751</v>
      </c>
      <c r="G65" s="104">
        <f t="shared" ca="1" si="19"/>
        <v>99844.881077732149</v>
      </c>
      <c r="H65" s="104">
        <f t="shared" ca="1" si="19"/>
        <v>92364.816470473379</v>
      </c>
      <c r="I65" s="104">
        <f t="shared" ca="1" si="19"/>
        <v>85426.5322436469</v>
      </c>
      <c r="J65" s="104">
        <f t="shared" ca="1" si="19"/>
        <v>79030.028397252725</v>
      </c>
      <c r="K65" s="104">
        <f t="shared" ca="1" si="19"/>
        <v>77981.421209319247</v>
      </c>
      <c r="L65" s="104">
        <f t="shared" ca="1" si="19"/>
        <v>77963.944422853689</v>
      </c>
      <c r="M65" s="104">
        <f t="shared" ca="1" si="19"/>
        <v>77981.421209319247</v>
      </c>
      <c r="N65" s="104">
        <f t="shared" ca="1" si="19"/>
        <v>77963.944422853689</v>
      </c>
      <c r="O65" s="104">
        <f t="shared" ca="1" si="19"/>
        <v>77981.421209319247</v>
      </c>
      <c r="P65" s="104">
        <f t="shared" ca="1" si="19"/>
        <v>77963.944422853689</v>
      </c>
      <c r="Q65" s="104">
        <f t="shared" ca="1" si="19"/>
        <v>77981.421209319247</v>
      </c>
      <c r="R65" s="104">
        <f t="shared" ca="1" si="19"/>
        <v>77963.944422853689</v>
      </c>
      <c r="S65" s="104">
        <f t="shared" ca="1" si="19"/>
        <v>77981.421209319247</v>
      </c>
      <c r="T65" s="104">
        <f t="shared" ca="1" si="19"/>
        <v>77963.944422853689</v>
      </c>
      <c r="U65" s="104">
        <f t="shared" ca="1" si="19"/>
        <v>77981.421209319247</v>
      </c>
      <c r="V65" s="104">
        <f t="shared" ca="1" si="19"/>
        <v>77963.944422853689</v>
      </c>
      <c r="W65" s="105">
        <f t="shared" ca="1" si="19"/>
        <v>38990.710604659624</v>
      </c>
      <c r="X65" s="102">
        <f t="shared" ca="1" si="3"/>
        <v>1747678.6465557874</v>
      </c>
    </row>
    <row r="66" spans="1:24" ht="15" customHeight="1">
      <c r="A66" s="70">
        <f>IF('Cash Flow Analysis'!C82="","",'Cash Flow Analysis'!C82)</f>
        <v>15</v>
      </c>
      <c r="B66" s="868">
        <f ca="1">IF(A66="","",IF(A66&lt;1,0,IF(A66=1,$B$44-'Cash Flow Analysis'!I82,-'Cash Flow Analysis'!I82)))</f>
        <v>1780884.540840348</v>
      </c>
      <c r="C66" s="103">
        <f t="shared" ref="C66:W66" ca="1" si="20">IF($B$66="","",IF(AND($B$42="Straight Line",C48&lt;=depr_length),$B$66/depr_length,IF(AND($B$42="MACRS",C48&lt;=depr_length+1),$B$66*INDEX(MACRS_Table,MATCH(C48,recovery_year,0),MATCH($B$43,recovery_period,0)),"")))</f>
        <v>66783.170281513041</v>
      </c>
      <c r="D66" s="104">
        <f t="shared" ca="1" si="20"/>
        <v>128562.05500326473</v>
      </c>
      <c r="E66" s="104">
        <f t="shared" ca="1" si="20"/>
        <v>118909.66079191004</v>
      </c>
      <c r="F66" s="104">
        <f t="shared" ca="1" si="20"/>
        <v>110005.23808770829</v>
      </c>
      <c r="G66" s="104">
        <f t="shared" ca="1" si="20"/>
        <v>101741.93381820909</v>
      </c>
      <c r="H66" s="104">
        <f t="shared" ca="1" si="20"/>
        <v>94119.747983412395</v>
      </c>
      <c r="I66" s="104">
        <f t="shared" ca="1" si="20"/>
        <v>87049.636356276213</v>
      </c>
      <c r="J66" s="104">
        <f t="shared" ca="1" si="20"/>
        <v>80531.598936800539</v>
      </c>
      <c r="K66" s="104">
        <f t="shared" ca="1" si="20"/>
        <v>79463.068212296334</v>
      </c>
      <c r="L66" s="104">
        <f t="shared" ca="1" si="20"/>
        <v>79445.259366887913</v>
      </c>
      <c r="M66" s="104">
        <f t="shared" ca="1" si="20"/>
        <v>79463.068212296334</v>
      </c>
      <c r="N66" s="104">
        <f t="shared" ca="1" si="20"/>
        <v>79445.259366887913</v>
      </c>
      <c r="O66" s="104">
        <f t="shared" ca="1" si="20"/>
        <v>79463.068212296334</v>
      </c>
      <c r="P66" s="104">
        <f t="shared" ca="1" si="20"/>
        <v>79445.259366887913</v>
      </c>
      <c r="Q66" s="104">
        <f t="shared" ca="1" si="20"/>
        <v>79463.068212296334</v>
      </c>
      <c r="R66" s="104">
        <f t="shared" ca="1" si="20"/>
        <v>79445.259366887913</v>
      </c>
      <c r="S66" s="104">
        <f t="shared" ca="1" si="20"/>
        <v>79463.068212296334</v>
      </c>
      <c r="T66" s="104">
        <f t="shared" ca="1" si="20"/>
        <v>79445.259366887913</v>
      </c>
      <c r="U66" s="104">
        <f t="shared" ca="1" si="20"/>
        <v>79463.068212296334</v>
      </c>
      <c r="V66" s="104">
        <f t="shared" ca="1" si="20"/>
        <v>79445.259366887913</v>
      </c>
      <c r="W66" s="105">
        <f t="shared" ca="1" si="20"/>
        <v>39731.534106148167</v>
      </c>
      <c r="X66" s="102">
        <f t="shared" ca="1" si="3"/>
        <v>1780884.5408403478</v>
      </c>
    </row>
    <row r="67" spans="1:24" ht="15" customHeight="1">
      <c r="A67" s="70">
        <f>IF('Cash Flow Analysis'!C83="","",'Cash Flow Analysis'!C83)</f>
        <v>16</v>
      </c>
      <c r="B67" s="868">
        <f ca="1">IF(A67="","",IF(A67&lt;1,0,IF(A67=1,$B$44-'Cash Flow Analysis'!I83,-'Cash Flow Analysis'!I83)))</f>
        <v>1814721.3471163146</v>
      </c>
      <c r="C67" s="103">
        <f t="shared" ref="C67:W67" ca="1" si="21">IF($B$67="","",IF(AND($B$42="Straight Line",C48&lt;=depr_length),$B$67/depr_length,IF(AND($B$42="MACRS",C48&lt;=depr_length+1),$B$67*INDEX(MACRS_Table,MATCH(C48,recovery_year,0),MATCH($B$43,recovery_period,0)),"")))</f>
        <v>68052.050516861796</v>
      </c>
      <c r="D67" s="104">
        <f t="shared" ca="1" si="21"/>
        <v>131004.73404832676</v>
      </c>
      <c r="E67" s="104">
        <f t="shared" ca="1" si="21"/>
        <v>121168.94434695631</v>
      </c>
      <c r="F67" s="104">
        <f t="shared" ca="1" si="21"/>
        <v>112095.33761137475</v>
      </c>
      <c r="G67" s="104">
        <f t="shared" ca="1" si="21"/>
        <v>103675.03056075505</v>
      </c>
      <c r="H67" s="104">
        <f t="shared" ca="1" si="21"/>
        <v>95908.023195097223</v>
      </c>
      <c r="I67" s="104">
        <f t="shared" ca="1" si="21"/>
        <v>88703.579447045457</v>
      </c>
      <c r="J67" s="104">
        <f t="shared" ca="1" si="21"/>
        <v>82061.699316599756</v>
      </c>
      <c r="K67" s="104">
        <f t="shared" ca="1" si="21"/>
        <v>80972.866508329957</v>
      </c>
      <c r="L67" s="104">
        <f t="shared" ca="1" si="21"/>
        <v>80954.719294858791</v>
      </c>
      <c r="M67" s="104">
        <f t="shared" ca="1" si="21"/>
        <v>80972.866508329957</v>
      </c>
      <c r="N67" s="104">
        <f t="shared" ca="1" si="21"/>
        <v>80954.719294858791</v>
      </c>
      <c r="O67" s="104">
        <f t="shared" ca="1" si="21"/>
        <v>80972.866508329957</v>
      </c>
      <c r="P67" s="104">
        <f t="shared" ca="1" si="21"/>
        <v>80954.719294858791</v>
      </c>
      <c r="Q67" s="104">
        <f t="shared" ca="1" si="21"/>
        <v>80972.866508329957</v>
      </c>
      <c r="R67" s="104">
        <f t="shared" ca="1" si="21"/>
        <v>80954.719294858791</v>
      </c>
      <c r="S67" s="104">
        <f t="shared" ca="1" si="21"/>
        <v>80972.866508329957</v>
      </c>
      <c r="T67" s="104">
        <f t="shared" ca="1" si="21"/>
        <v>80954.719294858791</v>
      </c>
      <c r="U67" s="104">
        <f t="shared" ca="1" si="21"/>
        <v>80972.866508329957</v>
      </c>
      <c r="V67" s="104">
        <f t="shared" ca="1" si="21"/>
        <v>80954.719294858791</v>
      </c>
      <c r="W67" s="105">
        <f t="shared" ca="1" si="21"/>
        <v>40486.433254164978</v>
      </c>
      <c r="X67" s="102">
        <f t="shared" ca="1" si="3"/>
        <v>1814721.347116315</v>
      </c>
    </row>
    <row r="68" spans="1:24" ht="15" customHeight="1">
      <c r="A68" s="70">
        <f>IF('Cash Flow Analysis'!C84="","",'Cash Flow Analysis'!C84)</f>
        <v>17</v>
      </c>
      <c r="B68" s="868">
        <f ca="1">IF(A68="","",IF(A68&lt;1,0,IF(A68=1,$B$44-'Cash Flow Analysis'!I84,-'Cash Flow Analysis'!I84)))</f>
        <v>1849201.0527115243</v>
      </c>
      <c r="C68" s="103">
        <f t="shared" ref="C68:W68" ca="1" si="22">IF($B$68="","",IF(AND($B$42="Straight Line",C48&lt;=depr_length),$B$68/depr_length,IF(AND($B$42="MACRS",C48&lt;=depr_length+1),$B$68*INDEX(MACRS_Table,MATCH(C48,recovery_year,0),MATCH($B$43,recovery_period,0)),"")))</f>
        <v>69345.039476682156</v>
      </c>
      <c r="D68" s="104">
        <f t="shared" ca="1" si="22"/>
        <v>133493.82399524495</v>
      </c>
      <c r="E68" s="104">
        <f t="shared" ca="1" si="22"/>
        <v>123471.15428954847</v>
      </c>
      <c r="F68" s="104">
        <f t="shared" ca="1" si="22"/>
        <v>114225.14902599086</v>
      </c>
      <c r="G68" s="104">
        <f t="shared" ca="1" si="22"/>
        <v>105644.85614140939</v>
      </c>
      <c r="H68" s="104">
        <f t="shared" ca="1" si="22"/>
        <v>97730.275635804064</v>
      </c>
      <c r="I68" s="104">
        <f t="shared" ca="1" si="22"/>
        <v>90388.947456539303</v>
      </c>
      <c r="J68" s="104">
        <f t="shared" ca="1" si="22"/>
        <v>83620.871603615131</v>
      </c>
      <c r="K68" s="104">
        <f t="shared" ca="1" si="22"/>
        <v>82511.350971988213</v>
      </c>
      <c r="L68" s="104">
        <f t="shared" ca="1" si="22"/>
        <v>82492.858961461097</v>
      </c>
      <c r="M68" s="104">
        <f t="shared" ca="1" si="22"/>
        <v>82511.350971988213</v>
      </c>
      <c r="N68" s="104">
        <f t="shared" ca="1" si="22"/>
        <v>82492.858961461097</v>
      </c>
      <c r="O68" s="104">
        <f t="shared" ca="1" si="22"/>
        <v>82511.350971988213</v>
      </c>
      <c r="P68" s="104">
        <f t="shared" ca="1" si="22"/>
        <v>82492.858961461097</v>
      </c>
      <c r="Q68" s="104">
        <f t="shared" ca="1" si="22"/>
        <v>82511.350971988213</v>
      </c>
      <c r="R68" s="104">
        <f t="shared" ca="1" si="22"/>
        <v>82492.858961461097</v>
      </c>
      <c r="S68" s="104">
        <f t="shared" ca="1" si="22"/>
        <v>82511.350971988213</v>
      </c>
      <c r="T68" s="104">
        <f t="shared" ca="1" si="22"/>
        <v>82492.858961461097</v>
      </c>
      <c r="U68" s="104">
        <f t="shared" ca="1" si="22"/>
        <v>82511.350971988213</v>
      </c>
      <c r="V68" s="104">
        <f t="shared" ca="1" si="22"/>
        <v>82492.858961461097</v>
      </c>
      <c r="W68" s="105">
        <f t="shared" ca="1" si="22"/>
        <v>41255.675485994107</v>
      </c>
      <c r="X68" s="102">
        <f t="shared" ca="1" si="3"/>
        <v>1849201.0527115243</v>
      </c>
    </row>
    <row r="69" spans="1:24" ht="15" customHeight="1">
      <c r="A69" s="70">
        <f>IF('Cash Flow Analysis'!C85="","",'Cash Flow Analysis'!C85)</f>
        <v>18</v>
      </c>
      <c r="B69" s="868">
        <f ca="1">IF(A69="","",IF(A69&lt;1,0,IF(A69=1,$B$44-'Cash Flow Analysis'!I85,-'Cash Flow Analysis'!I85)))</f>
        <v>1884335.8727130434</v>
      </c>
      <c r="C69" s="103">
        <f t="shared" ref="C69:W69" ca="1" si="23">IF($B$69="","",IF(AND($B$42="Straight Line",C48&lt;=depr_length),$B$69/depr_length,IF(AND($B$42="MACRS",C48&lt;=depr_length+1),$B$69*INDEX(MACRS_Table,MATCH(C48,recovery_year,0),MATCH($B$43,recovery_period,0)),"")))</f>
        <v>70662.595226739126</v>
      </c>
      <c r="D69" s="104">
        <f t="shared" ca="1" si="23"/>
        <v>136030.20665115461</v>
      </c>
      <c r="E69" s="104">
        <f t="shared" ca="1" si="23"/>
        <v>125817.10622104989</v>
      </c>
      <c r="F69" s="104">
        <f t="shared" ca="1" si="23"/>
        <v>116395.42685748468</v>
      </c>
      <c r="G69" s="104">
        <f t="shared" ca="1" si="23"/>
        <v>107652.10840809617</v>
      </c>
      <c r="H69" s="104">
        <f t="shared" ca="1" si="23"/>
        <v>99587.150872884347</v>
      </c>
      <c r="I69" s="104">
        <f t="shared" ca="1" si="23"/>
        <v>92106.337458213558</v>
      </c>
      <c r="J69" s="104">
        <f t="shared" ca="1" si="23"/>
        <v>85209.668164083821</v>
      </c>
      <c r="K69" s="104">
        <f t="shared" ca="1" si="23"/>
        <v>84079.066640455989</v>
      </c>
      <c r="L69" s="104">
        <f t="shared" ca="1" si="23"/>
        <v>84060.22328172886</v>
      </c>
      <c r="M69" s="104">
        <f t="shared" ca="1" si="23"/>
        <v>84079.066640455989</v>
      </c>
      <c r="N69" s="104">
        <f t="shared" ca="1" si="23"/>
        <v>84060.22328172886</v>
      </c>
      <c r="O69" s="104">
        <f t="shared" ca="1" si="23"/>
        <v>84079.066640455989</v>
      </c>
      <c r="P69" s="104">
        <f t="shared" ca="1" si="23"/>
        <v>84060.22328172886</v>
      </c>
      <c r="Q69" s="104">
        <f t="shared" ca="1" si="23"/>
        <v>84079.066640455989</v>
      </c>
      <c r="R69" s="104">
        <f t="shared" ca="1" si="23"/>
        <v>84060.22328172886</v>
      </c>
      <c r="S69" s="104">
        <f t="shared" ca="1" si="23"/>
        <v>84079.066640455989</v>
      </c>
      <c r="T69" s="104">
        <f t="shared" ca="1" si="23"/>
        <v>84060.22328172886</v>
      </c>
      <c r="U69" s="104">
        <f t="shared" ca="1" si="23"/>
        <v>84079.066640455989</v>
      </c>
      <c r="V69" s="104">
        <f t="shared" ca="1" si="23"/>
        <v>84060.22328172886</v>
      </c>
      <c r="W69" s="105">
        <f t="shared" ca="1" si="23"/>
        <v>42039.533320227994</v>
      </c>
      <c r="X69" s="102">
        <f t="shared" ca="1" si="3"/>
        <v>1884335.8727130431</v>
      </c>
    </row>
    <row r="70" spans="1:24" ht="15" customHeight="1">
      <c r="A70" s="70">
        <f>IF('Cash Flow Analysis'!C86="","",'Cash Flow Analysis'!C86)</f>
        <v>19</v>
      </c>
      <c r="B70" s="868">
        <f ca="1">IF(A70="","",IF(A70&lt;1,0,IF(A70=1,$B$44-'Cash Flow Analysis'!I86,-'Cash Flow Analysis'!I86)))</f>
        <v>1920138.2542945908</v>
      </c>
      <c r="C70" s="103">
        <f t="shared" ref="C70:W70" ca="1" si="24">IF($B$70="","",IF(AND($B$42="Straight Line",C48&lt;=depr_length),$B$70/depr_length,IF(AND($B$42="MACRS",C48&lt;=depr_length+1),$B$70*INDEX(MACRS_Table,MATCH(C48,recovery_year,0),MATCH($B$43,recovery_period,0)),"")))</f>
        <v>72005.184536047149</v>
      </c>
      <c r="D70" s="104">
        <f t="shared" ca="1" si="24"/>
        <v>138614.78057752652</v>
      </c>
      <c r="E70" s="104">
        <f t="shared" ca="1" si="24"/>
        <v>128207.63123924982</v>
      </c>
      <c r="F70" s="104">
        <f t="shared" ca="1" si="24"/>
        <v>118606.93996777687</v>
      </c>
      <c r="G70" s="104">
        <f t="shared" ca="1" si="24"/>
        <v>109697.49846784997</v>
      </c>
      <c r="H70" s="104">
        <f t="shared" ca="1" si="24"/>
        <v>101479.30673946913</v>
      </c>
      <c r="I70" s="104">
        <f t="shared" ca="1" si="24"/>
        <v>93856.357869919593</v>
      </c>
      <c r="J70" s="104">
        <f t="shared" ca="1" si="24"/>
        <v>86828.651859201404</v>
      </c>
      <c r="K70" s="104">
        <f t="shared" ca="1" si="24"/>
        <v>85676.568906624641</v>
      </c>
      <c r="L70" s="104">
        <f t="shared" ca="1" si="24"/>
        <v>85657.367524081696</v>
      </c>
      <c r="M70" s="104">
        <f t="shared" ca="1" si="24"/>
        <v>85676.568906624641</v>
      </c>
      <c r="N70" s="104">
        <f t="shared" ca="1" si="24"/>
        <v>85657.367524081696</v>
      </c>
      <c r="O70" s="104">
        <f t="shared" ca="1" si="24"/>
        <v>85676.568906624641</v>
      </c>
      <c r="P70" s="104">
        <f t="shared" ca="1" si="24"/>
        <v>85657.367524081696</v>
      </c>
      <c r="Q70" s="104">
        <f t="shared" ca="1" si="24"/>
        <v>85676.568906624641</v>
      </c>
      <c r="R70" s="104">
        <f t="shared" ca="1" si="24"/>
        <v>85657.367524081696</v>
      </c>
      <c r="S70" s="104">
        <f t="shared" ca="1" si="24"/>
        <v>85676.568906624641</v>
      </c>
      <c r="T70" s="104">
        <f t="shared" ca="1" si="24"/>
        <v>85657.367524081696</v>
      </c>
      <c r="U70" s="104">
        <f t="shared" ca="1" si="24"/>
        <v>85676.568906624641</v>
      </c>
      <c r="V70" s="104">
        <f t="shared" ca="1" si="24"/>
        <v>85657.367524081696</v>
      </c>
      <c r="W70" s="105">
        <f t="shared" ca="1" si="24"/>
        <v>42838.284453312321</v>
      </c>
      <c r="X70" s="102">
        <f t="shared" ca="1" si="3"/>
        <v>1920138.2542945903</v>
      </c>
    </row>
    <row r="71" spans="1:24" ht="15" customHeight="1">
      <c r="A71" s="70">
        <f>IF('Cash Flow Analysis'!C87="","",'Cash Flow Analysis'!C87)</f>
        <v>20</v>
      </c>
      <c r="B71" s="868">
        <f ca="1">IF(A71="","",IF(A71&lt;1,0,IF(A71=1,$B$44-'Cash Flow Analysis'!I87,-'Cash Flow Analysis'!I87)))</f>
        <v>1956620.8811261882</v>
      </c>
      <c r="C71" s="103">
        <f t="shared" ref="C71:W71" ca="1" si="25">IF($B$71="","",IF(AND($B$42="Straight Line",C48&lt;=depr_length),$B$71/depr_length,IF(AND($B$42="MACRS",C48&lt;=depr_length+1),$B$71*INDEX(MACRS_Table,MATCH(C48,recovery_year,0),MATCH($B$43,recovery_period,0)),"")))</f>
        <v>73373.283042232055</v>
      </c>
      <c r="D71" s="104">
        <f t="shared" ca="1" si="25"/>
        <v>141248.46140849954</v>
      </c>
      <c r="E71" s="104">
        <f t="shared" ca="1" si="25"/>
        <v>130643.57623279557</v>
      </c>
      <c r="F71" s="104">
        <f t="shared" ca="1" si="25"/>
        <v>120860.47182716464</v>
      </c>
      <c r="G71" s="104">
        <f t="shared" ca="1" si="25"/>
        <v>111781.75093873913</v>
      </c>
      <c r="H71" s="104">
        <f t="shared" ca="1" si="25"/>
        <v>103407.41356751905</v>
      </c>
      <c r="I71" s="104">
        <f t="shared" ca="1" si="25"/>
        <v>95639.62866944808</v>
      </c>
      <c r="J71" s="104">
        <f t="shared" ca="1" si="25"/>
        <v>88478.396244526244</v>
      </c>
      <c r="K71" s="104">
        <f t="shared" ca="1" si="25"/>
        <v>87304.423715850513</v>
      </c>
      <c r="L71" s="104">
        <f t="shared" ca="1" si="25"/>
        <v>87284.857507039254</v>
      </c>
      <c r="M71" s="104">
        <f t="shared" ca="1" si="25"/>
        <v>87304.423715850513</v>
      </c>
      <c r="N71" s="104">
        <f t="shared" ca="1" si="25"/>
        <v>87284.857507039254</v>
      </c>
      <c r="O71" s="104">
        <f t="shared" ca="1" si="25"/>
        <v>87304.423715850513</v>
      </c>
      <c r="P71" s="104">
        <f t="shared" ca="1" si="25"/>
        <v>87284.857507039254</v>
      </c>
      <c r="Q71" s="104">
        <f t="shared" ca="1" si="25"/>
        <v>87304.423715850513</v>
      </c>
      <c r="R71" s="104">
        <f t="shared" ca="1" si="25"/>
        <v>87284.857507039254</v>
      </c>
      <c r="S71" s="104">
        <f t="shared" ca="1" si="25"/>
        <v>87304.423715850513</v>
      </c>
      <c r="T71" s="104">
        <f t="shared" ca="1" si="25"/>
        <v>87284.857507039254</v>
      </c>
      <c r="U71" s="104">
        <f t="shared" ca="1" si="25"/>
        <v>87304.423715850513</v>
      </c>
      <c r="V71" s="104">
        <f t="shared" ca="1" si="25"/>
        <v>87284.857507039254</v>
      </c>
      <c r="W71" s="105">
        <f t="shared" ca="1" si="25"/>
        <v>43652.211857925256</v>
      </c>
      <c r="X71" s="102">
        <f t="shared" ca="1" si="3"/>
        <v>1956620.8811261887</v>
      </c>
    </row>
    <row r="72" spans="1:24" ht="15" customHeight="1">
      <c r="A72" s="70">
        <f>IF('Cash Flow Analysis'!C88="","",'Cash Flow Analysis'!C88)</f>
        <v>21</v>
      </c>
      <c r="B72" s="868">
        <f ca="1">IF(A72="","",IF(A72&lt;1,0,IF(A72=1,$B$44-'Cash Flow Analysis'!I88,-'Cash Flow Analysis'!I88)))</f>
        <v>1993796.6778675856</v>
      </c>
      <c r="C72" s="103">
        <f t="shared" ref="C72:W72" ca="1" si="26">IF($B$72="","",IF(AND($B$42="Straight Line",C48&lt;=depr_length),$B$72/depr_length,IF(AND($B$42="MACRS",C48&lt;=depr_length+1),$B$72*INDEX(MACRS_Table,MATCH(C48,recovery_year,0),MATCH($B$43,recovery_period,0)),"")))</f>
        <v>74767.375420034456</v>
      </c>
      <c r="D72" s="104">
        <f t="shared" ca="1" si="26"/>
        <v>143932.182175261</v>
      </c>
      <c r="E72" s="104">
        <f t="shared" ca="1" si="26"/>
        <v>133125.80418121867</v>
      </c>
      <c r="F72" s="104">
        <f t="shared" ca="1" si="26"/>
        <v>123156.82079188076</v>
      </c>
      <c r="G72" s="104">
        <f t="shared" ca="1" si="26"/>
        <v>113905.60420657517</v>
      </c>
      <c r="H72" s="104">
        <f t="shared" ca="1" si="26"/>
        <v>105372.15442530189</v>
      </c>
      <c r="I72" s="104">
        <f t="shared" ca="1" si="26"/>
        <v>97456.781614167587</v>
      </c>
      <c r="J72" s="104">
        <f t="shared" ca="1" si="26"/>
        <v>90159.48577317223</v>
      </c>
      <c r="K72" s="104">
        <f t="shared" ca="1" si="26"/>
        <v>88963.207766451669</v>
      </c>
      <c r="L72" s="104">
        <f t="shared" ca="1" si="26"/>
        <v>88943.269799672984</v>
      </c>
      <c r="M72" s="104">
        <f t="shared" ca="1" si="26"/>
        <v>88963.207766451669</v>
      </c>
      <c r="N72" s="104">
        <f t="shared" ca="1" si="26"/>
        <v>88943.269799672984</v>
      </c>
      <c r="O72" s="104">
        <f t="shared" ca="1" si="26"/>
        <v>88963.207766451669</v>
      </c>
      <c r="P72" s="104">
        <f t="shared" ca="1" si="26"/>
        <v>88943.269799672984</v>
      </c>
      <c r="Q72" s="104">
        <f t="shared" ca="1" si="26"/>
        <v>88963.207766451669</v>
      </c>
      <c r="R72" s="104">
        <f t="shared" ca="1" si="26"/>
        <v>88943.269799672984</v>
      </c>
      <c r="S72" s="104">
        <f t="shared" ca="1" si="26"/>
        <v>88963.207766451669</v>
      </c>
      <c r="T72" s="104">
        <f t="shared" ca="1" si="26"/>
        <v>88943.269799672984</v>
      </c>
      <c r="U72" s="104">
        <f t="shared" ca="1" si="26"/>
        <v>88963.207766451669</v>
      </c>
      <c r="V72" s="104">
        <f t="shared" ca="1" si="26"/>
        <v>88943.269799672984</v>
      </c>
      <c r="W72" s="105">
        <f t="shared" ca="1" si="26"/>
        <v>44481.603883225835</v>
      </c>
      <c r="X72" s="102">
        <f t="shared" ca="1" si="3"/>
        <v>1993796.6778675856</v>
      </c>
    </row>
    <row r="73" spans="1:24" ht="15" customHeight="1">
      <c r="A73" s="70">
        <f>IF('Cash Flow Analysis'!C89="","",'Cash Flow Analysis'!C89)</f>
        <v>22</v>
      </c>
      <c r="B73" s="868">
        <f ca="1">IF(A73="","",IF(A73&lt;1,0,IF(A73=1,$B$44-'Cash Flow Analysis'!I89,-'Cash Flow Analysis'!I89)))</f>
        <v>2031678.8147470695</v>
      </c>
      <c r="C73" s="103">
        <f t="shared" ref="C73:W73" ca="1" si="27">IF($B$73="","",IF(AND($B$42="Straight Line",C48&lt;=depr_length),$B$73/depr_length,IF(AND($B$42="MACRS",C48&lt;=depr_length+1),$B$73*INDEX(MACRS_Table,MATCH(C48,recovery_year,0),MATCH($B$43,recovery_period,0)),"")))</f>
        <v>76187.955553015097</v>
      </c>
      <c r="D73" s="104">
        <f t="shared" ca="1" si="27"/>
        <v>146666.89363659095</v>
      </c>
      <c r="E73" s="104">
        <f t="shared" ca="1" si="27"/>
        <v>135655.19446066182</v>
      </c>
      <c r="F73" s="104">
        <f t="shared" ca="1" si="27"/>
        <v>125496.80038692648</v>
      </c>
      <c r="G73" s="104">
        <f t="shared" ca="1" si="27"/>
        <v>116069.81068650007</v>
      </c>
      <c r="H73" s="104">
        <f t="shared" ca="1" si="27"/>
        <v>107374.22535938263</v>
      </c>
      <c r="I73" s="104">
        <f t="shared" ca="1" si="27"/>
        <v>99308.460464836753</v>
      </c>
      <c r="J73" s="104">
        <f t="shared" ca="1" si="27"/>
        <v>91872.516002862496</v>
      </c>
      <c r="K73" s="104">
        <f t="shared" ca="1" si="27"/>
        <v>90653.508714014242</v>
      </c>
      <c r="L73" s="104">
        <f t="shared" ca="1" si="27"/>
        <v>90633.191925866762</v>
      </c>
      <c r="M73" s="104">
        <f t="shared" ca="1" si="27"/>
        <v>90653.508714014242</v>
      </c>
      <c r="N73" s="104">
        <f t="shared" ca="1" si="27"/>
        <v>90633.191925866762</v>
      </c>
      <c r="O73" s="104">
        <f t="shared" ca="1" si="27"/>
        <v>90653.508714014242</v>
      </c>
      <c r="P73" s="104">
        <f t="shared" ca="1" si="27"/>
        <v>90633.191925866762</v>
      </c>
      <c r="Q73" s="104">
        <f t="shared" ca="1" si="27"/>
        <v>90653.508714014242</v>
      </c>
      <c r="R73" s="104">
        <f t="shared" ca="1" si="27"/>
        <v>90633.191925866762</v>
      </c>
      <c r="S73" s="104">
        <f t="shared" ca="1" si="27"/>
        <v>90653.508714014242</v>
      </c>
      <c r="T73" s="104">
        <f t="shared" ca="1" si="27"/>
        <v>90633.191925866762</v>
      </c>
      <c r="U73" s="104">
        <f t="shared" ca="1" si="27"/>
        <v>90653.508714014242</v>
      </c>
      <c r="V73" s="104">
        <f t="shared" ca="1" si="27"/>
        <v>90633.191925866762</v>
      </c>
      <c r="W73" s="105">
        <f t="shared" ca="1" si="27"/>
        <v>45326.754357007121</v>
      </c>
      <c r="X73" s="102">
        <f t="shared" ca="1" si="3"/>
        <v>2031678.8147470693</v>
      </c>
    </row>
    <row r="74" spans="1:24" ht="15" customHeight="1">
      <c r="A74" s="70">
        <f>IF('Cash Flow Analysis'!C90="","",'Cash Flow Analysis'!C90)</f>
        <v>23</v>
      </c>
      <c r="B74" s="868">
        <f ca="1">IF(A74="","",IF(A74&lt;1,0,IF(A74=1,$B$44-'Cash Flow Analysis'!I90,-'Cash Flow Analysis'!I90)))</f>
        <v>2070280.7122272642</v>
      </c>
      <c r="C74" s="103">
        <f t="shared" ref="C74:W74" ca="1" si="28">IF($B$74="","",IF(AND($B$42="Straight Line",C48&lt;=depr_length),$B$74/depr_length,IF(AND($B$42="MACRS",C48&lt;=depr_length+1),$B$74*INDEX(MACRS_Table,MATCH(C48,recovery_year,0),MATCH($B$43,recovery_period,0)),"")))</f>
        <v>77635.526708522404</v>
      </c>
      <c r="D74" s="104">
        <f t="shared" ca="1" si="28"/>
        <v>149453.56461568622</v>
      </c>
      <c r="E74" s="104">
        <f t="shared" ca="1" si="28"/>
        <v>138232.64315541441</v>
      </c>
      <c r="F74" s="104">
        <f t="shared" ca="1" si="28"/>
        <v>127881.2395942781</v>
      </c>
      <c r="G74" s="104">
        <f t="shared" ca="1" si="28"/>
        <v>118275.1370895436</v>
      </c>
      <c r="H74" s="104">
        <f t="shared" ca="1" si="28"/>
        <v>109414.33564121091</v>
      </c>
      <c r="I74" s="104">
        <f t="shared" ca="1" si="28"/>
        <v>101195.32121366868</v>
      </c>
      <c r="J74" s="104">
        <f t="shared" ca="1" si="28"/>
        <v>93618.093806916891</v>
      </c>
      <c r="K74" s="104">
        <f t="shared" ca="1" si="28"/>
        <v>92375.925379580527</v>
      </c>
      <c r="L74" s="104">
        <f t="shared" ca="1" si="28"/>
        <v>92355.222572458253</v>
      </c>
      <c r="M74" s="104">
        <f t="shared" ca="1" si="28"/>
        <v>92375.925379580527</v>
      </c>
      <c r="N74" s="104">
        <f t="shared" ca="1" si="28"/>
        <v>92355.222572458253</v>
      </c>
      <c r="O74" s="104">
        <f t="shared" ca="1" si="28"/>
        <v>92375.925379580527</v>
      </c>
      <c r="P74" s="104">
        <f t="shared" ca="1" si="28"/>
        <v>92355.222572458253</v>
      </c>
      <c r="Q74" s="104">
        <f t="shared" ca="1" si="28"/>
        <v>92375.925379580527</v>
      </c>
      <c r="R74" s="104">
        <f t="shared" ca="1" si="28"/>
        <v>92355.222572458253</v>
      </c>
      <c r="S74" s="104">
        <f t="shared" ca="1" si="28"/>
        <v>92375.925379580527</v>
      </c>
      <c r="T74" s="104">
        <f t="shared" ca="1" si="28"/>
        <v>92355.222572458253</v>
      </c>
      <c r="U74" s="104">
        <f t="shared" ca="1" si="28"/>
        <v>92375.925379580527</v>
      </c>
      <c r="V74" s="104">
        <f t="shared" ca="1" si="28"/>
        <v>92355.222572458253</v>
      </c>
      <c r="W74" s="105">
        <f t="shared" ca="1" si="28"/>
        <v>46187.962689790264</v>
      </c>
      <c r="X74" s="102">
        <f t="shared" ca="1" si="3"/>
        <v>2070280.712227264</v>
      </c>
    </row>
    <row r="75" spans="1:24" ht="15" customHeight="1">
      <c r="A75" s="70">
        <f>IF('Cash Flow Analysis'!C91="","",'Cash Flow Analysis'!C91)</f>
        <v>24</v>
      </c>
      <c r="B75" s="868">
        <f ca="1">IF(A75="","",IF(A75&lt;1,0,IF(A75=1,$B$44-'Cash Flow Analysis'!I91,-'Cash Flow Analysis'!I91)))</f>
        <v>2109616.045759582</v>
      </c>
      <c r="C75" s="103">
        <f t="shared" ref="C75:W75" ca="1" si="29">IF($B$75="","",IF(AND($B$42="Straight Line",C48&lt;=depr_length),$B$75/depr_length,IF(AND($B$42="MACRS",C48&lt;=depr_length+1),$B$75*INDEX(MACRS_Table,MATCH(C48,recovery_year,0),MATCH($B$43,recovery_period,0)),"")))</f>
        <v>79110.601715984318</v>
      </c>
      <c r="D75" s="104">
        <f t="shared" ca="1" si="29"/>
        <v>152293.18234338422</v>
      </c>
      <c r="E75" s="104">
        <f t="shared" ca="1" si="29"/>
        <v>140859.06337536729</v>
      </c>
      <c r="F75" s="104">
        <f t="shared" ca="1" si="29"/>
        <v>130310.98314656937</v>
      </c>
      <c r="G75" s="104">
        <f t="shared" ca="1" si="29"/>
        <v>120522.36469424491</v>
      </c>
      <c r="H75" s="104">
        <f t="shared" ca="1" si="29"/>
        <v>111493.20801839391</v>
      </c>
      <c r="I75" s="104">
        <f t="shared" ca="1" si="29"/>
        <v>103118.03231672836</v>
      </c>
      <c r="J75" s="104">
        <f t="shared" ca="1" si="29"/>
        <v>95396.837589248302</v>
      </c>
      <c r="K75" s="104">
        <f t="shared" ca="1" si="29"/>
        <v>94131.067961792549</v>
      </c>
      <c r="L75" s="104">
        <f t="shared" ca="1" si="29"/>
        <v>94109.971801334948</v>
      </c>
      <c r="M75" s="104">
        <f t="shared" ca="1" si="29"/>
        <v>94131.067961792549</v>
      </c>
      <c r="N75" s="104">
        <f t="shared" ca="1" si="29"/>
        <v>94109.971801334948</v>
      </c>
      <c r="O75" s="104">
        <f t="shared" ca="1" si="29"/>
        <v>94131.067961792549</v>
      </c>
      <c r="P75" s="104">
        <f t="shared" ca="1" si="29"/>
        <v>94109.971801334948</v>
      </c>
      <c r="Q75" s="104">
        <f t="shared" ca="1" si="29"/>
        <v>94131.067961792549</v>
      </c>
      <c r="R75" s="104">
        <f t="shared" ca="1" si="29"/>
        <v>94109.971801334948</v>
      </c>
      <c r="S75" s="104">
        <f t="shared" ca="1" si="29"/>
        <v>94131.067961792549</v>
      </c>
      <c r="T75" s="104">
        <f t="shared" ca="1" si="29"/>
        <v>94109.971801334948</v>
      </c>
      <c r="U75" s="104">
        <f t="shared" ca="1" si="29"/>
        <v>94131.067961792549</v>
      </c>
      <c r="V75" s="104">
        <f t="shared" ca="1" si="29"/>
        <v>94109.971801334948</v>
      </c>
      <c r="W75" s="105">
        <f t="shared" ca="1" si="29"/>
        <v>47065.533980896274</v>
      </c>
      <c r="X75" s="102">
        <f t="shared" ca="1" si="3"/>
        <v>2109616.045759582</v>
      </c>
    </row>
    <row r="76" spans="1:24" ht="15" customHeight="1">
      <c r="A76" s="70">
        <f>IF('Cash Flow Analysis'!C92="","",'Cash Flow Analysis'!C92)</f>
        <v>25</v>
      </c>
      <c r="B76" s="868">
        <f ca="1">IF(A76="","",IF(A76&lt;1,0,IF(A76=1,$B$44-'Cash Flow Analysis'!I92,-'Cash Flow Analysis'!I92)))</f>
        <v>2149698.7506290139</v>
      </c>
      <c r="C76" s="103">
        <f t="shared" ref="C76:W76" ca="1" si="30">IF($B$76="","",IF(AND($B$42="Straight Line",C48&lt;=depr_length),$B$76/depr_length,IF(AND($B$42="MACRS",C48&lt;=depr_length+1),$B$76*INDEX(MACRS_Table,MATCH(C48,recovery_year,0),MATCH($B$43,recovery_period,0)),"")))</f>
        <v>80613.703148588014</v>
      </c>
      <c r="D76" s="104">
        <f t="shared" ca="1" si="30"/>
        <v>155186.75280790852</v>
      </c>
      <c r="E76" s="104">
        <f t="shared" ca="1" si="30"/>
        <v>143535.38557949924</v>
      </c>
      <c r="F76" s="104">
        <f t="shared" ca="1" si="30"/>
        <v>132786.89182635417</v>
      </c>
      <c r="G76" s="104">
        <f t="shared" ca="1" si="30"/>
        <v>122812.28962343556</v>
      </c>
      <c r="H76" s="104">
        <f t="shared" ca="1" si="30"/>
        <v>113611.57897074339</v>
      </c>
      <c r="I76" s="104">
        <f t="shared" ca="1" si="30"/>
        <v>105077.27493074619</v>
      </c>
      <c r="J76" s="104">
        <f t="shared" ca="1" si="30"/>
        <v>97209.377503444019</v>
      </c>
      <c r="K76" s="104">
        <f t="shared" ca="1" si="30"/>
        <v>95919.5582530666</v>
      </c>
      <c r="L76" s="104">
        <f t="shared" ca="1" si="30"/>
        <v>95898.061265560304</v>
      </c>
      <c r="M76" s="104">
        <f t="shared" ca="1" si="30"/>
        <v>95919.5582530666</v>
      </c>
      <c r="N76" s="104">
        <f t="shared" ca="1" si="30"/>
        <v>95898.061265560304</v>
      </c>
      <c r="O76" s="104">
        <f t="shared" ca="1" si="30"/>
        <v>95919.5582530666</v>
      </c>
      <c r="P76" s="104">
        <f t="shared" ca="1" si="30"/>
        <v>95898.061265560304</v>
      </c>
      <c r="Q76" s="104">
        <f t="shared" ca="1" si="30"/>
        <v>95919.5582530666</v>
      </c>
      <c r="R76" s="104">
        <f t="shared" ca="1" si="30"/>
        <v>95898.061265560304</v>
      </c>
      <c r="S76" s="104">
        <f t="shared" ca="1" si="30"/>
        <v>95919.5582530666</v>
      </c>
      <c r="T76" s="104">
        <f t="shared" ca="1" si="30"/>
        <v>95898.061265560304</v>
      </c>
      <c r="U76" s="104">
        <f t="shared" ca="1" si="30"/>
        <v>95919.5582530666</v>
      </c>
      <c r="V76" s="104">
        <f t="shared" ca="1" si="30"/>
        <v>95898.061265560304</v>
      </c>
      <c r="W76" s="105">
        <f t="shared" ca="1" si="30"/>
        <v>47959.7791265333</v>
      </c>
      <c r="X76" s="102">
        <f t="shared" ca="1" si="3"/>
        <v>2149698.7506290139</v>
      </c>
    </row>
    <row r="77" spans="1:24" ht="15" customHeight="1">
      <c r="A77" s="70">
        <f>IF('Cash Flow Analysis'!C93="","",'Cash Flow Analysis'!C93)</f>
        <v>26</v>
      </c>
      <c r="B77" s="868">
        <f ca="1">IF(A77="","",IF(A77&lt;1,0,IF(A77=1,$B$44-'Cash Flow Analysis'!I93,-'Cash Flow Analysis'!I93)))</f>
        <v>2190543.0268909647</v>
      </c>
      <c r="C77" s="103">
        <f t="shared" ref="C77:W77" ca="1" si="31">IF($B$77="","",IF(AND($B$42="Straight Line",C48&lt;=depr_length),$B$77/depr_length,IF(AND($B$42="MACRS",C48&lt;=depr_length+1),$B$77*INDEX(MACRS_Table,MATCH(C48,recovery_year,0),MATCH($B$43,recovery_period,0)),"")))</f>
        <v>82145.363508411174</v>
      </c>
      <c r="D77" s="104">
        <f t="shared" ca="1" si="31"/>
        <v>158135.30111125874</v>
      </c>
      <c r="E77" s="104">
        <f t="shared" ca="1" si="31"/>
        <v>146262.55790550972</v>
      </c>
      <c r="F77" s="104">
        <f t="shared" ca="1" si="31"/>
        <v>135309.84277105489</v>
      </c>
      <c r="G77" s="104">
        <f t="shared" ca="1" si="31"/>
        <v>125145.72312628082</v>
      </c>
      <c r="H77" s="104">
        <f t="shared" ca="1" si="31"/>
        <v>115770.19897118749</v>
      </c>
      <c r="I77" s="104">
        <f t="shared" ca="1" si="31"/>
        <v>107073.74315443035</v>
      </c>
      <c r="J77" s="104">
        <f t="shared" ca="1" si="31"/>
        <v>99056.355676009436</v>
      </c>
      <c r="K77" s="104">
        <f t="shared" ca="1" si="31"/>
        <v>97742.029859874849</v>
      </c>
      <c r="L77" s="104">
        <f t="shared" ca="1" si="31"/>
        <v>97720.12442960593</v>
      </c>
      <c r="M77" s="104">
        <f t="shared" ca="1" si="31"/>
        <v>97742.029859874849</v>
      </c>
      <c r="N77" s="104">
        <f t="shared" ca="1" si="31"/>
        <v>97720.12442960593</v>
      </c>
      <c r="O77" s="104">
        <f t="shared" ca="1" si="31"/>
        <v>97742.029859874849</v>
      </c>
      <c r="P77" s="104">
        <f t="shared" ca="1" si="31"/>
        <v>97720.12442960593</v>
      </c>
      <c r="Q77" s="104">
        <f t="shared" ca="1" si="31"/>
        <v>97742.029859874849</v>
      </c>
      <c r="R77" s="104">
        <f t="shared" ca="1" si="31"/>
        <v>97720.12442960593</v>
      </c>
      <c r="S77" s="104">
        <f t="shared" ca="1" si="31"/>
        <v>97742.029859874849</v>
      </c>
      <c r="T77" s="104">
        <f t="shared" ca="1" si="31"/>
        <v>97720.12442960593</v>
      </c>
      <c r="U77" s="104">
        <f t="shared" ca="1" si="31"/>
        <v>97742.029859874849</v>
      </c>
      <c r="V77" s="104">
        <f t="shared" ca="1" si="31"/>
        <v>97720.12442960593</v>
      </c>
      <c r="W77" s="105">
        <f t="shared" ca="1" si="31"/>
        <v>48871.014929937424</v>
      </c>
      <c r="X77" s="102">
        <f t="shared" ca="1" si="3"/>
        <v>2190543.0268909642</v>
      </c>
    </row>
    <row r="78" spans="1:24" ht="15" customHeight="1">
      <c r="A78" s="70">
        <f>IF('Cash Flow Analysis'!C94="","",'Cash Flow Analysis'!C94)</f>
        <v>27</v>
      </c>
      <c r="B78" s="868">
        <f ca="1">IF(A78="","",IF(A78&lt;1,0,IF(A78=1,$B$44-'Cash Flow Analysis'!I94,-'Cash Flow Analysis'!I94)))</f>
        <v>2232163.3444018932</v>
      </c>
      <c r="C78" s="103">
        <f t="shared" ref="C78:W78" ca="1" si="32">IF($B$78="","",IF(AND($B$42="Straight Line",C48&lt;=depr_length),$B$78/depr_length,IF(AND($B$42="MACRS",C48&lt;=depr_length+1),$B$78*INDEX(MACRS_Table,MATCH(C48,recovery_year,0),MATCH($B$43,recovery_period,0)),"")))</f>
        <v>83706.125415070986</v>
      </c>
      <c r="D78" s="104">
        <f t="shared" ca="1" si="32"/>
        <v>161139.87183237268</v>
      </c>
      <c r="E78" s="104">
        <f t="shared" ca="1" si="32"/>
        <v>149041.54650571439</v>
      </c>
      <c r="F78" s="104">
        <f t="shared" ca="1" si="32"/>
        <v>137880.72978370494</v>
      </c>
      <c r="G78" s="104">
        <f t="shared" ca="1" si="32"/>
        <v>127523.49186568016</v>
      </c>
      <c r="H78" s="104">
        <f t="shared" ca="1" si="32"/>
        <v>117969.83275164006</v>
      </c>
      <c r="I78" s="104">
        <f t="shared" ca="1" si="32"/>
        <v>109108.14427436455</v>
      </c>
      <c r="J78" s="104">
        <f t="shared" ca="1" si="32"/>
        <v>100938.42643385362</v>
      </c>
      <c r="K78" s="104">
        <f t="shared" ca="1" si="32"/>
        <v>99599.128427212476</v>
      </c>
      <c r="L78" s="104">
        <f t="shared" ca="1" si="32"/>
        <v>99576.806793768454</v>
      </c>
      <c r="M78" s="104">
        <f t="shared" ca="1" si="32"/>
        <v>99599.128427212476</v>
      </c>
      <c r="N78" s="104">
        <f t="shared" ca="1" si="32"/>
        <v>99576.806793768454</v>
      </c>
      <c r="O78" s="104">
        <f t="shared" ca="1" si="32"/>
        <v>99599.128427212476</v>
      </c>
      <c r="P78" s="104">
        <f t="shared" ca="1" si="32"/>
        <v>99576.806793768454</v>
      </c>
      <c r="Q78" s="104">
        <f t="shared" ca="1" si="32"/>
        <v>99599.128427212476</v>
      </c>
      <c r="R78" s="104">
        <f t="shared" ca="1" si="32"/>
        <v>99576.806793768454</v>
      </c>
      <c r="S78" s="104">
        <f t="shared" ca="1" si="32"/>
        <v>99599.128427212476</v>
      </c>
      <c r="T78" s="104">
        <f t="shared" ca="1" si="32"/>
        <v>99576.806793768454</v>
      </c>
      <c r="U78" s="104">
        <f t="shared" ca="1" si="32"/>
        <v>99599.128427212476</v>
      </c>
      <c r="V78" s="104">
        <f t="shared" ca="1" si="32"/>
        <v>99576.806793768454</v>
      </c>
      <c r="W78" s="105">
        <f t="shared" ca="1" si="32"/>
        <v>49799.564213606238</v>
      </c>
      <c r="X78" s="102">
        <f t="shared" ca="1" si="3"/>
        <v>2232163.3444018932</v>
      </c>
    </row>
    <row r="79" spans="1:24" ht="15" customHeight="1">
      <c r="A79" s="70">
        <f>IF('Cash Flow Analysis'!C95="","",'Cash Flow Analysis'!C95)</f>
        <v>28</v>
      </c>
      <c r="B79" s="868">
        <f ca="1">IF(A79="","",IF(A79&lt;1,0,IF(A79=1,$B$44-'Cash Flow Analysis'!I95,-'Cash Flow Analysis'!I95)))</f>
        <v>2274574.4479455291</v>
      </c>
      <c r="C79" s="103">
        <f t="shared" ref="C79:W79" ca="1" si="33">IF($B$79="","",IF(AND($B$42="Straight Line",C48&lt;=depr_length),$B$79/depr_length,IF(AND($B$42="MACRS",C48&lt;=depr_length+1),$B$79*INDEX(MACRS_Table,MATCH(C48,recovery_year,0),MATCH($B$43,recovery_period,0)),"")))</f>
        <v>85296.541797957339</v>
      </c>
      <c r="D79" s="104">
        <f t="shared" ca="1" si="33"/>
        <v>164201.52939718775</v>
      </c>
      <c r="E79" s="104">
        <f t="shared" ca="1" si="33"/>
        <v>151873.33588932297</v>
      </c>
      <c r="F79" s="104">
        <f t="shared" ca="1" si="33"/>
        <v>140500.46364959533</v>
      </c>
      <c r="G79" s="104">
        <f t="shared" ca="1" si="33"/>
        <v>129946.43821112809</v>
      </c>
      <c r="H79" s="104">
        <f t="shared" ca="1" si="33"/>
        <v>120211.25957392121</v>
      </c>
      <c r="I79" s="104">
        <f t="shared" ca="1" si="33"/>
        <v>111181.19901557747</v>
      </c>
      <c r="J79" s="104">
        <f t="shared" ca="1" si="33"/>
        <v>102856.25653609683</v>
      </c>
      <c r="K79" s="104">
        <f t="shared" ca="1" si="33"/>
        <v>101491.51186732951</v>
      </c>
      <c r="L79" s="104">
        <f t="shared" ca="1" si="33"/>
        <v>101468.76612285005</v>
      </c>
      <c r="M79" s="104">
        <f t="shared" ca="1" si="33"/>
        <v>101491.51186732951</v>
      </c>
      <c r="N79" s="104">
        <f t="shared" ca="1" si="33"/>
        <v>101468.76612285005</v>
      </c>
      <c r="O79" s="104">
        <f t="shared" ca="1" si="33"/>
        <v>101491.51186732951</v>
      </c>
      <c r="P79" s="104">
        <f t="shared" ca="1" si="33"/>
        <v>101468.76612285005</v>
      </c>
      <c r="Q79" s="104">
        <f t="shared" ca="1" si="33"/>
        <v>101491.51186732951</v>
      </c>
      <c r="R79" s="104">
        <f t="shared" ca="1" si="33"/>
        <v>101468.76612285005</v>
      </c>
      <c r="S79" s="104">
        <f t="shared" ca="1" si="33"/>
        <v>101491.51186732951</v>
      </c>
      <c r="T79" s="104">
        <f t="shared" ca="1" si="33"/>
        <v>101468.76612285005</v>
      </c>
      <c r="U79" s="104">
        <f t="shared" ca="1" si="33"/>
        <v>101491.51186732951</v>
      </c>
      <c r="V79" s="104">
        <f t="shared" ca="1" si="33"/>
        <v>101468.76612285005</v>
      </c>
      <c r="W79" s="105">
        <f t="shared" ca="1" si="33"/>
        <v>50745.755933664754</v>
      </c>
      <c r="X79" s="102">
        <f t="shared" ca="1" si="3"/>
        <v>2274574.4479455296</v>
      </c>
    </row>
    <row r="80" spans="1:24" ht="15" customHeight="1">
      <c r="A80" s="70">
        <f>IF('Cash Flow Analysis'!C96="","",'Cash Flow Analysis'!C96)</f>
        <v>29</v>
      </c>
      <c r="B80" s="868">
        <f ca="1">IF(A80="","",IF(A80&lt;1,0,IF(A80=1,$B$44-'Cash Flow Analysis'!I96,-'Cash Flow Analysis'!I96)))</f>
        <v>2317791.362456494</v>
      </c>
      <c r="C80" s="103">
        <f t="shared" ref="C80:W80" ca="1" si="34">IF($B$80="","",IF(AND($B$42="Straight Line",C48&lt;=depr_length),$B$80/depr_length,IF(AND($B$42="MACRS",C48&lt;=depr_length+1),$B$80*INDEX(MACRS_Table,MATCH(C48,recovery_year,0),MATCH($B$43,recovery_period,0)),"")))</f>
        <v>86917.17609211852</v>
      </c>
      <c r="D80" s="104">
        <f t="shared" ca="1" si="34"/>
        <v>167321.3584557343</v>
      </c>
      <c r="E80" s="104">
        <f t="shared" ca="1" si="34"/>
        <v>154758.92927122008</v>
      </c>
      <c r="F80" s="104">
        <f t="shared" ca="1" si="34"/>
        <v>143169.97245893764</v>
      </c>
      <c r="G80" s="104">
        <f t="shared" ca="1" si="34"/>
        <v>132415.42053713949</v>
      </c>
      <c r="H80" s="104">
        <f t="shared" ca="1" si="34"/>
        <v>122495.27350582571</v>
      </c>
      <c r="I80" s="104">
        <f t="shared" ca="1" si="34"/>
        <v>113293.64179687343</v>
      </c>
      <c r="J80" s="104">
        <f t="shared" ca="1" si="34"/>
        <v>104810.52541028267</v>
      </c>
      <c r="K80" s="104">
        <f t="shared" ca="1" si="34"/>
        <v>103419.85059280877</v>
      </c>
      <c r="L80" s="104">
        <f t="shared" ca="1" si="34"/>
        <v>103396.67267918419</v>
      </c>
      <c r="M80" s="104">
        <f t="shared" ca="1" si="34"/>
        <v>103419.85059280877</v>
      </c>
      <c r="N80" s="104">
        <f t="shared" ca="1" si="34"/>
        <v>103396.67267918419</v>
      </c>
      <c r="O80" s="104">
        <f t="shared" ca="1" si="34"/>
        <v>103419.85059280877</v>
      </c>
      <c r="P80" s="104">
        <f t="shared" ca="1" si="34"/>
        <v>103396.67267918419</v>
      </c>
      <c r="Q80" s="104">
        <f t="shared" ca="1" si="34"/>
        <v>103419.85059280877</v>
      </c>
      <c r="R80" s="104">
        <f t="shared" ca="1" si="34"/>
        <v>103396.67267918419</v>
      </c>
      <c r="S80" s="104">
        <f t="shared" ca="1" si="34"/>
        <v>103419.85059280877</v>
      </c>
      <c r="T80" s="104">
        <f t="shared" ca="1" si="34"/>
        <v>103396.67267918419</v>
      </c>
      <c r="U80" s="104">
        <f t="shared" ca="1" si="34"/>
        <v>103419.85059280877</v>
      </c>
      <c r="V80" s="104">
        <f t="shared" ca="1" si="34"/>
        <v>103396.67267918419</v>
      </c>
      <c r="W80" s="105">
        <f t="shared" ca="1" si="34"/>
        <v>51709.925296404384</v>
      </c>
      <c r="X80" s="102">
        <f t="shared" ca="1" si="3"/>
        <v>2317791.362456494</v>
      </c>
    </row>
    <row r="81" spans="1:24" ht="15" customHeight="1">
      <c r="A81" s="70">
        <f>IF('Cash Flow Analysis'!C97="","",'Cash Flow Analysis'!C97)</f>
        <v>30</v>
      </c>
      <c r="B81" s="868">
        <f ca="1">IF(A81="","",IF(A81&lt;1,0,IF(A81=1,$B$44-'Cash Flow Analysis'!I97,-'Cash Flow Analysis'!I97)))</f>
        <v>2361829.3983431668</v>
      </c>
      <c r="C81" s="103">
        <f t="shared" ref="C81:W81" ca="1" si="35">IF($B$81="","",IF(AND($B$42="Straight Line",C48&lt;=depr_length),$B$81/depr_length,IF(AND($B$42="MACRS",C48&lt;=depr_length+1),$B$81*INDEX(MACRS_Table,MATCH(C48,recovery_year,0),MATCH($B$43,recovery_period,0)),"")))</f>
        <v>88568.602437868758</v>
      </c>
      <c r="D81" s="104">
        <f t="shared" ca="1" si="35"/>
        <v>170500.46426639322</v>
      </c>
      <c r="E81" s="104">
        <f t="shared" ca="1" si="35"/>
        <v>157699.34892737324</v>
      </c>
      <c r="F81" s="104">
        <f t="shared" ca="1" si="35"/>
        <v>145890.20193565742</v>
      </c>
      <c r="G81" s="104">
        <f t="shared" ca="1" si="35"/>
        <v>134931.31352734513</v>
      </c>
      <c r="H81" s="104">
        <f t="shared" ca="1" si="35"/>
        <v>124822.68370243636</v>
      </c>
      <c r="I81" s="104">
        <f t="shared" ca="1" si="35"/>
        <v>115446.22099101399</v>
      </c>
      <c r="J81" s="104">
        <f t="shared" ca="1" si="35"/>
        <v>106801.92539307801</v>
      </c>
      <c r="K81" s="104">
        <f t="shared" ca="1" si="35"/>
        <v>105384.8277540721</v>
      </c>
      <c r="L81" s="104">
        <f t="shared" ca="1" si="35"/>
        <v>105361.20946008866</v>
      </c>
      <c r="M81" s="104">
        <f t="shared" ca="1" si="35"/>
        <v>105384.8277540721</v>
      </c>
      <c r="N81" s="104">
        <f t="shared" ca="1" si="35"/>
        <v>105361.20946008866</v>
      </c>
      <c r="O81" s="104">
        <f t="shared" ca="1" si="35"/>
        <v>105384.8277540721</v>
      </c>
      <c r="P81" s="104">
        <f t="shared" ca="1" si="35"/>
        <v>105361.20946008866</v>
      </c>
      <c r="Q81" s="104">
        <f t="shared" ca="1" si="35"/>
        <v>105384.8277540721</v>
      </c>
      <c r="R81" s="104">
        <f t="shared" ca="1" si="35"/>
        <v>105361.20946008866</v>
      </c>
      <c r="S81" s="104">
        <f t="shared" ca="1" si="35"/>
        <v>105384.8277540721</v>
      </c>
      <c r="T81" s="104">
        <f t="shared" ca="1" si="35"/>
        <v>105361.20946008866</v>
      </c>
      <c r="U81" s="104">
        <f t="shared" ca="1" si="35"/>
        <v>105384.8277540721</v>
      </c>
      <c r="V81" s="104">
        <f t="shared" ca="1" si="35"/>
        <v>105361.20946008866</v>
      </c>
      <c r="W81" s="105">
        <f t="shared" ca="1" si="35"/>
        <v>52692.413877036051</v>
      </c>
      <c r="X81" s="102">
        <f t="shared" ca="1" si="3"/>
        <v>2361829.3983431668</v>
      </c>
    </row>
    <row r="82" spans="1:24" ht="15" customHeight="1">
      <c r="A82" s="70">
        <f>IF('Cash Flow Analysis'!C98="","",'Cash Flow Analysis'!C98)</f>
        <v>31</v>
      </c>
      <c r="B82" s="868">
        <f ca="1">IF(A82="","",IF(A82&lt;1,0,IF(A82=1,$B$44-'Cash Flow Analysis'!I98,-'Cash Flow Analysis'!I98)))</f>
        <v>2406704.1569116875</v>
      </c>
      <c r="C82" s="103">
        <f t="shared" ref="C82:W82" ca="1" si="36">IF($B$82="","",IF(AND($B$42="Straight Line",C48&lt;=depr_length),$B$82/depr_length,IF(AND($B$42="MACRS",C48&lt;=depr_length+1),$B$82*INDEX(MACRS_Table,MATCH(C48,recovery_year,0),MATCH($B$43,recovery_period,0)),"")))</f>
        <v>90251.40588418828</v>
      </c>
      <c r="D82" s="104">
        <f t="shared" ca="1" si="36"/>
        <v>173739.97308745474</v>
      </c>
      <c r="E82" s="104">
        <f t="shared" ca="1" si="36"/>
        <v>160695.63655699336</v>
      </c>
      <c r="F82" s="104">
        <f t="shared" ca="1" si="36"/>
        <v>148662.11577243492</v>
      </c>
      <c r="G82" s="104">
        <f t="shared" ca="1" si="36"/>
        <v>137495.00848436469</v>
      </c>
      <c r="H82" s="104">
        <f t="shared" ca="1" si="36"/>
        <v>127194.31469278269</v>
      </c>
      <c r="I82" s="104">
        <f t="shared" ca="1" si="36"/>
        <v>117639.69918984329</v>
      </c>
      <c r="J82" s="104">
        <f t="shared" ca="1" si="36"/>
        <v>108831.16197554652</v>
      </c>
      <c r="K82" s="104">
        <f t="shared" ca="1" si="36"/>
        <v>107387.1394813995</v>
      </c>
      <c r="L82" s="104">
        <f t="shared" ca="1" si="36"/>
        <v>107363.07243983037</v>
      </c>
      <c r="M82" s="104">
        <f t="shared" ca="1" si="36"/>
        <v>107387.1394813995</v>
      </c>
      <c r="N82" s="104">
        <f t="shared" ca="1" si="36"/>
        <v>107363.07243983037</v>
      </c>
      <c r="O82" s="104">
        <f t="shared" ca="1" si="36"/>
        <v>107387.1394813995</v>
      </c>
      <c r="P82" s="104">
        <f t="shared" ca="1" si="36"/>
        <v>107363.07243983037</v>
      </c>
      <c r="Q82" s="104">
        <f t="shared" ca="1" si="36"/>
        <v>107387.1394813995</v>
      </c>
      <c r="R82" s="104">
        <f t="shared" ca="1" si="36"/>
        <v>107363.07243983037</v>
      </c>
      <c r="S82" s="104">
        <f t="shared" ca="1" si="36"/>
        <v>107387.1394813995</v>
      </c>
      <c r="T82" s="104">
        <f t="shared" ca="1" si="36"/>
        <v>107363.07243983037</v>
      </c>
      <c r="U82" s="104">
        <f t="shared" ca="1" si="36"/>
        <v>107387.1394813995</v>
      </c>
      <c r="V82" s="104">
        <f t="shared" ca="1" si="36"/>
        <v>107363.07243983037</v>
      </c>
      <c r="W82" s="105">
        <f t="shared" ca="1" si="36"/>
        <v>53693.56974069975</v>
      </c>
      <c r="X82" s="102">
        <f t="shared" ca="1" si="3"/>
        <v>2406704.156911687</v>
      </c>
    </row>
    <row r="83" spans="1:24" ht="15" customHeight="1">
      <c r="A83" s="70">
        <f>IF('Cash Flow Analysis'!C99="","",'Cash Flow Analysis'!C99)</f>
        <v>32</v>
      </c>
      <c r="B83" s="868">
        <f ca="1">IF(A83="","",IF(A83&lt;1,0,IF(A83=1,$B$44-'Cash Flow Analysis'!I99,-'Cash Flow Analysis'!I99)))</f>
        <v>2452431.5358930095</v>
      </c>
      <c r="C83" s="103">
        <f t="shared" ref="C83:W83" ca="1" si="37">IF($B$83="","",IF(AND($B$42="Straight Line",C48&lt;=depr_length),$B$83/depr_length,IF(AND($B$42="MACRS",C48&lt;=depr_length+1),$B$83*INDEX(MACRS_Table,MATCH(C48,recovery_year,0),MATCH($B$43,recovery_period,0)),"")))</f>
        <v>91966.182595987848</v>
      </c>
      <c r="D83" s="104">
        <f t="shared" ca="1" si="37"/>
        <v>177041.03257611635</v>
      </c>
      <c r="E83" s="104">
        <f t="shared" ca="1" si="37"/>
        <v>163748.85365157624</v>
      </c>
      <c r="F83" s="104">
        <f t="shared" ca="1" si="37"/>
        <v>151486.69597211119</v>
      </c>
      <c r="G83" s="104">
        <f t="shared" ca="1" si="37"/>
        <v>140107.41364556763</v>
      </c>
      <c r="H83" s="104">
        <f t="shared" ca="1" si="37"/>
        <v>129611.00667194555</v>
      </c>
      <c r="I83" s="104">
        <f t="shared" ca="1" si="37"/>
        <v>119874.8534744503</v>
      </c>
      <c r="J83" s="104">
        <f t="shared" ca="1" si="37"/>
        <v>110898.95405308189</v>
      </c>
      <c r="K83" s="104">
        <f t="shared" ca="1" si="37"/>
        <v>109427.49513154608</v>
      </c>
      <c r="L83" s="104">
        <f t="shared" ca="1" si="37"/>
        <v>109402.97081618715</v>
      </c>
      <c r="M83" s="104">
        <f t="shared" ca="1" si="37"/>
        <v>109427.49513154608</v>
      </c>
      <c r="N83" s="104">
        <f t="shared" ca="1" si="37"/>
        <v>109402.97081618715</v>
      </c>
      <c r="O83" s="104">
        <f t="shared" ca="1" si="37"/>
        <v>109427.49513154608</v>
      </c>
      <c r="P83" s="104">
        <f t="shared" ca="1" si="37"/>
        <v>109402.97081618715</v>
      </c>
      <c r="Q83" s="104">
        <f t="shared" ca="1" si="37"/>
        <v>109427.49513154608</v>
      </c>
      <c r="R83" s="104">
        <f t="shared" ca="1" si="37"/>
        <v>109402.97081618715</v>
      </c>
      <c r="S83" s="104">
        <f t="shared" ca="1" si="37"/>
        <v>109427.49513154608</v>
      </c>
      <c r="T83" s="104">
        <f t="shared" ca="1" si="37"/>
        <v>109402.97081618715</v>
      </c>
      <c r="U83" s="104">
        <f t="shared" ca="1" si="37"/>
        <v>109427.49513154608</v>
      </c>
      <c r="V83" s="104">
        <f t="shared" ca="1" si="37"/>
        <v>109402.97081618715</v>
      </c>
      <c r="W83" s="105">
        <f t="shared" ca="1" si="37"/>
        <v>54713.747565773039</v>
      </c>
      <c r="X83" s="102">
        <f t="shared" ca="1" si="3"/>
        <v>2452431.5358930095</v>
      </c>
    </row>
    <row r="84" spans="1:24" ht="15" customHeight="1">
      <c r="A84" s="70">
        <f>IF('Cash Flow Analysis'!C100="","",'Cash Flow Analysis'!C100)</f>
        <v>33</v>
      </c>
      <c r="B84" s="868">
        <f ca="1">IF(A84="","",IF(A84&lt;1,0,IF(A84=1,$B$44-'Cash Flow Analysis'!I100,-'Cash Flow Analysis'!I100)))</f>
        <v>2499027.7350749765</v>
      </c>
      <c r="C84" s="103">
        <f t="shared" ref="C84:W84" ca="1" si="38">IF($B$84="","",IF(AND($B$42="Straight Line",C48&lt;=depr_length),$B$84/depr_length,IF(AND($B$42="MACRS",C48&lt;=depr_length+1),$B$84*INDEX(MACRS_Table,MATCH(C48,recovery_year,0),MATCH($B$43,recovery_period,0)),"")))</f>
        <v>93713.540065311608</v>
      </c>
      <c r="D84" s="104">
        <f t="shared" ca="1" si="38"/>
        <v>180404.81219506255</v>
      </c>
      <c r="E84" s="104">
        <f t="shared" ca="1" si="38"/>
        <v>166860.08187095617</v>
      </c>
      <c r="F84" s="104">
        <f t="shared" ca="1" si="38"/>
        <v>154364.94319558129</v>
      </c>
      <c r="G84" s="104">
        <f t="shared" ca="1" si="38"/>
        <v>142769.45450483341</v>
      </c>
      <c r="H84" s="104">
        <f t="shared" ca="1" si="38"/>
        <v>132073.6157987125</v>
      </c>
      <c r="I84" s="104">
        <f t="shared" ca="1" si="38"/>
        <v>122152.47569046485</v>
      </c>
      <c r="J84" s="104">
        <f t="shared" ca="1" si="38"/>
        <v>113006.03418009044</v>
      </c>
      <c r="K84" s="104">
        <f t="shared" ca="1" si="38"/>
        <v>111506.61753904544</v>
      </c>
      <c r="L84" s="104">
        <f t="shared" ca="1" si="38"/>
        <v>111481.6272616947</v>
      </c>
      <c r="M84" s="104">
        <f t="shared" ca="1" si="38"/>
        <v>111506.61753904544</v>
      </c>
      <c r="N84" s="104">
        <f t="shared" ca="1" si="38"/>
        <v>111481.6272616947</v>
      </c>
      <c r="O84" s="104">
        <f t="shared" ca="1" si="38"/>
        <v>111506.61753904544</v>
      </c>
      <c r="P84" s="104">
        <f t="shared" ca="1" si="38"/>
        <v>111481.6272616947</v>
      </c>
      <c r="Q84" s="104">
        <f t="shared" ca="1" si="38"/>
        <v>111506.61753904544</v>
      </c>
      <c r="R84" s="104">
        <f t="shared" ca="1" si="38"/>
        <v>111481.6272616947</v>
      </c>
      <c r="S84" s="104">
        <f t="shared" ca="1" si="38"/>
        <v>111506.61753904544</v>
      </c>
      <c r="T84" s="104">
        <f t="shared" ca="1" si="38"/>
        <v>111481.6272616947</v>
      </c>
      <c r="U84" s="104">
        <f t="shared" ca="1" si="38"/>
        <v>111506.61753904544</v>
      </c>
      <c r="V84" s="104">
        <f t="shared" ca="1" si="38"/>
        <v>111481.6272616947</v>
      </c>
      <c r="W84" s="105">
        <f t="shared" ca="1" si="38"/>
        <v>55753.308769522722</v>
      </c>
      <c r="X84" s="102">
        <f t="shared" ca="1" si="3"/>
        <v>2499027.735074976</v>
      </c>
    </row>
    <row r="85" spans="1:24" ht="15" customHeight="1">
      <c r="A85" s="70">
        <f>IF('Cash Flow Analysis'!C101="","",'Cash Flow Analysis'!C101)</f>
        <v>34</v>
      </c>
      <c r="B85" s="868">
        <f ca="1">IF(A85="","",IF(A85&lt;1,0,IF(A85=1,$B$44-'Cash Flow Analysis'!I101,-'Cash Flow Analysis'!I101)))</f>
        <v>2546509.2620414007</v>
      </c>
      <c r="C85" s="103">
        <f t="shared" ref="C85:W85" ca="1" si="39">IF($B$85="","",IF(AND($B$42="Straight Line",C48&lt;=depr_length),$B$85/depr_length,IF(AND($B$42="MACRS",C48&lt;=depr_length+1),$B$85*INDEX(MACRS_Table,MATCH(C48,recovery_year,0),MATCH($B$43,recovery_period,0)),"")))</f>
        <v>95494.097326552524</v>
      </c>
      <c r="D85" s="104">
        <f t="shared" ca="1" si="39"/>
        <v>183832.50362676871</v>
      </c>
      <c r="E85" s="104">
        <f t="shared" ca="1" si="39"/>
        <v>170030.42342650431</v>
      </c>
      <c r="F85" s="104">
        <f t="shared" ca="1" si="39"/>
        <v>157297.87711629731</v>
      </c>
      <c r="G85" s="104">
        <f t="shared" ca="1" si="39"/>
        <v>145482.07414042522</v>
      </c>
      <c r="H85" s="104">
        <f t="shared" ca="1" si="39"/>
        <v>134583.01449888802</v>
      </c>
      <c r="I85" s="104">
        <f t="shared" ca="1" si="39"/>
        <v>124473.37272858366</v>
      </c>
      <c r="J85" s="104">
        <f t="shared" ca="1" si="39"/>
        <v>115153.14882951215</v>
      </c>
      <c r="K85" s="104">
        <f t="shared" ca="1" si="39"/>
        <v>113625.24327228729</v>
      </c>
      <c r="L85" s="104">
        <f t="shared" ca="1" si="39"/>
        <v>113599.77817966687</v>
      </c>
      <c r="M85" s="104">
        <f t="shared" ca="1" si="39"/>
        <v>113625.24327228729</v>
      </c>
      <c r="N85" s="104">
        <f t="shared" ca="1" si="39"/>
        <v>113599.77817966687</v>
      </c>
      <c r="O85" s="104">
        <f t="shared" ca="1" si="39"/>
        <v>113625.24327228729</v>
      </c>
      <c r="P85" s="104">
        <f t="shared" ca="1" si="39"/>
        <v>113599.77817966687</v>
      </c>
      <c r="Q85" s="104">
        <f t="shared" ca="1" si="39"/>
        <v>113625.24327228729</v>
      </c>
      <c r="R85" s="104">
        <f t="shared" ca="1" si="39"/>
        <v>113599.77817966687</v>
      </c>
      <c r="S85" s="104">
        <f t="shared" ca="1" si="39"/>
        <v>113625.24327228729</v>
      </c>
      <c r="T85" s="104">
        <f t="shared" ca="1" si="39"/>
        <v>113599.77817966687</v>
      </c>
      <c r="U85" s="104">
        <f t="shared" ca="1" si="39"/>
        <v>113625.24327228729</v>
      </c>
      <c r="V85" s="104">
        <f t="shared" ca="1" si="39"/>
        <v>113599.77817966687</v>
      </c>
      <c r="W85" s="105">
        <f t="shared" ca="1" si="39"/>
        <v>56812.621636143645</v>
      </c>
      <c r="X85" s="102">
        <f t="shared" ca="1" si="3"/>
        <v>2546509.2620414007</v>
      </c>
    </row>
    <row r="86" spans="1:24" ht="15" customHeight="1">
      <c r="A86" s="70">
        <f>IF('Cash Flow Analysis'!C102="","",'Cash Flow Analysis'!C102)</f>
        <v>35</v>
      </c>
      <c r="B86" s="868">
        <f ca="1">IF(A86="","",IF(A86&lt;1,0,IF(A86=1,$B$44-'Cash Flow Analysis'!I102,-'Cash Flow Analysis'!I102)))</f>
        <v>2594892.9380201874</v>
      </c>
      <c r="C86" s="103">
        <f t="shared" ref="C86:W86" ca="1" si="40">IF($B$86="","",IF(AND($B$42="Straight Line",C48&lt;=depr_length),$B$86/depr_length,IF(AND($B$42="MACRS",C48&lt;=depr_length+1),$B$86*INDEX(MACRS_Table,MATCH(C48,recovery_year,0),MATCH($B$43,recovery_period,0)),"")))</f>
        <v>97308.485175757029</v>
      </c>
      <c r="D86" s="104">
        <f t="shared" ca="1" si="40"/>
        <v>187325.32119567733</v>
      </c>
      <c r="E86" s="104">
        <f t="shared" ca="1" si="40"/>
        <v>173261.00147160792</v>
      </c>
      <c r="F86" s="104">
        <f t="shared" ca="1" si="40"/>
        <v>160286.53678150696</v>
      </c>
      <c r="G86" s="104">
        <f t="shared" ca="1" si="40"/>
        <v>148246.2335490933</v>
      </c>
      <c r="H86" s="104">
        <f t="shared" ca="1" si="40"/>
        <v>137140.09177436691</v>
      </c>
      <c r="I86" s="104">
        <f t="shared" ca="1" si="40"/>
        <v>126838.36681042676</v>
      </c>
      <c r="J86" s="104">
        <f t="shared" ca="1" si="40"/>
        <v>117341.05865727288</v>
      </c>
      <c r="K86" s="104">
        <f t="shared" ca="1" si="40"/>
        <v>115784.12289446076</v>
      </c>
      <c r="L86" s="104">
        <f t="shared" ca="1" si="40"/>
        <v>115758.17396508055</v>
      </c>
      <c r="M86" s="104">
        <f t="shared" ca="1" si="40"/>
        <v>115784.12289446076</v>
      </c>
      <c r="N86" s="104">
        <f t="shared" ca="1" si="40"/>
        <v>115758.17396508055</v>
      </c>
      <c r="O86" s="104">
        <f t="shared" ca="1" si="40"/>
        <v>115784.12289446076</v>
      </c>
      <c r="P86" s="104">
        <f t="shared" ca="1" si="40"/>
        <v>115758.17396508055</v>
      </c>
      <c r="Q86" s="104">
        <f t="shared" ca="1" si="40"/>
        <v>115784.12289446076</v>
      </c>
      <c r="R86" s="104">
        <f t="shared" ca="1" si="40"/>
        <v>115758.17396508055</v>
      </c>
      <c r="S86" s="104">
        <f t="shared" ca="1" si="40"/>
        <v>115784.12289446076</v>
      </c>
      <c r="T86" s="104">
        <f t="shared" ca="1" si="40"/>
        <v>115758.17396508055</v>
      </c>
      <c r="U86" s="104">
        <f t="shared" ca="1" si="40"/>
        <v>115784.12289446076</v>
      </c>
      <c r="V86" s="104">
        <f t="shared" ca="1" si="40"/>
        <v>115758.17396508055</v>
      </c>
      <c r="W86" s="105">
        <f t="shared" ca="1" si="40"/>
        <v>57892.061447230379</v>
      </c>
      <c r="X86" s="102">
        <f t="shared" ca="1" si="3"/>
        <v>2594892.9380201879</v>
      </c>
    </row>
    <row r="87" spans="1:24" ht="15" customHeight="1">
      <c r="A87" s="70">
        <f>IF('Cash Flow Analysis'!C103="","",'Cash Flow Analysis'!C103)</f>
        <v>36</v>
      </c>
      <c r="B87" s="868">
        <f ca="1">IF(A87="","",IF(A87&lt;1,0,IF(A87=1,$B$44-'Cash Flow Analysis'!I103,-'Cash Flow Analysis'!I103)))</f>
        <v>2644195.9038425712</v>
      </c>
      <c r="C87" s="103">
        <f t="shared" ref="C87:W87" ca="1" si="41">IF($B$87="","",IF(AND($B$42="Straight Line",C48&lt;=depr_length),$B$87/depr_length,IF(AND($B$42="MACRS",C48&lt;=depr_length+1),$B$87*INDEX(MACRS_Table,MATCH(C48,recovery_year,0),MATCH($B$43,recovery_period,0)),"")))</f>
        <v>99157.346394096414</v>
      </c>
      <c r="D87" s="104">
        <f t="shared" ca="1" si="41"/>
        <v>190884.50229839524</v>
      </c>
      <c r="E87" s="104">
        <f t="shared" ca="1" si="41"/>
        <v>176552.96049956846</v>
      </c>
      <c r="F87" s="104">
        <f t="shared" ca="1" si="41"/>
        <v>163331.98098035561</v>
      </c>
      <c r="G87" s="104">
        <f t="shared" ca="1" si="41"/>
        <v>151062.9119865261</v>
      </c>
      <c r="H87" s="104">
        <f t="shared" ca="1" si="41"/>
        <v>139745.7535180799</v>
      </c>
      <c r="I87" s="104">
        <f t="shared" ca="1" si="41"/>
        <v>129248.29577982488</v>
      </c>
      <c r="J87" s="104">
        <f t="shared" ca="1" si="41"/>
        <v>119570.53877176107</v>
      </c>
      <c r="K87" s="104">
        <f t="shared" ca="1" si="41"/>
        <v>117984.02122945552</v>
      </c>
      <c r="L87" s="104">
        <f t="shared" ca="1" si="41"/>
        <v>117957.57927041709</v>
      </c>
      <c r="M87" s="104">
        <f t="shared" ca="1" si="41"/>
        <v>117984.02122945552</v>
      </c>
      <c r="N87" s="104">
        <f t="shared" ca="1" si="41"/>
        <v>117957.57927041709</v>
      </c>
      <c r="O87" s="104">
        <f t="shared" ca="1" si="41"/>
        <v>117984.02122945552</v>
      </c>
      <c r="P87" s="104">
        <f t="shared" ca="1" si="41"/>
        <v>117957.57927041709</v>
      </c>
      <c r="Q87" s="104">
        <f t="shared" ca="1" si="41"/>
        <v>117984.02122945552</v>
      </c>
      <c r="R87" s="104">
        <f t="shared" ca="1" si="41"/>
        <v>117957.57927041709</v>
      </c>
      <c r="S87" s="104">
        <f t="shared" ca="1" si="41"/>
        <v>117984.02122945552</v>
      </c>
      <c r="T87" s="104">
        <f t="shared" ca="1" si="41"/>
        <v>117957.57927041709</v>
      </c>
      <c r="U87" s="104">
        <f t="shared" ca="1" si="41"/>
        <v>117984.02122945552</v>
      </c>
      <c r="V87" s="104">
        <f t="shared" ca="1" si="41"/>
        <v>117957.57927041709</v>
      </c>
      <c r="W87" s="105">
        <f t="shared" ca="1" si="41"/>
        <v>58992.010614727762</v>
      </c>
      <c r="X87" s="102">
        <f t="shared" ca="1" si="3"/>
        <v>2644195.9038425707</v>
      </c>
    </row>
    <row r="88" spans="1:24" ht="15" customHeight="1">
      <c r="A88" s="70">
        <f>IF('Cash Flow Analysis'!C104="","",'Cash Flow Analysis'!C104)</f>
        <v>37</v>
      </c>
      <c r="B88" s="868">
        <f ca="1">IF(A88="","",IF(A88&lt;1,0,IF(A88=1,$B$44-'Cash Flow Analysis'!I104,-'Cash Flow Analysis'!I104)))</f>
        <v>2694435.6260155798</v>
      </c>
      <c r="C88" s="103">
        <f t="shared" ref="C88:W88" ca="1" si="42">IF($B$88="","",IF(AND($B$42="Straight Line",C48&lt;=depr_length),$B$88/depr_length,IF(AND($B$42="MACRS",C48&lt;=depr_length+1),$B$88*INDEX(MACRS_Table,MATCH(C48,recovery_year,0),MATCH($B$43,recovery_period,0)),"")))</f>
        <v>101041.33597558424</v>
      </c>
      <c r="D88" s="104">
        <f t="shared" ca="1" si="42"/>
        <v>194511.30784206471</v>
      </c>
      <c r="E88" s="104">
        <f t="shared" ca="1" si="42"/>
        <v>179907.46674906026</v>
      </c>
      <c r="F88" s="104">
        <f t="shared" ca="1" si="42"/>
        <v>166435.28861898236</v>
      </c>
      <c r="G88" s="104">
        <f t="shared" ca="1" si="42"/>
        <v>153933.10731427008</v>
      </c>
      <c r="H88" s="104">
        <f t="shared" ca="1" si="42"/>
        <v>142400.9228349234</v>
      </c>
      <c r="I88" s="104">
        <f t="shared" ca="1" si="42"/>
        <v>131704.01339964155</v>
      </c>
      <c r="J88" s="104">
        <f t="shared" ca="1" si="42"/>
        <v>121842.37900842453</v>
      </c>
      <c r="K88" s="104">
        <f t="shared" ca="1" si="42"/>
        <v>120225.71763281517</v>
      </c>
      <c r="L88" s="104">
        <f t="shared" ca="1" si="42"/>
        <v>120198.773276555</v>
      </c>
      <c r="M88" s="104">
        <f t="shared" ca="1" si="42"/>
        <v>120225.71763281517</v>
      </c>
      <c r="N88" s="104">
        <f t="shared" ca="1" si="42"/>
        <v>120198.773276555</v>
      </c>
      <c r="O88" s="104">
        <f t="shared" ca="1" si="42"/>
        <v>120225.71763281517</v>
      </c>
      <c r="P88" s="104">
        <f t="shared" ca="1" si="42"/>
        <v>120198.773276555</v>
      </c>
      <c r="Q88" s="104">
        <f t="shared" ca="1" si="42"/>
        <v>120225.71763281517</v>
      </c>
      <c r="R88" s="104">
        <f t="shared" ca="1" si="42"/>
        <v>120198.773276555</v>
      </c>
      <c r="S88" s="104">
        <f t="shared" ca="1" si="42"/>
        <v>120225.71763281517</v>
      </c>
      <c r="T88" s="104">
        <f t="shared" ca="1" si="42"/>
        <v>120198.773276555</v>
      </c>
      <c r="U88" s="104">
        <f t="shared" ca="1" si="42"/>
        <v>120225.71763281517</v>
      </c>
      <c r="V88" s="104">
        <f t="shared" ca="1" si="42"/>
        <v>120198.773276555</v>
      </c>
      <c r="W88" s="105">
        <f t="shared" ca="1" si="42"/>
        <v>60112.858816407585</v>
      </c>
      <c r="X88" s="102">
        <f t="shared" ca="1" si="3"/>
        <v>2694435.6260155793</v>
      </c>
    </row>
    <row r="89" spans="1:24" ht="15" customHeight="1">
      <c r="A89" s="70">
        <f>IF('Cash Flow Analysis'!C105="","",'Cash Flow Analysis'!C105)</f>
        <v>38</v>
      </c>
      <c r="B89" s="868">
        <f ca="1">IF(A89="","",IF(A89&lt;1,0,IF(A89=1,$B$44-'Cash Flow Analysis'!I105,-'Cash Flow Analysis'!I105)))</f>
        <v>2745629.9029098749</v>
      </c>
      <c r="C89" s="103">
        <f t="shared" ref="C89:W89" ca="1" si="43">IF($B$89="","",IF(AND($B$42="Straight Line",C48&lt;=depr_length),$B$89/depr_length,IF(AND($B$42="MACRS",C48&lt;=depr_length+1),$B$89*INDEX(MACRS_Table,MATCH(C48,recovery_year,0),MATCH($B$43,recovery_period,0)),"")))</f>
        <v>102961.12135912031</v>
      </c>
      <c r="D89" s="104">
        <f t="shared" ca="1" si="43"/>
        <v>198207.02269106387</v>
      </c>
      <c r="E89" s="104">
        <f t="shared" ca="1" si="43"/>
        <v>183325.70861729234</v>
      </c>
      <c r="F89" s="104">
        <f t="shared" ca="1" si="43"/>
        <v>169597.55910274296</v>
      </c>
      <c r="G89" s="104">
        <f t="shared" ca="1" si="43"/>
        <v>156857.83635324115</v>
      </c>
      <c r="H89" s="104">
        <f t="shared" ca="1" si="43"/>
        <v>145106.5403687869</v>
      </c>
      <c r="I89" s="104">
        <f t="shared" ca="1" si="43"/>
        <v>134206.38965423469</v>
      </c>
      <c r="J89" s="104">
        <f t="shared" ca="1" si="43"/>
        <v>124157.38420958455</v>
      </c>
      <c r="K89" s="104">
        <f t="shared" ca="1" si="43"/>
        <v>122510.00626783862</v>
      </c>
      <c r="L89" s="104">
        <f t="shared" ca="1" si="43"/>
        <v>122482.54996880952</v>
      </c>
      <c r="M89" s="104">
        <f t="shared" ca="1" si="43"/>
        <v>122510.00626783862</v>
      </c>
      <c r="N89" s="104">
        <f t="shared" ca="1" si="43"/>
        <v>122482.54996880952</v>
      </c>
      <c r="O89" s="104">
        <f t="shared" ca="1" si="43"/>
        <v>122510.00626783862</v>
      </c>
      <c r="P89" s="104">
        <f t="shared" ca="1" si="43"/>
        <v>122482.54996880952</v>
      </c>
      <c r="Q89" s="104">
        <f t="shared" ca="1" si="43"/>
        <v>122510.00626783862</v>
      </c>
      <c r="R89" s="104">
        <f t="shared" ca="1" si="43"/>
        <v>122482.54996880952</v>
      </c>
      <c r="S89" s="104">
        <f t="shared" ca="1" si="43"/>
        <v>122510.00626783862</v>
      </c>
      <c r="T89" s="104">
        <f t="shared" ca="1" si="43"/>
        <v>122482.54996880952</v>
      </c>
      <c r="U89" s="104">
        <f t="shared" ca="1" si="43"/>
        <v>122510.00626783862</v>
      </c>
      <c r="V89" s="104">
        <f t="shared" ca="1" si="43"/>
        <v>122482.54996880952</v>
      </c>
      <c r="W89" s="105">
        <f t="shared" ca="1" si="43"/>
        <v>61255.003133919308</v>
      </c>
      <c r="X89" s="102">
        <f t="shared" ca="1" si="3"/>
        <v>2745629.9029098745</v>
      </c>
    </row>
    <row r="90" spans="1:24" ht="15" customHeight="1">
      <c r="A90" s="70">
        <f>IF('Cash Flow Analysis'!C106="","",'Cash Flow Analysis'!C106)</f>
        <v>39</v>
      </c>
      <c r="B90" s="868">
        <f ca="1">IF(A90="","",IF(A90&lt;1,0,IF(A90=1,$B$44-'Cash Flow Analysis'!I106,-'Cash Flow Analysis'!I106)))</f>
        <v>2797796.8710651631</v>
      </c>
      <c r="C90" s="103">
        <f t="shared" ref="C90:W90" ca="1" si="44">IF($B$90="","",IF(AND($B$42="Straight Line",C48&lt;=depr_length),$B$90/depr_length,IF(AND($B$42="MACRS",C48&lt;=depr_length+1),$B$90*INDEX(MACRS_Table,MATCH(C48,recovery_year,0),MATCH($B$43,recovery_period,0)),"")))</f>
        <v>104917.38266494361</v>
      </c>
      <c r="D90" s="104">
        <f t="shared" ca="1" si="44"/>
        <v>201972.95612219413</v>
      </c>
      <c r="E90" s="104">
        <f t="shared" ca="1" si="44"/>
        <v>186808.89708102093</v>
      </c>
      <c r="F90" s="104">
        <f t="shared" ca="1" si="44"/>
        <v>172819.91272569512</v>
      </c>
      <c r="G90" s="104">
        <f t="shared" ca="1" si="44"/>
        <v>159838.13524395277</v>
      </c>
      <c r="H90" s="104">
        <f t="shared" ca="1" si="44"/>
        <v>147863.56463579388</v>
      </c>
      <c r="I90" s="104">
        <f t="shared" ca="1" si="44"/>
        <v>136756.31105766518</v>
      </c>
      <c r="J90" s="104">
        <f t="shared" ca="1" si="44"/>
        <v>126516.37450956668</v>
      </c>
      <c r="K90" s="104">
        <f t="shared" ca="1" si="44"/>
        <v>124837.69638692758</v>
      </c>
      <c r="L90" s="104">
        <f t="shared" ca="1" si="44"/>
        <v>124809.71841821691</v>
      </c>
      <c r="M90" s="104">
        <f t="shared" ca="1" si="44"/>
        <v>124837.69638692758</v>
      </c>
      <c r="N90" s="104">
        <f t="shared" ca="1" si="44"/>
        <v>124809.71841821691</v>
      </c>
      <c r="O90" s="104">
        <f t="shared" ca="1" si="44"/>
        <v>124837.69638692758</v>
      </c>
      <c r="P90" s="104">
        <f t="shared" ca="1" si="44"/>
        <v>124809.71841821691</v>
      </c>
      <c r="Q90" s="104">
        <f t="shared" ca="1" si="44"/>
        <v>124837.69638692758</v>
      </c>
      <c r="R90" s="104">
        <f t="shared" ca="1" si="44"/>
        <v>124809.71841821691</v>
      </c>
      <c r="S90" s="104">
        <f t="shared" ca="1" si="44"/>
        <v>124837.69638692758</v>
      </c>
      <c r="T90" s="104">
        <f t="shared" ca="1" si="44"/>
        <v>124809.71841821691</v>
      </c>
      <c r="U90" s="104">
        <f t="shared" ca="1" si="44"/>
        <v>124837.69638692758</v>
      </c>
      <c r="V90" s="104">
        <f t="shared" ca="1" si="44"/>
        <v>124809.71841821691</v>
      </c>
      <c r="W90" s="105">
        <f t="shared" ca="1" si="44"/>
        <v>62418.848193463789</v>
      </c>
      <c r="X90" s="102">
        <f t="shared" ca="1" si="3"/>
        <v>2797796.8710651635</v>
      </c>
    </row>
    <row r="91" spans="1:24" ht="15" customHeight="1">
      <c r="A91" s="70">
        <f>IF('Cash Flow Analysis'!C107="","",'Cash Flow Analysis'!C107)</f>
        <v>40</v>
      </c>
      <c r="B91" s="868">
        <f ca="1">IF(A91="","",IF(A91&lt;1,0,IF(A91=1,$B$44-'Cash Flow Analysis'!I107,-'Cash Flow Analysis'!I107)))</f>
        <v>2850955.0116154016</v>
      </c>
      <c r="C91" s="103">
        <f t="shared" ref="C91:W91" ca="1" si="45">IF($B$91="","",IF(AND($B$42="Straight Line",C48&lt;=depr_length),$B$91/depr_length,IF(AND($B$42="MACRS",C48&lt;=depr_length+1),$B$91*INDEX(MACRS_Table,MATCH(C48,recovery_year,0),MATCH($B$43,recovery_period,0)),"")))</f>
        <v>106910.81293557756</v>
      </c>
      <c r="D91" s="104">
        <f t="shared" ca="1" si="45"/>
        <v>205810.44228851586</v>
      </c>
      <c r="E91" s="104">
        <f t="shared" ca="1" si="45"/>
        <v>190358.26612556036</v>
      </c>
      <c r="F91" s="104">
        <f t="shared" ca="1" si="45"/>
        <v>176103.49106748335</v>
      </c>
      <c r="G91" s="104">
        <f t="shared" ca="1" si="45"/>
        <v>162875.0598135879</v>
      </c>
      <c r="H91" s="104">
        <f t="shared" ca="1" si="45"/>
        <v>150672.97236387397</v>
      </c>
      <c r="I91" s="104">
        <f t="shared" ca="1" si="45"/>
        <v>139354.68096776083</v>
      </c>
      <c r="J91" s="104">
        <f t="shared" ca="1" si="45"/>
        <v>128920.18562524847</v>
      </c>
      <c r="K91" s="104">
        <f t="shared" ca="1" si="45"/>
        <v>127209.61261827922</v>
      </c>
      <c r="L91" s="104">
        <f t="shared" ca="1" si="45"/>
        <v>127181.10306816305</v>
      </c>
      <c r="M91" s="104">
        <f t="shared" ca="1" si="45"/>
        <v>127209.61261827922</v>
      </c>
      <c r="N91" s="104">
        <f t="shared" ca="1" si="45"/>
        <v>127181.10306816305</v>
      </c>
      <c r="O91" s="104">
        <f t="shared" ca="1" si="45"/>
        <v>127209.61261827922</v>
      </c>
      <c r="P91" s="104">
        <f t="shared" ca="1" si="45"/>
        <v>127181.10306816305</v>
      </c>
      <c r="Q91" s="104">
        <f t="shared" ca="1" si="45"/>
        <v>127209.61261827922</v>
      </c>
      <c r="R91" s="104">
        <f t="shared" ca="1" si="45"/>
        <v>127181.10306816305</v>
      </c>
      <c r="S91" s="104">
        <f t="shared" ca="1" si="45"/>
        <v>127209.61261827922</v>
      </c>
      <c r="T91" s="104">
        <f t="shared" ca="1" si="45"/>
        <v>127181.10306816305</v>
      </c>
      <c r="U91" s="104">
        <f t="shared" ca="1" si="45"/>
        <v>127209.61261827922</v>
      </c>
      <c r="V91" s="104">
        <f t="shared" ca="1" si="45"/>
        <v>127181.10306816305</v>
      </c>
      <c r="W91" s="105">
        <f t="shared" ca="1" si="45"/>
        <v>63604.806309139611</v>
      </c>
      <c r="X91" s="102">
        <f t="shared" ca="1" si="3"/>
        <v>2850955.0116154021</v>
      </c>
    </row>
    <row r="92" spans="1:24" ht="15" customHeight="1" thickBot="1">
      <c r="A92" s="74" t="str">
        <f>IF('Cash Flow Analysis'!C108="","",'Cash Flow Analysis'!C108)</f>
        <v/>
      </c>
      <c r="B92" s="868" t="str">
        <f>IF(A92="","",IF(A92&lt;1,0,IF(A92=1,$B$44-'Cash Flow Analysis'!I108,-'Cash Flow Analysis'!I108)))</f>
        <v/>
      </c>
      <c r="C92" s="106" t="str">
        <f t="shared" ref="C92:W92" si="46">IF($B$92="","",IF(AND($B$42="Straight Line",C48&lt;=depr_length),$B$92/depr_length,IF(AND($B$42="MACRS",C48&lt;=depr_length+1),$B$92*INDEX(MACRS_Table,MATCH(C48,recovery_year,0),MATCH($B$43,recovery_period,0)),"")))</f>
        <v/>
      </c>
      <c r="D92" s="107" t="str">
        <f t="shared" si="46"/>
        <v/>
      </c>
      <c r="E92" s="107" t="str">
        <f t="shared" si="46"/>
        <v/>
      </c>
      <c r="F92" s="107" t="str">
        <f t="shared" si="46"/>
        <v/>
      </c>
      <c r="G92" s="107" t="str">
        <f t="shared" si="46"/>
        <v/>
      </c>
      <c r="H92" s="107" t="str">
        <f t="shared" si="46"/>
        <v/>
      </c>
      <c r="I92" s="107" t="str">
        <f t="shared" si="46"/>
        <v/>
      </c>
      <c r="J92" s="107" t="str">
        <f t="shared" si="46"/>
        <v/>
      </c>
      <c r="K92" s="107" t="str">
        <f t="shared" si="46"/>
        <v/>
      </c>
      <c r="L92" s="107" t="str">
        <f t="shared" si="46"/>
        <v/>
      </c>
      <c r="M92" s="107" t="str">
        <f t="shared" si="46"/>
        <v/>
      </c>
      <c r="N92" s="107" t="str">
        <f t="shared" si="46"/>
        <v/>
      </c>
      <c r="O92" s="107" t="str">
        <f t="shared" si="46"/>
        <v/>
      </c>
      <c r="P92" s="107" t="str">
        <f t="shared" si="46"/>
        <v/>
      </c>
      <c r="Q92" s="107" t="str">
        <f t="shared" si="46"/>
        <v/>
      </c>
      <c r="R92" s="107" t="str">
        <f t="shared" si="46"/>
        <v/>
      </c>
      <c r="S92" s="107" t="str">
        <f t="shared" si="46"/>
        <v/>
      </c>
      <c r="T92" s="107" t="str">
        <f t="shared" si="46"/>
        <v/>
      </c>
      <c r="U92" s="107" t="str">
        <f t="shared" si="46"/>
        <v/>
      </c>
      <c r="V92" s="107" t="str">
        <f t="shared" si="46"/>
        <v/>
      </c>
      <c r="W92" s="92" t="str">
        <f t="shared" si="46"/>
        <v/>
      </c>
      <c r="X92" s="108">
        <f t="shared" si="3"/>
        <v>0</v>
      </c>
    </row>
    <row r="93" spans="1:24" ht="15" customHeight="1" thickTop="1">
      <c r="B93" s="109"/>
      <c r="C93" s="109"/>
      <c r="D93" s="109"/>
      <c r="E93" s="109"/>
      <c r="F93" s="109"/>
      <c r="G93" s="109"/>
      <c r="H93" s="109"/>
      <c r="I93" s="109"/>
      <c r="J93" s="109"/>
      <c r="K93" s="109"/>
      <c r="L93" s="109"/>
      <c r="M93" s="109"/>
      <c r="N93" s="109"/>
      <c r="O93" s="109"/>
      <c r="P93" s="109"/>
      <c r="Q93" s="109"/>
      <c r="R93" s="109"/>
      <c r="S93" s="109"/>
      <c r="T93" s="109"/>
      <c r="U93" s="109"/>
      <c r="V93" s="109"/>
      <c r="W93" s="109"/>
      <c r="X93" s="109"/>
    </row>
    <row r="94" spans="1:24" ht="15" customHeight="1" thickBot="1">
      <c r="B94" s="109"/>
      <c r="C94" s="109"/>
      <c r="D94" s="109"/>
      <c r="E94" s="109"/>
      <c r="F94" s="109"/>
      <c r="G94" s="109"/>
      <c r="H94" s="109"/>
      <c r="I94" s="109"/>
      <c r="J94" s="109"/>
      <c r="K94" s="109"/>
      <c r="L94" s="109"/>
      <c r="M94" s="109"/>
      <c r="N94" s="109"/>
      <c r="O94" s="109"/>
      <c r="P94" s="109"/>
      <c r="Q94" s="109"/>
      <c r="R94" s="109"/>
      <c r="S94" s="109"/>
      <c r="T94" s="109"/>
      <c r="U94" s="109"/>
      <c r="V94" s="109"/>
      <c r="W94" s="109"/>
      <c r="X94" s="109"/>
    </row>
    <row r="95" spans="1:24" ht="30.75" customHeight="1" thickTop="1" thickBot="1">
      <c r="A95" s="93" t="s">
        <v>59</v>
      </c>
      <c r="B95" s="59"/>
      <c r="C95" s="60"/>
    </row>
    <row r="96" spans="1:24" ht="31.25" customHeight="1" thickTop="1">
      <c r="A96" s="110" t="s">
        <v>56</v>
      </c>
      <c r="B96" s="111" t="s">
        <v>60</v>
      </c>
      <c r="C96" s="112" t="s">
        <v>61</v>
      </c>
    </row>
    <row r="97" spans="1:3" ht="15" customHeight="1">
      <c r="A97" s="89">
        <f>IF('Cash Flow Analysis'!C65="","",'Cash Flow Analysis'!C65)</f>
        <v>-3</v>
      </c>
      <c r="B97" s="104">
        <f>C49</f>
        <v>0</v>
      </c>
      <c r="C97" s="113">
        <f t="shared" ref="C97:C140" si="47">IF(A97="",B97,0)</f>
        <v>0</v>
      </c>
    </row>
    <row r="98" spans="1:3" ht="15" customHeight="1">
      <c r="A98" s="89">
        <f>IF('Cash Flow Analysis'!C66="","",'Cash Flow Analysis'!C66)</f>
        <v>-2</v>
      </c>
      <c r="B98" s="104">
        <f>SUM(D49,C50)</f>
        <v>0</v>
      </c>
      <c r="C98" s="113">
        <f t="shared" si="47"/>
        <v>0</v>
      </c>
    </row>
    <row r="99" spans="1:3" ht="15" customHeight="1">
      <c r="A99" s="89">
        <f>IF('Cash Flow Analysis'!C67="","",'Cash Flow Analysis'!C67)</f>
        <v>-1</v>
      </c>
      <c r="B99" s="104">
        <f>SUM(E49,D50,C51)</f>
        <v>0</v>
      </c>
      <c r="C99" s="113">
        <f t="shared" si="47"/>
        <v>0</v>
      </c>
    </row>
    <row r="100" spans="1:3" ht="15" customHeight="1">
      <c r="A100" s="89">
        <f>IF('Cash Flow Analysis'!C68="","",'Cash Flow Analysis'!C68)</f>
        <v>1</v>
      </c>
      <c r="B100" s="104">
        <f ca="1">SUM(F49,E50,D51,C52)</f>
        <v>9750512.7796681542</v>
      </c>
      <c r="C100" s="113">
        <f t="shared" si="47"/>
        <v>0</v>
      </c>
    </row>
    <row r="101" spans="1:3" ht="15" customHeight="1">
      <c r="A101" s="89">
        <f>IF('Cash Flow Analysis'!C69="","",'Cash Flow Analysis'!C69)</f>
        <v>2</v>
      </c>
      <c r="B101" s="104">
        <f ca="1">SUM(G49,F50,E51,D52,C53)</f>
        <v>18822675.208382636</v>
      </c>
      <c r="C101" s="113">
        <f t="shared" si="47"/>
        <v>0</v>
      </c>
    </row>
    <row r="102" spans="1:3" ht="15" customHeight="1">
      <c r="A102" s="89">
        <f>IF('Cash Flow Analysis'!C70="","",'Cash Flow Analysis'!C70)</f>
        <v>3</v>
      </c>
      <c r="B102" s="104">
        <f ca="1">SUM(H49,G50,F51,E52,D53,C54)</f>
        <v>17515052.595064916</v>
      </c>
      <c r="C102" s="113">
        <f t="shared" si="47"/>
        <v>0</v>
      </c>
    </row>
    <row r="103" spans="1:3" ht="15" customHeight="1">
      <c r="A103" s="89">
        <f>IF('Cash Flow Analysis'!C71="","",'Cash Flow Analysis'!C71)</f>
        <v>4</v>
      </c>
      <c r="B103" s="104">
        <f ca="1">SUM(I49,H50,G51,F52,E53,D54,C55)</f>
        <v>16311009.733854938</v>
      </c>
      <c r="C103" s="113">
        <f t="shared" si="47"/>
        <v>0</v>
      </c>
    </row>
    <row r="104" spans="1:3" ht="15" customHeight="1">
      <c r="A104" s="89">
        <f>IF('Cash Flow Analysis'!C72="","",'Cash Flow Analysis'!C72)</f>
        <v>5</v>
      </c>
      <c r="B104" s="104">
        <f ca="1">SUM(J49,I50,H51,G52,F53,E54,D55,C56)</f>
        <v>15195424.536897125</v>
      </c>
      <c r="C104" s="113">
        <f t="shared" si="47"/>
        <v>0</v>
      </c>
    </row>
    <row r="105" spans="1:3" ht="15" customHeight="1">
      <c r="A105" s="89">
        <f>IF('Cash Flow Analysis'!C73="","",'Cash Flow Analysis'!C73)</f>
        <v>6</v>
      </c>
      <c r="B105" s="104">
        <f ca="1">SUM(K49,J50,I51,H52,G53,F54,E55,D56,C57)</f>
        <v>14168701.171785284</v>
      </c>
      <c r="C105" s="113">
        <f t="shared" si="47"/>
        <v>0</v>
      </c>
    </row>
    <row r="106" spans="1:3" ht="15" customHeight="1">
      <c r="A106" s="89">
        <f>IF('Cash Flow Analysis'!C74="","",'Cash Flow Analysis'!C74)</f>
        <v>7</v>
      </c>
      <c r="B106" s="104">
        <f ca="1">SUM(L49,K50,J51,I52,H53,G54,F55,E56,D57,C58)</f>
        <v>13218250.801591283</v>
      </c>
      <c r="C106" s="113">
        <f t="shared" si="47"/>
        <v>0</v>
      </c>
    </row>
    <row r="107" spans="1:3" ht="15" customHeight="1">
      <c r="A107" s="89">
        <f>IF('Cash Flow Analysis'!C75="","",'Cash Flow Analysis'!C75)</f>
        <v>8</v>
      </c>
      <c r="B107" s="104">
        <f ca="1">SUM(M49,L50,K51,J52,I53,H54,G55,F56,E57,D58,C59)</f>
        <v>12344423.380750876</v>
      </c>
      <c r="C107" s="113">
        <f t="shared" si="47"/>
        <v>0</v>
      </c>
    </row>
    <row r="108" spans="1:3" ht="15" customHeight="1">
      <c r="A108" s="89">
        <f>IF('Cash Flow Analysis'!C76="","",'Cash Flow Analysis'!C76)</f>
        <v>9</v>
      </c>
      <c r="B108" s="104">
        <f ca="1">SUM(N49,M50,L51,K52,J53,I54,H55,G56,F57,E58,D59,C60)</f>
        <v>12262613.116676437</v>
      </c>
      <c r="C108" s="113">
        <f t="shared" si="47"/>
        <v>0</v>
      </c>
    </row>
    <row r="109" spans="1:3" ht="15" customHeight="1">
      <c r="A109" s="89">
        <f>IF('Cash Flow Analysis'!C77="","",'Cash Flow Analysis'!C77)</f>
        <v>10</v>
      </c>
      <c r="B109" s="104">
        <f ca="1">SUM(O49,N50,M51,L52,K53,J54,I55,H56,G57,F58,E59,D60,C61)</f>
        <v>12334784.072029663</v>
      </c>
      <c r="C109" s="113">
        <f t="shared" si="47"/>
        <v>0</v>
      </c>
    </row>
    <row r="110" spans="1:3" ht="15" customHeight="1">
      <c r="A110" s="89">
        <f>IF('Cash Flow Analysis'!C78="","",'Cash Flow Analysis'!C78)</f>
        <v>11</v>
      </c>
      <c r="B110" s="104">
        <f ca="1">SUM(P49,O50,N51,M52,L53,K54,J55,I56,H57,G58,F59,E60,D61,C62)</f>
        <v>12413562.00812896</v>
      </c>
      <c r="C110" s="113">
        <f t="shared" si="47"/>
        <v>0</v>
      </c>
    </row>
    <row r="111" spans="1:3" ht="15" customHeight="1">
      <c r="A111" s="89">
        <f>IF('Cash Flow Analysis'!C79="","",'Cash Flow Analysis'!C79)</f>
        <v>12</v>
      </c>
      <c r="B111" s="104">
        <f ca="1">SUM(Q49,P50,O51,N52,M53,L54,K55,J56,I57,H58,G59,F60,E61,D62,C63)</f>
        <v>12488600.99241979</v>
      </c>
      <c r="C111" s="113">
        <f t="shared" si="47"/>
        <v>0</v>
      </c>
    </row>
    <row r="112" spans="1:3" ht="15" customHeight="1">
      <c r="A112" s="89">
        <f>IF('Cash Flow Analysis'!C80="","",'Cash Flow Analysis'!C80)</f>
        <v>13</v>
      </c>
      <c r="B112" s="104">
        <f ca="1">SUM(R49,Q50,P51,O52,N53,M54,L55,K56,J57,I58,H59,G60,F61,E62,D63,C64)</f>
        <v>12570301.450006496</v>
      </c>
      <c r="C112" s="113">
        <f t="shared" si="47"/>
        <v>0</v>
      </c>
    </row>
    <row r="113" spans="1:3" ht="15" customHeight="1">
      <c r="A113" s="89">
        <f>IF('Cash Flow Analysis'!C81="","",'Cash Flow Analysis'!C81)</f>
        <v>14</v>
      </c>
      <c r="B113" s="104">
        <f ca="1">SUM(S49,R50,Q51,P52,O53,N54,M55,L56,K57,J58,I59,H60,G61,F62,E63,D64,C65)</f>
        <v>12648318.483692994</v>
      </c>
      <c r="C113" s="113">
        <f t="shared" si="47"/>
        <v>0</v>
      </c>
    </row>
    <row r="114" spans="1:3" ht="15" customHeight="1">
      <c r="A114" s="89">
        <f>IF('Cash Flow Analysis'!C82="","",'Cash Flow Analysis'!C82)</f>
        <v>15</v>
      </c>
      <c r="B114" s="104">
        <f ca="1">SUM(T49,S50,R51,Q52,P53,O54,N55,M56,L57,K58,J59,I60,H61,G62,F63,E64,D65,C66)</f>
        <v>12733053.573613891</v>
      </c>
      <c r="C114" s="113">
        <f t="shared" si="47"/>
        <v>0</v>
      </c>
    </row>
    <row r="115" spans="1:3" ht="15" customHeight="1">
      <c r="A115" s="89">
        <f>IF('Cash Flow Analysis'!C83="","",'Cash Flow Analysis'!C83)</f>
        <v>16</v>
      </c>
      <c r="B115" s="104">
        <f ca="1">SUM(U49,T50,S51,R52,Q53,P54,O55,N56,M57,L58,K59,J60,I61,H62,G63,F64,E65,D66,C67)</f>
        <v>12814162.897648936</v>
      </c>
      <c r="C115" s="113">
        <f t="shared" si="47"/>
        <v>0</v>
      </c>
    </row>
    <row r="116" spans="1:3" ht="15" customHeight="1">
      <c r="A116" s="89">
        <f>IF('Cash Flow Analysis'!C84="","",'Cash Flow Analysis'!C84)</f>
        <v>17</v>
      </c>
      <c r="B116" s="104">
        <f ca="1">SUM(V49,U50,T51,S52,R53,Q54,P55,O56,N57,M58,L59,K60,J61,I62,H63,G64,F65,E66,D67,C68)</f>
        <v>12902049.031434996</v>
      </c>
      <c r="C116" s="113">
        <f t="shared" si="47"/>
        <v>0</v>
      </c>
    </row>
    <row r="117" spans="1:3" ht="15" customHeight="1">
      <c r="A117" s="89">
        <f>IF('Cash Flow Analysis'!C85="","",'Cash Flow Analysis'!C85)</f>
        <v>18</v>
      </c>
      <c r="B117" s="104">
        <f t="shared" ref="B117:B140" ca="1" si="48">SUM(W49,V50,U51,T52,S53,R54,Q55,P56,O57,N58,M59,L60,K61,J62,I63,H64,G65,F66,E67,D68,C69)</f>
        <v>12986369.269168638</v>
      </c>
      <c r="C117" s="113">
        <f t="shared" si="47"/>
        <v>0</v>
      </c>
    </row>
    <row r="118" spans="1:3" ht="15" customHeight="1">
      <c r="A118" s="89">
        <f>IF('Cash Flow Analysis'!C86="","",'Cash Flow Analysis'!C86)</f>
        <v>19</v>
      </c>
      <c r="B118" s="104">
        <f t="shared" ca="1" si="48"/>
        <v>13077527.324013574</v>
      </c>
      <c r="C118" s="113">
        <f t="shared" si="47"/>
        <v>0</v>
      </c>
    </row>
    <row r="119" spans="1:3" ht="15" customHeight="1">
      <c r="A119" s="89">
        <f>IF('Cash Flow Analysis'!C87="","",'Cash Flow Analysis'!C87)</f>
        <v>20</v>
      </c>
      <c r="B119" s="104">
        <f t="shared" ca="1" si="48"/>
        <v>13165181.649306208</v>
      </c>
      <c r="C119" s="113">
        <f t="shared" si="47"/>
        <v>0</v>
      </c>
    </row>
    <row r="120" spans="1:3" ht="15" customHeight="1">
      <c r="A120" s="89">
        <f>IF('Cash Flow Analysis'!C88="","",'Cash Flow Analysis'!C88)</f>
        <v>21</v>
      </c>
      <c r="B120" s="104">
        <f t="shared" ca="1" si="48"/>
        <v>7458832.0696565136</v>
      </c>
      <c r="C120" s="113">
        <f t="shared" si="47"/>
        <v>0</v>
      </c>
    </row>
    <row r="121" spans="1:3" ht="15" customHeight="1">
      <c r="A121" s="89">
        <f>IF('Cash Flow Analysis'!C89="","",'Cash Flow Analysis'!C89)</f>
        <v>22</v>
      </c>
      <c r="B121" s="104">
        <f t="shared" ca="1" si="48"/>
        <v>1720535.5307015595</v>
      </c>
      <c r="C121" s="113">
        <f t="shared" si="47"/>
        <v>0</v>
      </c>
    </row>
    <row r="122" spans="1:3" ht="15" customHeight="1">
      <c r="A122" s="89">
        <f>IF('Cash Flow Analysis'!C90="","",'Cash Flow Analysis'!C90)</f>
        <v>23</v>
      </c>
      <c r="B122" s="104">
        <f t="shared" ca="1" si="48"/>
        <v>1753225.7057848892</v>
      </c>
      <c r="C122" s="113">
        <f t="shared" si="47"/>
        <v>0</v>
      </c>
    </row>
    <row r="123" spans="1:3" ht="15" customHeight="1">
      <c r="A123" s="89">
        <f>IF('Cash Flow Analysis'!C91="","",'Cash Flow Analysis'!C91)</f>
        <v>24</v>
      </c>
      <c r="B123" s="104">
        <f t="shared" ca="1" si="48"/>
        <v>1786536.9941948019</v>
      </c>
      <c r="C123" s="113">
        <f t="shared" si="47"/>
        <v>0</v>
      </c>
    </row>
    <row r="124" spans="1:3" ht="15" customHeight="1">
      <c r="A124" s="89">
        <f>IF('Cash Flow Analysis'!C92="","",'Cash Flow Analysis'!C92)</f>
        <v>25</v>
      </c>
      <c r="B124" s="104">
        <f t="shared" ca="1" si="48"/>
        <v>1820481.1970845028</v>
      </c>
      <c r="C124" s="113">
        <f t="shared" si="47"/>
        <v>0</v>
      </c>
    </row>
    <row r="125" spans="1:3" ht="15" customHeight="1">
      <c r="A125" s="89">
        <f>IF('Cash Flow Analysis'!C93="","",'Cash Flow Analysis'!C93)</f>
        <v>26</v>
      </c>
      <c r="B125" s="104">
        <f t="shared" ca="1" si="48"/>
        <v>1855070.3398291087</v>
      </c>
      <c r="C125" s="113">
        <f t="shared" si="47"/>
        <v>0</v>
      </c>
    </row>
    <row r="126" spans="1:3" ht="15" customHeight="1">
      <c r="A126" s="89">
        <f>IF('Cash Flow Analysis'!C94="","",'Cash Flow Analysis'!C94)</f>
        <v>27</v>
      </c>
      <c r="B126" s="104">
        <f t="shared" ca="1" si="48"/>
        <v>1890316.6762858615</v>
      </c>
      <c r="C126" s="113">
        <f t="shared" si="47"/>
        <v>0</v>
      </c>
    </row>
    <row r="127" spans="1:3" ht="15" customHeight="1">
      <c r="A127" s="89">
        <f>IF('Cash Flow Analysis'!C95="","",'Cash Flow Analysis'!C95)</f>
        <v>28</v>
      </c>
      <c r="B127" s="104">
        <f t="shared" ca="1" si="48"/>
        <v>1926232.6931352932</v>
      </c>
      <c r="C127" s="113">
        <f t="shared" si="47"/>
        <v>0</v>
      </c>
    </row>
    <row r="128" spans="1:3" ht="15" customHeight="1">
      <c r="A128" s="89">
        <f>IF('Cash Flow Analysis'!C96="","",'Cash Flow Analysis'!C96)</f>
        <v>29</v>
      </c>
      <c r="B128" s="104">
        <f t="shared" ca="1" si="48"/>
        <v>1962831.1143048634</v>
      </c>
      <c r="C128" s="113">
        <f t="shared" si="47"/>
        <v>0</v>
      </c>
    </row>
    <row r="129" spans="1:3" ht="15" customHeight="1">
      <c r="A129" s="89">
        <f>IF('Cash Flow Analysis'!C97="","",'Cash Flow Analysis'!C97)</f>
        <v>30</v>
      </c>
      <c r="B129" s="104">
        <f t="shared" ca="1" si="48"/>
        <v>2000124.9054766556</v>
      </c>
      <c r="C129" s="113">
        <f t="shared" si="47"/>
        <v>0</v>
      </c>
    </row>
    <row r="130" spans="1:3" ht="15" customHeight="1">
      <c r="A130" s="89">
        <f>IF('Cash Flow Analysis'!C98="","",'Cash Flow Analysis'!C98)</f>
        <v>31</v>
      </c>
      <c r="B130" s="104">
        <f t="shared" ca="1" si="48"/>
        <v>2038127.2786807122</v>
      </c>
      <c r="C130" s="113">
        <f t="shared" si="47"/>
        <v>0</v>
      </c>
    </row>
    <row r="131" spans="1:3" ht="15" customHeight="1">
      <c r="A131" s="89">
        <f>IF('Cash Flow Analysis'!C99="","",'Cash Flow Analysis'!C99)</f>
        <v>32</v>
      </c>
      <c r="B131" s="104">
        <f t="shared" ca="1" si="48"/>
        <v>2076851.6969756454</v>
      </c>
      <c r="C131" s="113">
        <f t="shared" si="47"/>
        <v>0</v>
      </c>
    </row>
    <row r="132" spans="1:3" ht="15" customHeight="1">
      <c r="A132" s="89">
        <f>IF('Cash Flow Analysis'!C100="","",'Cash Flow Analysis'!C100)</f>
        <v>33</v>
      </c>
      <c r="B132" s="104">
        <f t="shared" ca="1" si="48"/>
        <v>2116311.879218183</v>
      </c>
      <c r="C132" s="113">
        <f t="shared" si="47"/>
        <v>0</v>
      </c>
    </row>
    <row r="133" spans="1:3" ht="15" customHeight="1">
      <c r="A133" s="89">
        <f>IF('Cash Flow Analysis'!C101="","",'Cash Flow Analysis'!C101)</f>
        <v>34</v>
      </c>
      <c r="B133" s="104">
        <f t="shared" ca="1" si="48"/>
        <v>2156521.8049233286</v>
      </c>
      <c r="C133" s="113">
        <f t="shared" si="47"/>
        <v>0</v>
      </c>
    </row>
    <row r="134" spans="1:3" ht="15" customHeight="1">
      <c r="A134" s="89">
        <f>IF('Cash Flow Analysis'!C102="","",'Cash Flow Analysis'!C102)</f>
        <v>35</v>
      </c>
      <c r="B134" s="104">
        <f t="shared" ca="1" si="48"/>
        <v>2197495.7192168715</v>
      </c>
      <c r="C134" s="113">
        <f t="shared" si="47"/>
        <v>0</v>
      </c>
    </row>
    <row r="135" spans="1:3" ht="15" customHeight="1">
      <c r="A135" s="89">
        <f>IF('Cash Flow Analysis'!C103="","",'Cash Flow Analysis'!C103)</f>
        <v>36</v>
      </c>
      <c r="B135" s="104">
        <f t="shared" ca="1" si="48"/>
        <v>2239248.1378819919</v>
      </c>
      <c r="C135" s="113">
        <f t="shared" si="47"/>
        <v>0</v>
      </c>
    </row>
    <row r="136" spans="1:3" ht="15" customHeight="1">
      <c r="A136" s="89">
        <f>IF('Cash Flow Analysis'!C104="","",'Cash Flow Analysis'!C104)</f>
        <v>37</v>
      </c>
      <c r="B136" s="104">
        <f t="shared" ca="1" si="48"/>
        <v>2281793.8525017495</v>
      </c>
      <c r="C136" s="113">
        <f t="shared" si="47"/>
        <v>0</v>
      </c>
    </row>
    <row r="137" spans="1:3" ht="15" customHeight="1">
      <c r="A137" s="89">
        <f>IF('Cash Flow Analysis'!C105="","",'Cash Flow Analysis'!C105)</f>
        <v>38</v>
      </c>
      <c r="B137" s="104">
        <f t="shared" ca="1" si="48"/>
        <v>2325147.9356992822</v>
      </c>
      <c r="C137" s="113">
        <f t="shared" si="47"/>
        <v>0</v>
      </c>
    </row>
    <row r="138" spans="1:3" ht="15" customHeight="1">
      <c r="A138" s="89">
        <f>IF('Cash Flow Analysis'!C106="","",'Cash Flow Analysis'!C106)</f>
        <v>39</v>
      </c>
      <c r="B138" s="104">
        <f t="shared" ca="1" si="48"/>
        <v>2369325.746477569</v>
      </c>
      <c r="C138" s="113">
        <f t="shared" si="47"/>
        <v>0</v>
      </c>
    </row>
    <row r="139" spans="1:3" ht="15" customHeight="1">
      <c r="A139" s="89">
        <f>IF('Cash Flow Analysis'!C107="","",'Cash Flow Analysis'!C107)</f>
        <v>40</v>
      </c>
      <c r="B139" s="104">
        <f t="shared" ca="1" si="48"/>
        <v>2414342.9356606426</v>
      </c>
      <c r="C139" s="113">
        <f t="shared" si="47"/>
        <v>0</v>
      </c>
    </row>
    <row r="140" spans="1:3" ht="15" customHeight="1" thickBot="1">
      <c r="A140" s="114" t="str">
        <f>IF('Cash Flow Analysis'!C108="","",'Cash Flow Analysis'!C108)</f>
        <v/>
      </c>
      <c r="B140" s="115">
        <f t="shared" ca="1" si="48"/>
        <v>2351273.333056841</v>
      </c>
      <c r="C140" s="116">
        <f t="shared" ca="1" si="47"/>
        <v>2351273.333056841</v>
      </c>
    </row>
    <row r="141" spans="1:3" ht="15" customHeight="1" thickTop="1" thickBot="1">
      <c r="A141" s="117" t="s">
        <v>62</v>
      </c>
      <c r="B141" s="118">
        <f ca="1">SUM(B97:B140)</f>
        <v>318463201.62288266</v>
      </c>
      <c r="C141" s="119">
        <f ca="1">SUM(C97:C140)</f>
        <v>2351273.333056841</v>
      </c>
    </row>
    <row r="142" spans="1:3" ht="15" customHeight="1" thickTop="1">
      <c r="A142" s="1"/>
      <c r="B142" s="120"/>
      <c r="C142" s="121"/>
    </row>
    <row r="143" spans="1:3" ht="15" customHeight="1" thickBot="1">
      <c r="A143" t="str">
        <f>IF('Cash Flow Analysis'!C109="","",'Cash Flow Analysis'!C109)</f>
        <v/>
      </c>
      <c r="B143" s="109"/>
    </row>
    <row r="144" spans="1:3" ht="31.5" customHeight="1" thickTop="1">
      <c r="A144" s="1628" t="s">
        <v>63</v>
      </c>
      <c r="B144" s="1629"/>
    </row>
    <row r="145" spans="1:2" ht="16.5" customHeight="1" thickBot="1">
      <c r="A145" s="122" t="s">
        <v>64</v>
      </c>
      <c r="B145" s="123" t="s">
        <v>60</v>
      </c>
    </row>
    <row r="146" spans="1:2" ht="15" customHeight="1" thickTop="1">
      <c r="A146" s="124">
        <v>1</v>
      </c>
      <c r="B146" s="100">
        <f ca="1">SUM(D92,E91,F90,G89,H88,I87,J86,K85,L84,M83,N82,O81,P80,Q79,R78,S77,T76,U75,V74,W73)</f>
        <v>2186226.6856929236</v>
      </c>
    </row>
    <row r="147" spans="1:2" ht="15" customHeight="1">
      <c r="A147" s="89">
        <v>2</v>
      </c>
      <c r="B147" s="105">
        <f ca="1">SUM(E92,F91,G90,H89,I88,J87,K86,L85,M84,N83,O82,P81,Q80,R79,S78,T77,U76,V75,W74)</f>
        <v>2033789.9195391431</v>
      </c>
    </row>
    <row r="148" spans="1:2" ht="15" customHeight="1">
      <c r="A148" s="89">
        <v>3</v>
      </c>
      <c r="B148" s="105">
        <f ca="1">SUM(F92,G91,H90,I89,J88,K87,L86,M85,N84,O83,P82,Q81,R80,S79,T78,U77,V76,W75)</f>
        <v>1892982.4706126212</v>
      </c>
    </row>
    <row r="149" spans="1:2" ht="15" customHeight="1">
      <c r="A149" s="89">
        <v>4</v>
      </c>
      <c r="B149" s="105">
        <f ca="1">SUM(G92,H91,I90,J89,K88,L87,M86,N85,O84,P83,Q82,R81,S80,T79,U78,V77,W76)</f>
        <v>1762979.451604215</v>
      </c>
    </row>
    <row r="150" spans="1:2" ht="15" customHeight="1">
      <c r="A150" s="89">
        <v>5</v>
      </c>
      <c r="B150" s="105">
        <f ca="1">SUM(H92,I91,J90,K89,L88,M87,N86,O85,P84,Q83,R82,S81,T80,U79,V78,W77)</f>
        <v>1642940.3023459073</v>
      </c>
    </row>
    <row r="151" spans="1:2" ht="15" customHeight="1">
      <c r="A151" s="89">
        <v>6</v>
      </c>
      <c r="B151" s="105">
        <f ca="1">SUM(I92,J91,K90,L89,M88,N87,O86,P85,Q84,R83,S82,T81,U80,V79,W78)</f>
        <v>1532153.7481843315</v>
      </c>
    </row>
    <row r="152" spans="1:2" ht="15" customHeight="1">
      <c r="A152" s="89">
        <v>7</v>
      </c>
      <c r="B152" s="105">
        <f ca="1">SUM(J92,K91,L90,M89,N88,O87,P86,Q85,R84,S83,T82,U81,V80,W79)</f>
        <v>1429895.0002477053</v>
      </c>
    </row>
    <row r="153" spans="1:2" ht="15" customHeight="1">
      <c r="A153" s="89">
        <v>8</v>
      </c>
      <c r="B153" s="105">
        <f ca="1">SUM(K92,L91,M90,N89,O88,P87,Q86,R85,S84,T83,U82,V81,W80)</f>
        <v>1327436.4099943852</v>
      </c>
    </row>
    <row r="154" spans="1:2" ht="15" customHeight="1">
      <c r="A154" s="89">
        <v>9</v>
      </c>
      <c r="B154" s="105">
        <f ca="1">SUM(L92,M91,N90,O89,P88,Q87,R86,S85,T84,U83,V82,W81)</f>
        <v>1223060.1577578201</v>
      </c>
    </row>
    <row r="155" spans="1:2" ht="15" customHeight="1">
      <c r="A155" s="89">
        <v>10</v>
      </c>
      <c r="B155" s="105">
        <f ca="1">SUM(M92,N91,O90,P89,Q88,R87,S86,T85,U84,V83,W82)</f>
        <v>1116671.7054971925</v>
      </c>
    </row>
    <row r="156" spans="1:2" ht="15" customHeight="1">
      <c r="A156" s="89">
        <v>11</v>
      </c>
      <c r="B156" s="105">
        <f ca="1">SUM(N92,O91,P90,Q89,R88,S87,T86,U85,V84,W83)</f>
        <v>1008290.9238751808</v>
      </c>
    </row>
    <row r="157" spans="1:2" ht="15" customHeight="1">
      <c r="A157" s="89">
        <v>12</v>
      </c>
      <c r="B157" s="105">
        <f ca="1">SUM(O92,P91,Q90,R89,S88,T87,U86,V85,W84)</f>
        <v>897821.8561707827</v>
      </c>
    </row>
    <row r="158" spans="1:2" ht="15" customHeight="1">
      <c r="A158" s="89">
        <v>13</v>
      </c>
      <c r="B158" s="105">
        <f ca="1">SUM(P92,Q91,R90,S89,T88,U87,V86,W85)</f>
        <v>785282.9274115694</v>
      </c>
    </row>
    <row r="159" spans="1:2" ht="15" customHeight="1">
      <c r="A159" s="89">
        <v>14</v>
      </c>
      <c r="B159" s="105">
        <f ca="1">SUM(Q92,R91,S90,T89,U88,V87,W86)</f>
        <v>670576.70777436276</v>
      </c>
    </row>
    <row r="160" spans="1:2" ht="15" customHeight="1">
      <c r="A160" s="89">
        <v>15</v>
      </c>
      <c r="B160" s="105">
        <f ca="1">SUM(R92,S91,T90,U89,V88,W87)</f>
        <v>553720.12119561748</v>
      </c>
    </row>
    <row r="161" spans="1:2" ht="15" customHeight="1">
      <c r="A161" s="89">
        <v>16</v>
      </c>
      <c r="B161" s="105">
        <f ca="1">SUM(S92,T91,U90,V89,W88)</f>
        <v>434614.20824030769</v>
      </c>
    </row>
    <row r="162" spans="1:2" ht="15" customHeight="1">
      <c r="A162" s="89">
        <v>17</v>
      </c>
      <c r="B162" s="105">
        <f ca="1">SUM(T92,U91,V90,W89)</f>
        <v>313274.33417041547</v>
      </c>
    </row>
    <row r="163" spans="1:2" ht="15" customHeight="1">
      <c r="A163" s="89">
        <v>18</v>
      </c>
      <c r="B163" s="105">
        <f ca="1">SUM(U92,V91,W90)</f>
        <v>189599.95126162685</v>
      </c>
    </row>
    <row r="164" spans="1:2" ht="15" customHeight="1">
      <c r="A164" s="89">
        <v>19</v>
      </c>
      <c r="B164" s="105">
        <f ca="1">SUM(V92,W91)</f>
        <v>63604.806309139611</v>
      </c>
    </row>
    <row r="165" spans="1:2" ht="15" customHeight="1" thickBot="1">
      <c r="A165" s="91">
        <v>20</v>
      </c>
      <c r="B165" s="92">
        <f>SUM(W92)</f>
        <v>0</v>
      </c>
    </row>
    <row r="166" spans="1:2" ht="15" thickTop="1" thickBot="1">
      <c r="A166" s="117" t="s">
        <v>62</v>
      </c>
      <c r="B166" s="125">
        <f ca="1">SUM(B146:B165)</f>
        <v>21064921.687885251</v>
      </c>
    </row>
    <row r="167" spans="1:2" ht="14" thickTop="1"/>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zoomScale="249" zoomScaleNormal="249" workbookViewId="0">
      <selection activeCell="A18" sqref="A18"/>
    </sheetView>
  </sheetViews>
  <sheetFormatPr baseColWidth="10" defaultColWidth="8.83203125" defaultRowHeight="13"/>
  <cols>
    <col min="1" max="1" width="33" customWidth="1"/>
    <col min="2" max="2" width="10" customWidth="1"/>
    <col min="3" max="3" width="14" customWidth="1"/>
    <col min="4" max="4" width="11.33203125" customWidth="1"/>
    <col min="5" max="5" width="60.6640625" customWidth="1"/>
    <col min="7" max="8" width="14" customWidth="1"/>
    <col min="11" max="11" width="14.33203125" customWidth="1"/>
    <col min="12" max="12" width="18.33203125" customWidth="1"/>
    <col min="15" max="15" width="12.5" bestFit="1" customWidth="1"/>
    <col min="16" max="16" width="14.33203125" customWidth="1"/>
  </cols>
  <sheetData>
    <row r="1" spans="1:5" s="2" customFormat="1" ht="14">
      <c r="A1" s="2" t="s">
        <v>284</v>
      </c>
      <c r="B1" s="2" t="s">
        <v>285</v>
      </c>
      <c r="C1" s="2" t="s">
        <v>286</v>
      </c>
    </row>
    <row r="2" spans="1:5" ht="14">
      <c r="A2" s="2" t="s">
        <v>287</v>
      </c>
    </row>
    <row r="3" spans="1:5">
      <c r="A3" t="s">
        <v>288</v>
      </c>
      <c r="B3" t="s">
        <v>289</v>
      </c>
      <c r="C3">
        <v>1.6093</v>
      </c>
      <c r="D3" t="s">
        <v>640</v>
      </c>
    </row>
    <row r="4" spans="1:5">
      <c r="A4" t="s">
        <v>290</v>
      </c>
      <c r="B4" t="s">
        <v>291</v>
      </c>
      <c r="C4">
        <v>3.7850000000000001</v>
      </c>
      <c r="D4" t="s">
        <v>641</v>
      </c>
    </row>
    <row r="5" spans="1:5">
      <c r="A5" t="s">
        <v>292</v>
      </c>
      <c r="B5" t="s">
        <v>293</v>
      </c>
      <c r="C5">
        <v>1.8263969224024776E-2</v>
      </c>
      <c r="D5" t="s">
        <v>642</v>
      </c>
    </row>
    <row r="6" spans="1:5">
      <c r="A6" t="s">
        <v>847</v>
      </c>
      <c r="B6" t="s">
        <v>1005</v>
      </c>
      <c r="C6">
        <v>2.6852999999999998E-2</v>
      </c>
      <c r="D6" t="s">
        <v>643</v>
      </c>
      <c r="E6" t="s">
        <v>707</v>
      </c>
    </row>
    <row r="7" spans="1:5">
      <c r="A7" t="s">
        <v>855</v>
      </c>
      <c r="B7" t="s">
        <v>268</v>
      </c>
      <c r="C7">
        <f>1/2.205</f>
        <v>0.45351473922902491</v>
      </c>
      <c r="D7" t="s">
        <v>644</v>
      </c>
    </row>
    <row r="8" spans="1:5">
      <c r="A8" t="s">
        <v>912</v>
      </c>
      <c r="B8" t="s">
        <v>1005</v>
      </c>
      <c r="C8">
        <v>2.8316999999999998E-2</v>
      </c>
      <c r="D8" t="s">
        <v>645</v>
      </c>
      <c r="E8" t="s">
        <v>708</v>
      </c>
    </row>
    <row r="9" spans="1:5">
      <c r="A9" t="s">
        <v>375</v>
      </c>
      <c r="B9" t="s">
        <v>413</v>
      </c>
      <c r="C9">
        <v>145.03800000000001</v>
      </c>
      <c r="D9" t="s">
        <v>549</v>
      </c>
    </row>
    <row r="11" spans="1:5" ht="14">
      <c r="A11" s="2" t="s">
        <v>294</v>
      </c>
    </row>
    <row r="12" spans="1:5">
      <c r="A12" t="s">
        <v>295</v>
      </c>
      <c r="B12" t="s">
        <v>296</v>
      </c>
      <c r="C12">
        <v>0.27777777777777779</v>
      </c>
    </row>
    <row r="13" spans="1:5">
      <c r="A13" t="s">
        <v>297</v>
      </c>
      <c r="B13" t="s">
        <v>296</v>
      </c>
      <c r="C13">
        <v>34.022625288888882</v>
      </c>
    </row>
    <row r="14" spans="1:5">
      <c r="A14" t="s">
        <v>298</v>
      </c>
      <c r="B14" t="s">
        <v>299</v>
      </c>
      <c r="C14">
        <v>0.97933196399532141</v>
      </c>
    </row>
    <row r="15" spans="1:5">
      <c r="A15" t="s">
        <v>298</v>
      </c>
      <c r="B15" t="s">
        <v>296</v>
      </c>
      <c r="C15">
        <f>kgH2_to_GJ*MJ_to_kWh*1000</f>
        <v>33.392121748655818</v>
      </c>
    </row>
    <row r="16" spans="1:5">
      <c r="A16" t="s">
        <v>298</v>
      </c>
      <c r="B16" t="s">
        <v>1071</v>
      </c>
      <c r="C16">
        <f>H2_LHV_MJ_p_kg/1000</f>
        <v>0.12021163829516093</v>
      </c>
    </row>
    <row r="17" spans="1:3">
      <c r="A17" t="s">
        <v>300</v>
      </c>
      <c r="B17" t="s">
        <v>296</v>
      </c>
      <c r="C17">
        <v>2.9308323563892143E-4</v>
      </c>
    </row>
    <row r="18" spans="1:3">
      <c r="A18" t="s">
        <v>1070</v>
      </c>
      <c r="B18" t="s">
        <v>1071</v>
      </c>
      <c r="C18">
        <v>1.0549999999999999</v>
      </c>
    </row>
    <row r="21" spans="1:3" ht="14">
      <c r="A21" s="2" t="s">
        <v>535</v>
      </c>
      <c r="C21" s="40" t="s">
        <v>837</v>
      </c>
    </row>
    <row r="22" spans="1:3">
      <c r="A22" t="s">
        <v>401</v>
      </c>
      <c r="B22">
        <v>1</v>
      </c>
    </row>
    <row r="23" spans="1:3">
      <c r="A23" t="s">
        <v>402</v>
      </c>
      <c r="B23">
        <v>25</v>
      </c>
    </row>
    <row r="24" spans="1:3">
      <c r="A24" t="s">
        <v>403</v>
      </c>
      <c r="B24">
        <v>298</v>
      </c>
    </row>
    <row r="27" spans="1:3" ht="14">
      <c r="A27" s="2" t="s">
        <v>702</v>
      </c>
    </row>
    <row r="28" spans="1:3">
      <c r="A28" t="s">
        <v>703</v>
      </c>
      <c r="B28" s="282" t="s">
        <v>704</v>
      </c>
    </row>
    <row r="29" spans="1:3">
      <c r="A29" t="s">
        <v>861</v>
      </c>
      <c r="B29">
        <f>mmBTU_to_GJ</f>
        <v>1.0549999999999999</v>
      </c>
    </row>
    <row r="30" spans="1:3">
      <c r="A30" t="s">
        <v>296</v>
      </c>
      <c r="B30">
        <f>1/MJ_to_kWh/1000</f>
        <v>3.5999999999999995E-3</v>
      </c>
    </row>
    <row r="31" spans="1:3">
      <c r="A31" t="s">
        <v>1071</v>
      </c>
      <c r="B31">
        <v>1</v>
      </c>
    </row>
  </sheetData>
  <phoneticPr fontId="2"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workbookViewId="0">
      <selection activeCell="A3" sqref="A3"/>
    </sheetView>
  </sheetViews>
  <sheetFormatPr baseColWidth="10" defaultColWidth="8.83203125" defaultRowHeight="13"/>
  <cols>
    <col min="1" max="1" width="17" customWidth="1"/>
    <col min="3" max="3" width="13.6640625" customWidth="1"/>
    <col min="5" max="5" width="16" customWidth="1"/>
    <col min="7" max="7" width="56.5" customWidth="1"/>
    <col min="8" max="8" width="18.6640625" customWidth="1"/>
    <col min="10" max="10" width="22.33203125" customWidth="1"/>
    <col min="11" max="11" width="33.6640625" customWidth="1"/>
    <col min="13" max="13" width="21" customWidth="1"/>
    <col min="15" max="15" width="20.6640625" customWidth="1"/>
    <col min="16" max="16" width="17.33203125" customWidth="1"/>
    <col min="17" max="17" width="16.33203125" customWidth="1"/>
    <col min="18" max="18" width="21" customWidth="1"/>
    <col min="20" max="20" width="14.5" customWidth="1"/>
    <col min="22" max="22" width="18.5" customWidth="1"/>
    <col min="25" max="25" width="22.5" customWidth="1"/>
    <col min="26" max="26" width="15.33203125" customWidth="1"/>
    <col min="27" max="27" width="12.5" bestFit="1" customWidth="1"/>
    <col min="28" max="28" width="18.6640625" customWidth="1"/>
    <col min="29" max="29" width="18.5" customWidth="1"/>
  </cols>
  <sheetData>
    <row r="1" spans="1:29">
      <c r="A1" s="1" t="s">
        <v>1088</v>
      </c>
    </row>
    <row r="2" spans="1:29">
      <c r="J2" s="1" t="s">
        <v>812</v>
      </c>
    </row>
    <row r="3" spans="1:29">
      <c r="A3" s="1" t="s">
        <v>1002</v>
      </c>
      <c r="C3" s="1" t="s">
        <v>22</v>
      </c>
      <c r="E3" s="1" t="s">
        <v>166</v>
      </c>
      <c r="G3" s="1" t="s">
        <v>11</v>
      </c>
      <c r="J3" s="40" t="s">
        <v>1113</v>
      </c>
      <c r="M3" s="1" t="s">
        <v>75</v>
      </c>
      <c r="O3" s="1" t="s">
        <v>437</v>
      </c>
      <c r="Q3" s="282" t="s">
        <v>1350</v>
      </c>
      <c r="R3" s="1" t="s">
        <v>664</v>
      </c>
      <c r="T3" s="1" t="s">
        <v>432</v>
      </c>
      <c r="V3" s="1" t="s">
        <v>434</v>
      </c>
      <c r="Y3" s="1" t="s">
        <v>346</v>
      </c>
      <c r="AA3" s="282" t="s">
        <v>1350</v>
      </c>
      <c r="AB3" s="1" t="s">
        <v>1063</v>
      </c>
    </row>
    <row r="4" spans="1:29">
      <c r="A4" t="s">
        <v>1003</v>
      </c>
      <c r="C4" t="s">
        <v>23</v>
      </c>
      <c r="E4" s="1">
        <v>100000</v>
      </c>
      <c r="G4" t="s">
        <v>324</v>
      </c>
      <c r="H4" t="s">
        <v>8</v>
      </c>
      <c r="J4" s="40" t="s">
        <v>1101</v>
      </c>
      <c r="M4" t="s">
        <v>1039</v>
      </c>
      <c r="O4" t="str">
        <f>M7</f>
        <v>ref_year</v>
      </c>
      <c r="P4">
        <v>2016</v>
      </c>
      <c r="Q4" t="b">
        <v>1</v>
      </c>
      <c r="R4" s="40" t="s">
        <v>1039</v>
      </c>
      <c r="T4">
        <v>1</v>
      </c>
      <c r="U4" t="s">
        <v>433</v>
      </c>
      <c r="V4" t="s">
        <v>415</v>
      </c>
      <c r="W4">
        <v>1.1000000000000001</v>
      </c>
      <c r="Y4" t="s">
        <v>339</v>
      </c>
      <c r="Z4">
        <v>0.9</v>
      </c>
      <c r="AA4" t="b">
        <v>0</v>
      </c>
      <c r="AB4" t="s">
        <v>27</v>
      </c>
      <c r="AC4" s="40" t="s">
        <v>823</v>
      </c>
    </row>
    <row r="5" spans="1:29">
      <c r="A5" t="s">
        <v>1004</v>
      </c>
      <c r="C5" t="s">
        <v>282</v>
      </c>
      <c r="G5" t="s">
        <v>335</v>
      </c>
      <c r="H5" t="s">
        <v>26</v>
      </c>
      <c r="J5" s="40" t="s">
        <v>1102</v>
      </c>
      <c r="M5" t="s">
        <v>8</v>
      </c>
      <c r="O5" t="str">
        <f>M18</f>
        <v>depr_type</v>
      </c>
      <c r="P5" t="s">
        <v>436</v>
      </c>
      <c r="Q5" t="b">
        <v>1</v>
      </c>
      <c r="R5" s="40" t="s">
        <v>933</v>
      </c>
      <c r="T5">
        <v>1.2</v>
      </c>
      <c r="U5" t="s">
        <v>422</v>
      </c>
      <c r="V5" t="s">
        <v>416</v>
      </c>
      <c r="W5">
        <v>1</v>
      </c>
      <c r="Y5" t="s">
        <v>340</v>
      </c>
      <c r="Z5">
        <v>0.04</v>
      </c>
      <c r="AA5" t="b">
        <v>1</v>
      </c>
      <c r="AB5" t="s">
        <v>179</v>
      </c>
      <c r="AC5" s="40" t="s">
        <v>823</v>
      </c>
    </row>
    <row r="6" spans="1:29">
      <c r="G6" t="s">
        <v>371</v>
      </c>
      <c r="H6" t="s">
        <v>182</v>
      </c>
      <c r="J6" s="40" t="s">
        <v>1103</v>
      </c>
      <c r="M6" t="s">
        <v>26</v>
      </c>
      <c r="O6" t="str">
        <f>M19</f>
        <v>equity</v>
      </c>
      <c r="P6" s="1217">
        <v>0.4</v>
      </c>
      <c r="Q6" t="b">
        <v>1</v>
      </c>
      <c r="R6" s="40" t="s">
        <v>934</v>
      </c>
      <c r="V6" t="s">
        <v>417</v>
      </c>
      <c r="W6">
        <v>1.05</v>
      </c>
      <c r="Y6" t="s">
        <v>548</v>
      </c>
      <c r="Z6">
        <v>14.7</v>
      </c>
      <c r="AA6" t="b">
        <v>1</v>
      </c>
      <c r="AB6" t="s">
        <v>171</v>
      </c>
      <c r="AC6" s="40" t="s">
        <v>823</v>
      </c>
    </row>
    <row r="7" spans="1:29">
      <c r="A7" s="1" t="s">
        <v>270</v>
      </c>
      <c r="C7" s="1" t="s">
        <v>1054</v>
      </c>
      <c r="G7" t="s">
        <v>372</v>
      </c>
      <c r="H7" t="s">
        <v>10</v>
      </c>
      <c r="J7" s="282" t="s">
        <v>1286</v>
      </c>
      <c r="M7" t="s">
        <v>1022</v>
      </c>
      <c r="O7" t="str">
        <f t="shared" ref="O7:O13" si="0">M25</f>
        <v>decom_percent</v>
      </c>
      <c r="P7">
        <v>0.1</v>
      </c>
      <c r="Q7" t="b">
        <v>1</v>
      </c>
      <c r="R7" s="40" t="s">
        <v>935</v>
      </c>
      <c r="V7" t="s">
        <v>418</v>
      </c>
      <c r="W7">
        <v>1.1000000000000001</v>
      </c>
      <c r="Y7" t="s">
        <v>959</v>
      </c>
      <c r="Z7">
        <v>0</v>
      </c>
      <c r="AA7" t="b">
        <v>1</v>
      </c>
      <c r="AB7" t="s">
        <v>173</v>
      </c>
      <c r="AC7" s="40" t="s">
        <v>823</v>
      </c>
    </row>
    <row r="8" spans="1:29">
      <c r="A8" t="s">
        <v>248</v>
      </c>
      <c r="C8" t="s">
        <v>1049</v>
      </c>
      <c r="G8" t="s">
        <v>376</v>
      </c>
      <c r="H8" t="s">
        <v>181</v>
      </c>
      <c r="M8" t="s">
        <v>182</v>
      </c>
      <c r="O8" t="str">
        <f t="shared" si="0"/>
        <v>salvage_perct</v>
      </c>
      <c r="P8">
        <v>0.1</v>
      </c>
      <c r="Q8" t="b">
        <v>1</v>
      </c>
      <c r="R8" s="40" t="s">
        <v>936</v>
      </c>
      <c r="V8" t="s">
        <v>420</v>
      </c>
      <c r="W8">
        <v>1.1000000000000001</v>
      </c>
      <c r="Y8" s="282" t="s">
        <v>1266</v>
      </c>
      <c r="Z8" s="282">
        <v>1</v>
      </c>
      <c r="AA8" t="b">
        <v>1</v>
      </c>
      <c r="AB8" t="s">
        <v>29</v>
      </c>
      <c r="AC8" s="40" t="s">
        <v>823</v>
      </c>
    </row>
    <row r="9" spans="1:29">
      <c r="A9" t="s">
        <v>271</v>
      </c>
      <c r="C9" t="s">
        <v>271</v>
      </c>
      <c r="G9" t="s">
        <v>377</v>
      </c>
      <c r="H9" t="s">
        <v>170</v>
      </c>
      <c r="M9" t="s">
        <v>10</v>
      </c>
      <c r="O9" t="str">
        <f t="shared" si="0"/>
        <v>inflation_rate</v>
      </c>
      <c r="P9">
        <v>1.9E-2</v>
      </c>
      <c r="Q9" t="b">
        <v>1</v>
      </c>
      <c r="R9" s="40" t="s">
        <v>937</v>
      </c>
      <c r="V9" t="s">
        <v>419</v>
      </c>
      <c r="W9">
        <v>1.3</v>
      </c>
      <c r="Y9" s="282" t="s">
        <v>345</v>
      </c>
      <c r="Z9" s="282">
        <v>100</v>
      </c>
      <c r="AA9" t="b">
        <v>1</v>
      </c>
      <c r="AB9" t="s">
        <v>159</v>
      </c>
      <c r="AC9" s="40" t="s">
        <v>823</v>
      </c>
    </row>
    <row r="10" spans="1:29">
      <c r="A10" t="s">
        <v>272</v>
      </c>
      <c r="C10" t="s">
        <v>1055</v>
      </c>
      <c r="G10" t="s">
        <v>325</v>
      </c>
      <c r="H10" t="s">
        <v>18</v>
      </c>
      <c r="M10" t="s">
        <v>161</v>
      </c>
      <c r="O10" t="str">
        <f t="shared" si="0"/>
        <v>real_irr</v>
      </c>
      <c r="P10" s="1217">
        <v>0.08</v>
      </c>
      <c r="Q10" t="b">
        <v>1</v>
      </c>
      <c r="R10" s="40" t="s">
        <v>938</v>
      </c>
      <c r="V10" t="s">
        <v>421</v>
      </c>
      <c r="W10">
        <v>1.5</v>
      </c>
      <c r="Y10" s="282" t="s">
        <v>1248</v>
      </c>
      <c r="Z10" s="282">
        <v>0.75</v>
      </c>
      <c r="AA10" t="b">
        <v>1</v>
      </c>
      <c r="AB10" t="s">
        <v>169</v>
      </c>
      <c r="AC10" s="40" t="s">
        <v>823</v>
      </c>
    </row>
    <row r="11" spans="1:29">
      <c r="C11" t="s">
        <v>1068</v>
      </c>
      <c r="G11" t="s">
        <v>326</v>
      </c>
      <c r="H11" t="s">
        <v>178</v>
      </c>
      <c r="J11" s="1" t="s">
        <v>691</v>
      </c>
      <c r="K11" s="1" t="s">
        <v>692</v>
      </c>
      <c r="M11" t="s">
        <v>162</v>
      </c>
      <c r="O11" t="str">
        <f t="shared" si="0"/>
        <v>state_tax_rate</v>
      </c>
      <c r="P11">
        <v>0.06</v>
      </c>
      <c r="Q11" t="b">
        <v>1</v>
      </c>
      <c r="R11" s="40" t="s">
        <v>939</v>
      </c>
      <c r="Y11" s="282" t="s">
        <v>1249</v>
      </c>
      <c r="Z11" s="1089" t="s">
        <v>23</v>
      </c>
      <c r="AA11" t="b">
        <v>1</v>
      </c>
      <c r="AB11" t="s">
        <v>1090</v>
      </c>
      <c r="AC11" t="s">
        <v>836</v>
      </c>
    </row>
    <row r="12" spans="1:29">
      <c r="C12" t="s">
        <v>272</v>
      </c>
      <c r="G12" t="s">
        <v>327</v>
      </c>
      <c r="H12" t="s">
        <v>30</v>
      </c>
      <c r="J12" s="751" t="str">
        <f>TMP_PriceTable</f>
        <v>AEO_2017_Reference_Case</v>
      </c>
      <c r="K12" t="str">
        <f>J12&amp;"_Feeds"</f>
        <v>AEO_2017_Reference_Case_Feeds</v>
      </c>
      <c r="M12" t="s">
        <v>163</v>
      </c>
      <c r="O12" t="str">
        <f t="shared" si="0"/>
        <v>fed_tax_rate</v>
      </c>
      <c r="P12" s="1217">
        <v>0.21</v>
      </c>
      <c r="Q12" t="b">
        <v>1</v>
      </c>
      <c r="R12" s="40" t="s">
        <v>940</v>
      </c>
      <c r="Y12" s="282" t="s">
        <v>1250</v>
      </c>
      <c r="Z12" s="1089" t="s">
        <v>23</v>
      </c>
      <c r="AA12" t="b">
        <v>1</v>
      </c>
      <c r="AB12" t="s">
        <v>1091</v>
      </c>
      <c r="AC12" t="s">
        <v>1059</v>
      </c>
    </row>
    <row r="13" spans="1:29">
      <c r="G13" t="s">
        <v>328</v>
      </c>
      <c r="H13" t="s">
        <v>174</v>
      </c>
      <c r="K13" s="1" t="s">
        <v>693</v>
      </c>
      <c r="M13" t="s">
        <v>164</v>
      </c>
      <c r="O13" t="str">
        <f t="shared" si="0"/>
        <v>WorkingCap</v>
      </c>
      <c r="P13">
        <v>0.15</v>
      </c>
      <c r="Q13" t="b">
        <v>1</v>
      </c>
      <c r="R13" s="40" t="s">
        <v>941</v>
      </c>
      <c r="Y13" s="282" t="s">
        <v>1251</v>
      </c>
      <c r="Z13" s="282">
        <v>0</v>
      </c>
      <c r="AA13" t="b">
        <v>1</v>
      </c>
      <c r="AB13" t="s">
        <v>1019</v>
      </c>
      <c r="AC13">
        <v>0.25</v>
      </c>
    </row>
    <row r="14" spans="1:29">
      <c r="A14" s="1" t="s">
        <v>16</v>
      </c>
      <c r="C14" s="1" t="s">
        <v>199</v>
      </c>
      <c r="G14" t="s">
        <v>329</v>
      </c>
      <c r="H14" t="s">
        <v>184</v>
      </c>
      <c r="K14" t="str">
        <f>J12&amp;"_Years"</f>
        <v>AEO_2017_Reference_Case_Years</v>
      </c>
      <c r="M14" t="s">
        <v>181</v>
      </c>
      <c r="O14" t="s">
        <v>160</v>
      </c>
      <c r="P14">
        <v>0.2</v>
      </c>
      <c r="Q14" t="b">
        <v>1</v>
      </c>
      <c r="R14" t="s">
        <v>8</v>
      </c>
      <c r="Y14" s="282" t="s">
        <v>1252</v>
      </c>
      <c r="Z14" s="282">
        <v>53</v>
      </c>
      <c r="AA14" t="b">
        <v>1</v>
      </c>
      <c r="AB14" t="s">
        <v>1020</v>
      </c>
      <c r="AC14" t="s">
        <v>836</v>
      </c>
    </row>
    <row r="15" spans="1:29">
      <c r="A15" t="s">
        <v>191</v>
      </c>
      <c r="C15" s="687" t="s">
        <v>200</v>
      </c>
      <c r="G15" t="s">
        <v>330</v>
      </c>
      <c r="H15" t="s">
        <v>28</v>
      </c>
      <c r="M15" t="s">
        <v>170</v>
      </c>
      <c r="O15" t="s">
        <v>186</v>
      </c>
      <c r="P15">
        <v>0.02</v>
      </c>
      <c r="Q15" t="b">
        <v>1</v>
      </c>
      <c r="R15" t="s">
        <v>26</v>
      </c>
      <c r="Y15" s="1086"/>
      <c r="Z15" s="1086"/>
      <c r="AB15" t="s">
        <v>31</v>
      </c>
      <c r="AC15" t="s">
        <v>1059</v>
      </c>
    </row>
    <row r="16" spans="1:29" ht="14">
      <c r="A16" t="s">
        <v>192</v>
      </c>
      <c r="C16" s="688" t="s">
        <v>201</v>
      </c>
      <c r="G16" t="s">
        <v>331</v>
      </c>
      <c r="H16" t="s">
        <v>189</v>
      </c>
      <c r="M16" t="s">
        <v>7</v>
      </c>
      <c r="O16" t="s">
        <v>177</v>
      </c>
      <c r="P16">
        <v>0</v>
      </c>
      <c r="R16" t="s">
        <v>1022</v>
      </c>
      <c r="Y16" s="1086"/>
      <c r="Z16" s="1087"/>
      <c r="AB16" t="s">
        <v>175</v>
      </c>
      <c r="AC16" t="s">
        <v>1059</v>
      </c>
    </row>
    <row r="17" spans="1:29">
      <c r="A17" t="s">
        <v>243</v>
      </c>
      <c r="C17" s="711" t="s">
        <v>499</v>
      </c>
      <c r="G17" t="s">
        <v>12</v>
      </c>
      <c r="H17" t="s">
        <v>246</v>
      </c>
      <c r="M17" t="s">
        <v>24</v>
      </c>
      <c r="O17" t="s">
        <v>156</v>
      </c>
      <c r="P17">
        <v>0</v>
      </c>
      <c r="R17" t="s">
        <v>182</v>
      </c>
      <c r="AB17" t="s">
        <v>1021</v>
      </c>
      <c r="AC17" t="s">
        <v>1059</v>
      </c>
    </row>
    <row r="18" spans="1:29">
      <c r="A18" t="s">
        <v>244</v>
      </c>
      <c r="C18" s="689" t="s">
        <v>1029</v>
      </c>
      <c r="G18" t="s">
        <v>117</v>
      </c>
      <c r="H18" t="s">
        <v>971</v>
      </c>
      <c r="M18" t="s">
        <v>25</v>
      </c>
      <c r="O18" t="s">
        <v>185</v>
      </c>
      <c r="P18">
        <v>0</v>
      </c>
      <c r="R18" t="s">
        <v>10</v>
      </c>
      <c r="Y18" s="1086"/>
      <c r="Z18" s="1086"/>
      <c r="AB18" t="s">
        <v>172</v>
      </c>
      <c r="AC18" t="s">
        <v>1059</v>
      </c>
    </row>
    <row r="19" spans="1:29">
      <c r="A19" t="s">
        <v>245</v>
      </c>
      <c r="C19" s="427" t="s">
        <v>202</v>
      </c>
      <c r="G19" t="s">
        <v>632</v>
      </c>
      <c r="H19" t="s">
        <v>633</v>
      </c>
      <c r="M19" t="s">
        <v>247</v>
      </c>
      <c r="O19" t="s">
        <v>961</v>
      </c>
      <c r="P19">
        <v>0</v>
      </c>
      <c r="R19" t="s">
        <v>161</v>
      </c>
      <c r="Y19" s="1086"/>
      <c r="Z19" s="1086"/>
      <c r="AB19" t="s">
        <v>157</v>
      </c>
      <c r="AC19" t="s">
        <v>1058</v>
      </c>
    </row>
    <row r="20" spans="1:29">
      <c r="A20" t="s">
        <v>17</v>
      </c>
      <c r="G20" t="s">
        <v>350</v>
      </c>
      <c r="H20" t="s">
        <v>1090</v>
      </c>
      <c r="M20" t="s">
        <v>13</v>
      </c>
      <c r="O20" t="s">
        <v>962</v>
      </c>
      <c r="P20">
        <v>0</v>
      </c>
      <c r="R20" t="s">
        <v>162</v>
      </c>
      <c r="Y20" s="1086"/>
      <c r="Z20" s="1086"/>
      <c r="AB20" t="s">
        <v>158</v>
      </c>
      <c r="AC20" t="s">
        <v>1059</v>
      </c>
    </row>
    <row r="21" spans="1:29">
      <c r="G21" t="s">
        <v>660</v>
      </c>
      <c r="H21" t="s">
        <v>1019</v>
      </c>
      <c r="M21" t="s">
        <v>14</v>
      </c>
      <c r="R21" t="s">
        <v>163</v>
      </c>
      <c r="AB21" t="s">
        <v>187</v>
      </c>
      <c r="AC21" t="s">
        <v>1058</v>
      </c>
    </row>
    <row r="22" spans="1:29">
      <c r="G22" t="s">
        <v>332</v>
      </c>
      <c r="H22" t="s">
        <v>160</v>
      </c>
      <c r="M22" t="s">
        <v>165</v>
      </c>
      <c r="R22" t="s">
        <v>164</v>
      </c>
      <c r="AB22" t="s">
        <v>280</v>
      </c>
      <c r="AC22" t="s">
        <v>1058</v>
      </c>
    </row>
    <row r="23" spans="1:29">
      <c r="A23" s="1" t="s">
        <v>835</v>
      </c>
      <c r="G23" t="s">
        <v>333</v>
      </c>
      <c r="H23" t="s">
        <v>186</v>
      </c>
      <c r="M23" t="s">
        <v>167</v>
      </c>
      <c r="R23" t="s">
        <v>181</v>
      </c>
      <c r="AB23" t="s">
        <v>188</v>
      </c>
      <c r="AC23" t="s">
        <v>1058</v>
      </c>
    </row>
    <row r="24" spans="1:29">
      <c r="A24" s="40" t="s">
        <v>1058</v>
      </c>
      <c r="G24" t="s">
        <v>357</v>
      </c>
      <c r="H24" t="s">
        <v>175</v>
      </c>
      <c r="M24" t="s">
        <v>168</v>
      </c>
      <c r="R24" t="s">
        <v>170</v>
      </c>
      <c r="AB24" t="s">
        <v>180</v>
      </c>
      <c r="AC24" t="s">
        <v>1058</v>
      </c>
    </row>
    <row r="25" spans="1:29">
      <c r="A25" s="40" t="s">
        <v>1059</v>
      </c>
      <c r="G25" t="s">
        <v>358</v>
      </c>
      <c r="H25" t="s">
        <v>1021</v>
      </c>
      <c r="M25" t="s">
        <v>18</v>
      </c>
      <c r="R25" t="s">
        <v>7</v>
      </c>
      <c r="AB25" t="s">
        <v>177</v>
      </c>
      <c r="AC25" t="s">
        <v>1058</v>
      </c>
    </row>
    <row r="26" spans="1:29">
      <c r="A26" s="40" t="s">
        <v>836</v>
      </c>
      <c r="G26" t="s">
        <v>359</v>
      </c>
      <c r="H26" t="s">
        <v>172</v>
      </c>
      <c r="M26" t="s">
        <v>178</v>
      </c>
      <c r="R26" t="s">
        <v>24</v>
      </c>
      <c r="AB26" t="s">
        <v>156</v>
      </c>
      <c r="AC26" t="s">
        <v>1058</v>
      </c>
    </row>
    <row r="27" spans="1:29">
      <c r="A27" s="40" t="s">
        <v>823</v>
      </c>
      <c r="G27" t="s">
        <v>363</v>
      </c>
      <c r="H27" t="s">
        <v>188</v>
      </c>
      <c r="M27" t="s">
        <v>30</v>
      </c>
      <c r="R27" t="s">
        <v>25</v>
      </c>
      <c r="AB27" t="s">
        <v>185</v>
      </c>
      <c r="AC27" t="s">
        <v>1058</v>
      </c>
    </row>
    <row r="28" spans="1:29">
      <c r="A28">
        <v>0.1</v>
      </c>
      <c r="G28" t="s">
        <v>364</v>
      </c>
      <c r="H28" t="s">
        <v>180</v>
      </c>
      <c r="M28" t="s">
        <v>174</v>
      </c>
      <c r="R28" t="s">
        <v>247</v>
      </c>
      <c r="AB28" t="s">
        <v>1062</v>
      </c>
      <c r="AC28" t="s">
        <v>823</v>
      </c>
    </row>
    <row r="29" spans="1:29">
      <c r="A29">
        <v>0.2</v>
      </c>
      <c r="G29" t="s">
        <v>997</v>
      </c>
      <c r="H29" t="s">
        <v>9</v>
      </c>
      <c r="M29" t="s">
        <v>184</v>
      </c>
      <c r="R29" t="s">
        <v>13</v>
      </c>
    </row>
    <row r="30" spans="1:29">
      <c r="A30">
        <v>0.25</v>
      </c>
      <c r="G30" t="s">
        <v>832</v>
      </c>
      <c r="H30" t="s">
        <v>833</v>
      </c>
      <c r="M30" t="s">
        <v>28</v>
      </c>
      <c r="R30" t="s">
        <v>14</v>
      </c>
    </row>
    <row r="31" spans="1:29">
      <c r="A31">
        <v>0.3</v>
      </c>
      <c r="G31" t="s">
        <v>1425</v>
      </c>
      <c r="H31" t="s">
        <v>1426</v>
      </c>
      <c r="M31" t="s">
        <v>189</v>
      </c>
      <c r="R31" t="s">
        <v>165</v>
      </c>
    </row>
    <row r="32" spans="1:29">
      <c r="A32">
        <v>0.4</v>
      </c>
      <c r="G32" t="s">
        <v>832</v>
      </c>
      <c r="H32" t="s">
        <v>833</v>
      </c>
      <c r="M32" t="s">
        <v>1090</v>
      </c>
      <c r="R32" t="s">
        <v>167</v>
      </c>
    </row>
    <row r="33" spans="1:18">
      <c r="A33">
        <v>0.5</v>
      </c>
      <c r="M33" t="s">
        <v>1091</v>
      </c>
      <c r="R33" t="s">
        <v>168</v>
      </c>
    </row>
    <row r="34" spans="1:18">
      <c r="A34">
        <v>0.6</v>
      </c>
      <c r="M34" t="s">
        <v>1019</v>
      </c>
      <c r="R34" t="s">
        <v>18</v>
      </c>
    </row>
    <row r="35" spans="1:18">
      <c r="A35">
        <v>0.7</v>
      </c>
      <c r="M35" t="s">
        <v>1020</v>
      </c>
      <c r="R35" t="s">
        <v>178</v>
      </c>
    </row>
    <row r="36" spans="1:18">
      <c r="A36">
        <v>0.8</v>
      </c>
      <c r="M36" t="s">
        <v>160</v>
      </c>
      <c r="R36" t="s">
        <v>30</v>
      </c>
    </row>
    <row r="37" spans="1:18">
      <c r="A37">
        <v>0.9</v>
      </c>
      <c r="M37" t="s">
        <v>186</v>
      </c>
      <c r="R37" t="s">
        <v>174</v>
      </c>
    </row>
    <row r="38" spans="1:18">
      <c r="M38" t="s">
        <v>175</v>
      </c>
      <c r="R38" t="s">
        <v>184</v>
      </c>
    </row>
    <row r="39" spans="1:18">
      <c r="M39" t="s">
        <v>1021</v>
      </c>
      <c r="R39" t="s">
        <v>28</v>
      </c>
    </row>
    <row r="40" spans="1:18">
      <c r="M40" t="s">
        <v>172</v>
      </c>
      <c r="R40" t="s">
        <v>189</v>
      </c>
    </row>
    <row r="41" spans="1:18">
      <c r="M41" t="s">
        <v>157</v>
      </c>
      <c r="R41" t="s">
        <v>246</v>
      </c>
    </row>
    <row r="42" spans="1:18">
      <c r="M42" t="s">
        <v>158</v>
      </c>
      <c r="R42" t="s">
        <v>27</v>
      </c>
    </row>
    <row r="43" spans="1:18">
      <c r="M43" t="s">
        <v>280</v>
      </c>
      <c r="R43" t="s">
        <v>179</v>
      </c>
    </row>
    <row r="44" spans="1:18">
      <c r="M44" t="s">
        <v>187</v>
      </c>
      <c r="R44" t="s">
        <v>171</v>
      </c>
    </row>
    <row r="45" spans="1:18">
      <c r="M45" t="s">
        <v>188</v>
      </c>
      <c r="R45" t="s">
        <v>173</v>
      </c>
    </row>
    <row r="46" spans="1:18">
      <c r="M46" t="s">
        <v>180</v>
      </c>
      <c r="R46" t="s">
        <v>29</v>
      </c>
    </row>
    <row r="47" spans="1:18">
      <c r="M47" t="s">
        <v>176</v>
      </c>
      <c r="R47" t="s">
        <v>159</v>
      </c>
    </row>
    <row r="48" spans="1:18">
      <c r="M48" t="s">
        <v>177</v>
      </c>
      <c r="R48" t="s">
        <v>169</v>
      </c>
    </row>
    <row r="49" spans="13:18">
      <c r="M49" t="s">
        <v>156</v>
      </c>
      <c r="R49" t="s">
        <v>1090</v>
      </c>
    </row>
    <row r="50" spans="13:18">
      <c r="M50" t="s">
        <v>185</v>
      </c>
      <c r="R50" t="s">
        <v>1091</v>
      </c>
    </row>
    <row r="51" spans="13:18">
      <c r="M51" t="s">
        <v>9</v>
      </c>
      <c r="R51" t="s">
        <v>1019</v>
      </c>
    </row>
    <row r="52" spans="13:18">
      <c r="M52" t="s">
        <v>1062</v>
      </c>
      <c r="R52" t="s">
        <v>1020</v>
      </c>
    </row>
    <row r="53" spans="13:18">
      <c r="M53" t="s">
        <v>585</v>
      </c>
      <c r="R53" t="s">
        <v>160</v>
      </c>
    </row>
    <row r="54" spans="13:18">
      <c r="M54" t="s">
        <v>340</v>
      </c>
      <c r="R54" t="s">
        <v>186</v>
      </c>
    </row>
    <row r="55" spans="13:18">
      <c r="M55" t="s">
        <v>341</v>
      </c>
      <c r="R55" t="s">
        <v>175</v>
      </c>
    </row>
    <row r="56" spans="13:18">
      <c r="M56" t="s">
        <v>342</v>
      </c>
      <c r="R56" t="s">
        <v>1021</v>
      </c>
    </row>
    <row r="57" spans="13:18">
      <c r="M57" t="s">
        <v>586</v>
      </c>
      <c r="R57" t="s">
        <v>172</v>
      </c>
    </row>
    <row r="58" spans="13:18">
      <c r="M58" t="s">
        <v>343</v>
      </c>
      <c r="R58" t="s">
        <v>157</v>
      </c>
    </row>
    <row r="59" spans="13:18">
      <c r="M59" t="s">
        <v>587</v>
      </c>
      <c r="R59" t="s">
        <v>158</v>
      </c>
    </row>
    <row r="60" spans="13:18">
      <c r="M60" t="s">
        <v>344</v>
      </c>
      <c r="R60" t="s">
        <v>280</v>
      </c>
    </row>
    <row r="61" spans="13:18">
      <c r="M61" t="s">
        <v>345</v>
      </c>
      <c r="R61" t="s">
        <v>281</v>
      </c>
    </row>
    <row r="62" spans="13:18">
      <c r="R62" t="s">
        <v>259</v>
      </c>
    </row>
    <row r="63" spans="13:18">
      <c r="R63" t="s">
        <v>187</v>
      </c>
    </row>
    <row r="64" spans="13:18">
      <c r="R64" t="s">
        <v>188</v>
      </c>
    </row>
    <row r="65" spans="18:18">
      <c r="R65" t="s">
        <v>180</v>
      </c>
    </row>
    <row r="66" spans="18:18">
      <c r="R66" t="s">
        <v>176</v>
      </c>
    </row>
    <row r="67" spans="18:18">
      <c r="R67" t="s">
        <v>177</v>
      </c>
    </row>
    <row r="68" spans="18:18">
      <c r="R68" t="s">
        <v>156</v>
      </c>
    </row>
    <row r="69" spans="18:18">
      <c r="R69" t="s">
        <v>185</v>
      </c>
    </row>
    <row r="70" spans="18:18">
      <c r="R70" t="s">
        <v>9</v>
      </c>
    </row>
    <row r="71" spans="18:18">
      <c r="R71" t="s">
        <v>1062</v>
      </c>
    </row>
    <row r="72" spans="18:18">
      <c r="R72" t="s">
        <v>585</v>
      </c>
    </row>
    <row r="73" spans="18:18">
      <c r="R73" t="s">
        <v>340</v>
      </c>
    </row>
    <row r="74" spans="18:18">
      <c r="R74" t="s">
        <v>341</v>
      </c>
    </row>
    <row r="75" spans="18:18">
      <c r="R75" t="s">
        <v>342</v>
      </c>
    </row>
    <row r="76" spans="18:18">
      <c r="R76" t="s">
        <v>586</v>
      </c>
    </row>
    <row r="77" spans="18:18">
      <c r="R77" t="s">
        <v>343</v>
      </c>
    </row>
    <row r="78" spans="18:18">
      <c r="R78" t="s">
        <v>587</v>
      </c>
    </row>
    <row r="79" spans="18:18">
      <c r="R79" t="s">
        <v>344</v>
      </c>
    </row>
    <row r="80" spans="18:18">
      <c r="R80" t="s">
        <v>345</v>
      </c>
    </row>
  </sheetData>
  <phoneticPr fontId="2"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SMR</Case_x0020_Study>
    <Document_x0020_Status xmlns="d82b9494-d8c4-46c3-8d38-25b9e100fe6d">Edits complete</Document_x0020_Status>
    <H2A_x0020_Goals xmlns="d82b9494-d8c4-46c3-8d38-25b9e100fe6d">#1 Publish Central NG, Biomass Gasification, and Electrolysis Cases</H2A_x0020_Goals>
    <Case_x0020_type xmlns="d82b9494-d8c4-46c3-8d38-25b9e100fe6d">Central</Case_x0020_typ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DF59CC31-1F39-4F49-8195-FDC0A9322C02}">
  <ds:schemaRefs>
    <ds:schemaRef ds:uri="http://schemas.microsoft.com/office/2006/metadata/longProperties"/>
  </ds:schemaRefs>
</ds:datastoreItem>
</file>

<file path=customXml/itemProps2.xml><?xml version="1.0" encoding="utf-8"?>
<ds:datastoreItem xmlns:ds="http://schemas.openxmlformats.org/officeDocument/2006/customXml" ds:itemID="{5FD97086-85F3-44E1-B356-8D8C4A3E0157}">
  <ds:schemaRefs>
    <ds:schemaRef ds:uri="http://schemas.microsoft.com/sharepoint/v3/contenttype/forms"/>
  </ds:schemaRefs>
</ds:datastoreItem>
</file>

<file path=customXml/itemProps3.xml><?xml version="1.0" encoding="utf-8"?>
<ds:datastoreItem xmlns:ds="http://schemas.openxmlformats.org/officeDocument/2006/customXml" ds:itemID="{8EF8E5CF-3FBC-4639-B789-46FCAB06DA57}">
  <ds:schemaRefs>
    <ds:schemaRef ds:uri="d82b9494-d8c4-46c3-8d38-25b9e100fe6d"/>
    <ds:schemaRef ds:uri="http://purl.org/dc/dcmitype/"/>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www.w3.org/XML/1998/namespace"/>
    <ds:schemaRef ds:uri="http://schemas.microsoft.com/office/infopath/2007/PartnerControls"/>
  </ds:schemaRefs>
</ds:datastoreItem>
</file>

<file path=customXml/itemProps4.xml><?xml version="1.0" encoding="utf-8"?>
<ds:datastoreItem xmlns:ds="http://schemas.openxmlformats.org/officeDocument/2006/customXml" ds:itemID="{4E93857C-CB31-45F4-895E-96F0D11479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314</vt:i4>
      </vt:variant>
    </vt:vector>
  </HeadingPairs>
  <TitlesOfParts>
    <vt:vector size="333"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CCS_tax_insurance</vt:lpstr>
      <vt:lpstr>CCSEqpCap</vt:lpstr>
      <vt:lpstr>CEPC_Factor_08to05</vt:lpstr>
      <vt:lpstr>CEPCIinflator</vt:lpstr>
      <vt:lpstr>Chemical_price_indexes</vt:lpstr>
      <vt:lpstr>CO2_aprx_indCap</vt:lpstr>
      <vt:lpstr>CO2_cap_charge_rate</vt:lpstr>
      <vt:lpstr>CO2_cap_rec</vt:lpstr>
      <vt:lpstr>CO2_capptonneCO2</vt:lpstr>
      <vt:lpstr>CO2_Capture_Efficiency</vt:lpstr>
      <vt:lpstr>CO2_CashFlow_eUse</vt:lpstr>
      <vt:lpstr>CO2_ControlSystem</vt:lpstr>
      <vt:lpstr>CO2_credit</vt:lpstr>
      <vt:lpstr>CO2_depr_factor</vt:lpstr>
      <vt:lpstr>CO2_eCost</vt:lpstr>
      <vt:lpstr>CO2_eCostpY</vt:lpstr>
      <vt:lpstr>CO2_energyptonneCO2</vt:lpstr>
      <vt:lpstr>CO2_eUse_kWhpkg</vt:lpstr>
      <vt:lpstr>CO2_flowrate</vt:lpstr>
      <vt:lpstr>CO2_flowrate_GTpY</vt:lpstr>
      <vt:lpstr>CO2_inUse</vt:lpstr>
      <vt:lpstr>CO2_Location</vt:lpstr>
      <vt:lpstr>CO2_MaintFactor</vt:lpstr>
      <vt:lpstr>CO2_OandMcost</vt:lpstr>
      <vt:lpstr>CO2_OandMptonneCO2</vt:lpstr>
      <vt:lpstr>CO2_Pin_psia</vt:lpstr>
      <vt:lpstr>CO2_PipeDia</vt:lpstr>
      <vt:lpstr>CO2_PipeElevation</vt:lpstr>
      <vt:lpstr>CO2_PipeFactor</vt:lpstr>
      <vt:lpstr>CO2_PipeLength</vt:lpstr>
      <vt:lpstr>CO2_Pipeline_Temp</vt:lpstr>
      <vt:lpstr>CO2_Pipeline_Temp_factor</vt:lpstr>
      <vt:lpstr>CO2_Pump_Eff</vt:lpstr>
      <vt:lpstr>CO2_seq</vt:lpstr>
      <vt:lpstr>CO2_SurgeTank</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Det_CO2_OandMcost</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feedstockIndustrial_Electricity_Price</vt:lpstr>
      <vt:lpstr>feedstockIndustrial_Electricity_Usage</vt:lpstr>
      <vt:lpstr>feedstockIndustrial_Natural_Gas_Price</vt:lpstr>
      <vt:lpstr>feedstockIndustrial_Natural_Gas_Usage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n_CO2_pumps</vt:lpstr>
      <vt:lpstr>n_pumps</vt:lpstr>
      <vt:lpstr>ncf_to_Nm3</vt:lpstr>
      <vt:lpstr>NG_to_CO2Pipeline</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Pump_Eff</vt:lpstr>
      <vt:lpstr>pump_power</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Central Hydrogen Production from Natural Gas with CO2 Capture and Sequestration version 3.2018</dc:title>
  <dc:subject>DOE H2A production case study for current central hydrogen production from biomass gasification.</dc:subject>
  <dc:creator>dsteward</dc:creator>
  <cp:lastModifiedBy>Roman Ruiz-Esparza</cp:lastModifiedBy>
  <cp:lastPrinted>2008-09-22T17:50:40Z</cp:lastPrinted>
  <dcterms:created xsi:type="dcterms:W3CDTF">2007-03-27T19:45:13Z</dcterms:created>
  <dcterms:modified xsi:type="dcterms:W3CDTF">2023-03-26T17:35:42Z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ies>
</file>